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3" name="_xlnm.Print_Area" vbProcedure="false">'EPC DETAIL X 2 LM 6000'!$B$2:$K$104</definedName>
    <definedName function="false" hidden="false" localSheetId="4" name="_xlnm.Print_Area" vbProcedure="false">FINANCE!$B$2:$N$45</definedName>
    <definedName function="false" hidden="false" localSheetId="2" name="_xlnm.Print_Area" vbProcedure="false">'OPERATIONAL CHARACTERISTICS'!$B$2:$H$36</definedName>
    <definedName function="false" hidden="false" localSheetId="1" name="_xlnm.Print_Area" vbProcedure="false">PROJECTCONFIGURATION!$B$1:$K$52</definedName>
    <definedName function="false" hidden="false" localSheetId="6" name="_xlnm.Print_Area" vbProcedure="false">SOURCEDATA!$A$1:$Z$77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SUMMARY!$B$5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<sst xmlns="http://schemas.openxmlformats.org/spreadsheetml/2006/main" count="509" uniqueCount="356">
  <si>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</si>
  <si>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</si>
  <si>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</si>
  <si>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</si>
  <si>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</si>
  <si>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</si>
  <si>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</si>
  <si>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</si>
  <si>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</si>
  <si>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</si>
  <si>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</si>
  <si>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</si>
  <si>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</si>
  <si>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</si>
  <si>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</si>
  <si>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</si>
  <si>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</si>
  <si>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</si>
  <si>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</si>
  <si>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</si>
  <si>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.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</si>
  <si>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</si>
  <si>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</si>
  <si>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</si>
  <si>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</si>
  <si>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</si>
  <si>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</si>
  <si>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</si>
  <si>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</si>
  <si>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</si>
  <si>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</si>
  <si>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</si>
  <si>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</si>
  <si>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</si>
  <si>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</si>
  <si>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</si>
  <si>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</si>
  <si>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</si>
  <si>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</si>
  <si>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</si>
  <si>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</si>
  <si>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</si>
  <si>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EQUITY</t>
  </si>
  <si>
    <t xml:space="preserve">TOTAL FIXED O&amp;M</t>
  </si>
  <si>
    <t xml:space="preserve">$-kW 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</si>
  <si>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</si>
  <si>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</si>
  <si>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</si>
  <si>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</si>
  <si>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</si>
  <si>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</si>
  <si>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</si>
  <si>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</si>
  <si>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</si>
  <si>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</si>
  <si>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</si>
  <si>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</si>
  <si>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</si>
  <si>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</si>
  <si>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</si>
  <si>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</si>
  <si>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</si>
  <si>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</si>
  <si>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</si>
  <si>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</si>
  <si>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</si>
  <si>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</si>
  <si>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</si>
  <si>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</si>
  <si>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</si>
  <si>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</si>
  <si>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</si>
  <si>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</si>
  <si>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</si>
  <si>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</si>
  <si>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</si>
  <si>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</si>
  <si>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</si>
  <si>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</si>
  <si>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</si>
  <si>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</si>
  <si>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</si>
  <si>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</si>
  <si>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</si>
  <si>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</si>
  <si>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</si>
  <si>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</si>
  <si>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</si>
  <si>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</si>
  <si>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2</t>
  </si>
  <si>
    <t xml:space="preserve">0</t>
  </si>
  <si>
    <t xml:space="preserve">69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</si>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</sst>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00"/>
    <numFmt numFmtId="176" formatCode="0.00"/>
    <numFmt numFmtId="177" formatCode="mm/dd/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3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3" borderId="3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2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3756599055293"/>
          <c:w val="0.976690964570266"/>
          <c:h val="0.947624340094471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120.178090848866</c:v>
                </c:pt>
                <c:pt idx="1">
                  <c:v>100.148409040722</c:v>
                </c:pt>
                <c:pt idx="2">
                  <c:v>85.8414934634756</c:v>
                </c:pt>
                <c:pt idx="3">
                  <c:v>75.1113067805411</c:v>
                </c:pt>
                <c:pt idx="4">
                  <c:v>66.7656060271477</c:v>
                </c:pt>
                <c:pt idx="5">
                  <c:v>60.0890454244329</c:v>
                </c:pt>
                <c:pt idx="6">
                  <c:v>54.6264049313027</c:v>
                </c:pt>
                <c:pt idx="7">
                  <c:v>50.0742045203608</c:v>
                </c:pt>
                <c:pt idx="8">
                  <c:v>46.2223426341792</c:v>
                </c:pt>
                <c:pt idx="9">
                  <c:v>42.9207467317378</c:v>
                </c:pt>
                <c:pt idx="10">
                  <c:v>40.0593636162886</c:v>
                </c:pt>
                <c:pt idx="11">
                  <c:v>30.0445227122165</c:v>
                </c:pt>
                <c:pt idx="12">
                  <c:v>24.0356181697732</c:v>
                </c:pt>
                <c:pt idx="13">
                  <c:v>20.0296818081443</c:v>
                </c:pt>
                <c:pt idx="14">
                  <c:v>17.1682986926951</c:v>
                </c:pt>
                <c:pt idx="15">
                  <c:v>15.0222613561082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96754682"/>
        <c:axId val="16448211"/>
      </c:areaChart>
      <c:catAx>
        <c:axId val="9675468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48211"/>
        <c:crossesAt val="0"/>
        <c:auto val="1"/>
        <c:lblAlgn val="ctr"/>
        <c:lblOffset val="100"/>
        <c:noMultiLvlLbl val="0"/>
      </c:catAx>
      <c:valAx>
        <c:axId val="16448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546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136972368198"/>
          <c:y val="0.2147818838566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B5" s="12" t="b">
        <f aca="false">FALSE()</f>
        <v>0</v>
      </c>
      <c r="C5" s="13" t="s">
        <v>8</v>
      </c>
      <c r="D5" s="14" t="str">
        <f aca="false">IF(B5,"ISO","95*")</f>
        <v>95*</v>
      </c>
      <c r="E5" s="15" t="s">
        <v>9</v>
      </c>
      <c r="F5" s="2"/>
      <c r="G5" s="12"/>
      <c r="H5" s="13" t="s">
        <v>10</v>
      </c>
      <c r="I5" s="16" t="n">
        <v>18</v>
      </c>
      <c r="J5" s="15" t="s">
        <v>6</v>
      </c>
      <c r="K5" s="2"/>
      <c r="L5" s="2"/>
    </row>
    <row r="6" customFormat="false" ht="17.25" hidden="false" customHeight="true" outlineLevel="0" collapsed="false">
      <c r="B6" s="12"/>
      <c r="C6" s="13" t="s">
        <v>11</v>
      </c>
      <c r="D6" s="17" t="n">
        <f aca="false">+IF(B5,'OPERATIONAL CHARACTERISTICS'!$E$12,'OPERATIONAL CHARACTERISTICS'!$F$12)*PROJECTCONFIGURATION!$B$65</f>
        <v>91.168</v>
      </c>
      <c r="E6" s="15" t="s">
        <v>12</v>
      </c>
      <c r="F6" s="2"/>
      <c r="G6" s="12" t="n">
        <v>4</v>
      </c>
      <c r="H6" s="13" t="s">
        <v>13</v>
      </c>
      <c r="I6" s="16" t="n">
        <f aca="false">SOURCEDATA!$D$72</f>
        <v>0.537702127659575</v>
      </c>
      <c r="J6" s="15" t="s">
        <v>14</v>
      </c>
      <c r="K6" s="2"/>
      <c r="L6" s="11" t="s">
        <v>7</v>
      </c>
    </row>
    <row r="7" customFormat="false" ht="17.25" hidden="false" customHeight="true" outlineLevel="0" collapsed="false">
      <c r="B7" s="12"/>
      <c r="C7" s="18" t="s">
        <v>15</v>
      </c>
      <c r="D7" s="19" t="n">
        <f aca="false">+IF(B5,'OPERATIONAL CHARACTERISTICS'!$E$14,'OPERATIONAL CHARACTERISTICS'!$F$14)</f>
        <v>9332.00245700246</v>
      </c>
      <c r="E7" s="20" t="s">
        <v>16</v>
      </c>
      <c r="F7" s="2"/>
      <c r="G7" s="12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2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 t="s">
        <v>20</v>
      </c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21</v>
      </c>
      <c r="D10" s="29" t="n">
        <f aca="false">+PROJECTCONFIGURATION!I37</f>
        <v>48026.9643664672</v>
      </c>
      <c r="E10" s="30" t="s">
        <v>22</v>
      </c>
      <c r="F10" s="31" t="s">
        <v>23</v>
      </c>
      <c r="G10" s="28" t="b">
        <f aca="false">TRUE()</f>
        <v>1</v>
      </c>
      <c r="H10" s="32" t="s">
        <v>24</v>
      </c>
      <c r="I10" s="33" t="n">
        <f aca="false">570*($M$10/1.23)</f>
        <v>570.530337891547</v>
      </c>
      <c r="J10" s="34" t="s">
        <v>25</v>
      </c>
      <c r="K10" s="2"/>
      <c r="L10" s="11" t="s">
        <v>26</v>
      </c>
      <c r="M10" s="35" t="n">
        <f aca="false">PROJECTCONFIGURATION!$B$65^N10</f>
        <v>1.23114441334492</v>
      </c>
      <c r="N10" s="36" t="n">
        <v>0.3</v>
      </c>
    </row>
    <row r="11" customFormat="false" ht="17.25" hidden="false" customHeight="true" outlineLevel="0" collapsed="false">
      <c r="B11" s="28"/>
      <c r="C11" s="13" t="s">
        <v>27</v>
      </c>
      <c r="D11" s="37" t="n">
        <v>12</v>
      </c>
      <c r="E11" s="38" t="s">
        <v>28</v>
      </c>
      <c r="F11" s="2"/>
      <c r="G11" s="28"/>
      <c r="H11" s="39" t="s">
        <v>29</v>
      </c>
      <c r="I11" s="40" t="n">
        <f aca="false">(125+4+22+8+13+9+31)*($M$10/1.23)</f>
        <v>212.197248478961</v>
      </c>
      <c r="J11" s="41" t="s">
        <v>25</v>
      </c>
      <c r="K11" s="2"/>
      <c r="L11" s="11" t="s">
        <v>23</v>
      </c>
      <c r="M11" s="35" t="s">
        <v>23</v>
      </c>
      <c r="Q11" s="42"/>
    </row>
    <row r="12" customFormat="false" ht="17.25" hidden="false" customHeight="true" outlineLevel="0" collapsed="false">
      <c r="B12" s="28"/>
      <c r="C12" s="13" t="s">
        <v>30</v>
      </c>
      <c r="D12" s="43" t="n">
        <f aca="false">+D10*(D11/12)*D22*0.5*0.84*(1-D18)</f>
        <v>1058.9945642806</v>
      </c>
      <c r="E12" s="44" t="s">
        <v>22</v>
      </c>
      <c r="F12" s="11" t="s">
        <v>23</v>
      </c>
      <c r="G12" s="28"/>
      <c r="H12" s="39" t="s">
        <v>31</v>
      </c>
      <c r="I12" s="40" t="n">
        <f aca="false">(14+120+30+23)/2*PROJECTCONFIGURATION!$B$65</f>
        <v>187</v>
      </c>
      <c r="J12" s="45" t="s">
        <v>25</v>
      </c>
      <c r="K12" s="2"/>
      <c r="L12" s="2"/>
      <c r="Q12" s="42"/>
    </row>
    <row r="13" customFormat="false" ht="17.25" hidden="false" customHeight="true" outlineLevel="0" collapsed="false">
      <c r="B13" s="28"/>
      <c r="C13" s="13" t="s">
        <v>32</v>
      </c>
      <c r="D13" s="46" t="n">
        <v>0.05</v>
      </c>
      <c r="E13" s="44" t="s">
        <v>33</v>
      </c>
      <c r="F13" s="2"/>
      <c r="G13" s="28"/>
      <c r="H13" s="39" t="s">
        <v>34</v>
      </c>
      <c r="I13" s="40" t="n">
        <f aca="false">(40+10+14+4+7+4)*($M$10/1.23)</f>
        <v>79.0735029709337</v>
      </c>
      <c r="J13" s="45" t="s">
        <v>25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3" t="s">
        <v>35</v>
      </c>
      <c r="D14" s="47" t="n">
        <f aca="false">+D13*(D12+D10*(1-D18))</f>
        <v>1733.89348104038</v>
      </c>
      <c r="E14" s="44" t="s">
        <v>22</v>
      </c>
      <c r="F14" s="2"/>
      <c r="G14" s="28"/>
      <c r="H14" s="39" t="s">
        <v>36</v>
      </c>
      <c r="I14" s="40" t="n">
        <v>0</v>
      </c>
      <c r="J14" s="45" t="s">
        <v>25</v>
      </c>
      <c r="K14" s="2"/>
      <c r="L14" s="31" t="s">
        <v>37</v>
      </c>
      <c r="Q14" s="42"/>
    </row>
    <row r="15" customFormat="false" ht="17.25" hidden="false" customHeight="true" outlineLevel="0" collapsed="false">
      <c r="B15" s="48"/>
      <c r="C15" s="49" t="s">
        <v>38</v>
      </c>
      <c r="D15" s="50" t="n">
        <f aca="false">+D14+D12+D10</f>
        <v>50819.8524117882</v>
      </c>
      <c r="E15" s="51" t="s">
        <v>22</v>
      </c>
      <c r="F15" s="2"/>
      <c r="G15" s="28"/>
      <c r="H15" s="39" t="s">
        <v>39</v>
      </c>
      <c r="I15" s="40" t="n">
        <f aca="false">197*PROJECTCONFIGURATION!$B$65*0</f>
        <v>0</v>
      </c>
      <c r="J15" s="45" t="s">
        <v>25</v>
      </c>
      <c r="K15" s="2"/>
      <c r="L15" s="31" t="s">
        <v>23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40</v>
      </c>
      <c r="I16" s="40" t="n">
        <f aca="false">((24+112+6+30+4)*($M$10/1.23))</f>
        <v>176.163753454232</v>
      </c>
      <c r="J16" s="45" t="s">
        <v>25</v>
      </c>
      <c r="K16" s="2"/>
      <c r="L16" s="31" t="s">
        <v>23</v>
      </c>
      <c r="Q16" s="42"/>
    </row>
    <row r="17" customFormat="false" ht="17.25" hidden="false" customHeight="true" outlineLevel="0" collapsed="false">
      <c r="B17" s="3" t="s">
        <v>41</v>
      </c>
      <c r="C17" s="26"/>
      <c r="D17" s="26"/>
      <c r="E17" s="27"/>
      <c r="F17" s="2"/>
      <c r="G17" s="48"/>
      <c r="H17" s="54"/>
      <c r="I17" s="55" t="n">
        <f aca="false">SUM(I10:I16)</f>
        <v>1224.96484279567</v>
      </c>
      <c r="J17" s="56"/>
      <c r="K17" s="2"/>
      <c r="L17" s="2"/>
      <c r="Q17" s="42"/>
    </row>
    <row r="18" customFormat="false" ht="17.25" hidden="false" customHeight="true" outlineLevel="0" collapsed="false">
      <c r="C18" s="7" t="s">
        <v>42</v>
      </c>
      <c r="D18" s="57" t="n">
        <v>0.3</v>
      </c>
      <c r="E18" s="30" t="s">
        <v>33</v>
      </c>
      <c r="F18" s="2"/>
      <c r="G18" s="2"/>
      <c r="H18" s="49" t="s">
        <v>43</v>
      </c>
      <c r="I18" s="58" t="n">
        <f aca="false">SUM(I10:I16)/(D6*12)</f>
        <v>1.11969554631347</v>
      </c>
      <c r="J18" s="59" t="s">
        <v>44</v>
      </c>
      <c r="K18" s="2"/>
      <c r="L18" s="2"/>
      <c r="Q18" s="42"/>
    </row>
    <row r="19" customFormat="false" ht="17.25" hidden="false" customHeight="true" outlineLevel="0" collapsed="false">
      <c r="C19" s="13" t="s">
        <v>45</v>
      </c>
      <c r="D19" s="47" t="n">
        <f aca="false">+D15*D18</f>
        <v>15245.9557235365</v>
      </c>
      <c r="E19" s="44" t="s">
        <v>22</v>
      </c>
      <c r="F19" s="2"/>
      <c r="G19" s="25" t="s">
        <v>46</v>
      </c>
      <c r="H19" s="60"/>
      <c r="I19" s="61" t="s">
        <v>23</v>
      </c>
      <c r="J19" s="2"/>
      <c r="K19" s="2"/>
      <c r="L19" s="2"/>
      <c r="Q19" s="42"/>
    </row>
    <row r="20" customFormat="false" ht="17.25" hidden="false" customHeight="true" outlineLevel="0" collapsed="false">
      <c r="C20" s="13" t="s">
        <v>47</v>
      </c>
      <c r="D20" s="62" t="n">
        <f aca="false">+D15-D19</f>
        <v>35573.8966882517</v>
      </c>
      <c r="E20" s="44" t="s">
        <v>22</v>
      </c>
      <c r="F20" s="2"/>
      <c r="G20" s="28" t="b">
        <f aca="false">TRUE()</f>
        <v>1</v>
      </c>
      <c r="H20" s="5"/>
      <c r="I20" s="26"/>
      <c r="J20" s="27"/>
      <c r="K20" s="2"/>
      <c r="L20" s="2"/>
      <c r="Q20" s="42"/>
    </row>
    <row r="21" customFormat="false" ht="17.25" hidden="false" customHeight="true" outlineLevel="0" collapsed="false">
      <c r="C21" s="13" t="s">
        <v>48</v>
      </c>
      <c r="D21" s="63" t="n">
        <v>25</v>
      </c>
      <c r="E21" s="38" t="s">
        <v>49</v>
      </c>
      <c r="F21" s="2"/>
      <c r="G21" s="28"/>
      <c r="H21" s="7"/>
      <c r="I21" s="29"/>
      <c r="J21" s="30"/>
      <c r="K21" s="2"/>
      <c r="L21" s="2"/>
      <c r="Q21" s="42"/>
    </row>
    <row r="22" customFormat="false" ht="17.25" hidden="false" customHeight="true" outlineLevel="0" collapsed="false">
      <c r="C22" s="13" t="s">
        <v>50</v>
      </c>
      <c r="D22" s="64" t="n">
        <v>0.075</v>
      </c>
      <c r="E22" s="38" t="s">
        <v>4</v>
      </c>
      <c r="F22" s="2"/>
      <c r="G22" s="28"/>
      <c r="H22" s="13"/>
      <c r="I22" s="37"/>
      <c r="J22" s="38"/>
      <c r="K22" s="2"/>
      <c r="L22" s="2"/>
      <c r="Q22" s="42"/>
    </row>
    <row r="23" customFormat="false" ht="17.25" hidden="false" customHeight="true" outlineLevel="0" collapsed="false">
      <c r="C23" s="13" t="s">
        <v>51</v>
      </c>
      <c r="D23" s="62" t="n">
        <f aca="false">-PMT($D$22/12,$D$21*12,$D$20)*12</f>
        <v>3154.65549749955</v>
      </c>
      <c r="E23" s="44" t="s">
        <v>22</v>
      </c>
      <c r="F23" s="2"/>
      <c r="G23" s="28"/>
      <c r="H23" s="13"/>
      <c r="I23" s="65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6" t="n">
        <f aca="false">+D23/12/(IF(B5,'OPERATIONAL CHARACTERISTICS'!E12,'OPERATIONAL CHARACTERISTICS'!H12)*PROJECTCONFIGURATION!B65)</f>
        <v>3.88772490572261</v>
      </c>
      <c r="E24" s="67" t="s">
        <v>52</v>
      </c>
      <c r="F24" s="2"/>
      <c r="G24" s="28" t="b">
        <f aca="false">TRUE()</f>
        <v>1</v>
      </c>
      <c r="H24" s="13"/>
      <c r="I24" s="46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3"/>
      <c r="I25" s="47"/>
      <c r="J25" s="44"/>
      <c r="K25" s="2"/>
      <c r="L25" s="2"/>
    </row>
    <row r="26" customFormat="false" ht="17.25" hidden="false" customHeight="true" outlineLevel="0" collapsed="false">
      <c r="A26" s="68"/>
      <c r="B26" s="25" t="s">
        <v>53</v>
      </c>
      <c r="C26" s="5"/>
      <c r="D26" s="26"/>
      <c r="E26" s="27"/>
      <c r="F26" s="69"/>
      <c r="G26" s="2"/>
      <c r="H26" s="13"/>
      <c r="I26" s="47"/>
      <c r="J26" s="44"/>
      <c r="K26" s="2"/>
      <c r="L26" s="2"/>
    </row>
    <row r="27" customFormat="false" ht="17.25" hidden="false" customHeight="true" outlineLevel="0" collapsed="false">
      <c r="A27" s="68"/>
      <c r="B27" s="28"/>
      <c r="C27" s="13" t="s">
        <v>54</v>
      </c>
      <c r="D27" s="70" t="n">
        <f aca="false">+D24+I18</f>
        <v>5.00742045203608</v>
      </c>
      <c r="E27" s="71"/>
      <c r="F27" s="69"/>
      <c r="G27" s="2"/>
      <c r="H27" s="18"/>
      <c r="I27" s="19"/>
      <c r="J27" s="72"/>
      <c r="K27" s="2"/>
      <c r="L27" s="2"/>
    </row>
    <row r="28" customFormat="false" ht="17.25" hidden="false" customHeight="true" outlineLevel="0" collapsed="false">
      <c r="A28" s="68"/>
      <c r="B28" s="28"/>
      <c r="C28" s="13" t="s">
        <v>55</v>
      </c>
      <c r="D28" s="73" t="n">
        <v>5.75</v>
      </c>
      <c r="E28" s="44"/>
      <c r="F28" s="69"/>
      <c r="G28" s="2"/>
      <c r="H28" s="60"/>
      <c r="I28" s="2"/>
      <c r="J28" s="2"/>
      <c r="K28" s="2"/>
      <c r="L28" s="2"/>
    </row>
    <row r="29" customFormat="false" ht="17.25" hidden="false" customHeight="true" outlineLevel="0" collapsed="false">
      <c r="A29" s="68"/>
      <c r="B29" s="28"/>
      <c r="C29" s="13" t="s">
        <v>56</v>
      </c>
      <c r="D29" s="46" t="n">
        <v>0.25</v>
      </c>
      <c r="E29" s="38"/>
      <c r="F29" s="69"/>
      <c r="G29" s="2"/>
      <c r="H29" s="60"/>
      <c r="I29" s="2" t="n">
        <f aca="false">0.55*12*1000*230</f>
        <v>1518000</v>
      </c>
      <c r="J29" s="2"/>
      <c r="K29" s="2"/>
      <c r="L29" s="2"/>
    </row>
    <row r="30" customFormat="false" ht="17.25" hidden="false" customHeight="true" outlineLevel="0" collapsed="false">
      <c r="A30" s="68"/>
      <c r="B30" s="28"/>
      <c r="C30" s="13" t="str">
        <f aca="false">REPLACE("XX YEAR IRR",1,2,D21)</f>
        <v>25 YEAR IRR</v>
      </c>
      <c r="D30" s="74" t="n">
        <f aca="false">+IRR(FINANCE!S8:S38)</f>
        <v>0.0497833427007069</v>
      </c>
      <c r="E30" s="44"/>
      <c r="F30" s="69"/>
      <c r="G30" s="2"/>
      <c r="H30" s="60"/>
      <c r="I30" s="2"/>
      <c r="J30" s="2"/>
      <c r="K30" s="2"/>
      <c r="L30" s="2"/>
    </row>
    <row r="31" customFormat="false" ht="17.25" hidden="false" customHeight="true" outlineLevel="0" collapsed="false">
      <c r="A31" s="68"/>
      <c r="B31" s="28"/>
      <c r="C31" s="13"/>
      <c r="D31" s="47"/>
      <c r="E31" s="44"/>
      <c r="F31" s="69"/>
      <c r="G31" s="2"/>
      <c r="H31" s="60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60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60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60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60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60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60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60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60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60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60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60"/>
      <c r="I42" s="2"/>
      <c r="J42" s="2"/>
      <c r="K42" s="2"/>
      <c r="L42" s="2"/>
    </row>
    <row r="43" customFormat="false" ht="17.25" hidden="false" customHeight="true" outlineLevel="0" collapsed="false">
      <c r="G43" s="2"/>
      <c r="H43" s="60"/>
      <c r="I43" s="2"/>
      <c r="J43" s="2"/>
      <c r="K43" s="2"/>
      <c r="L43" s="2"/>
    </row>
    <row r="44" customFormat="false" ht="17.25" hidden="false" customHeight="true" outlineLevel="0" collapsed="false">
      <c r="G44" s="2"/>
      <c r="H44" s="60"/>
      <c r="I44" s="2"/>
      <c r="J44" s="2"/>
    </row>
    <row r="45" customFormat="false" ht="17.25" hidden="false" customHeight="true" outlineLevel="0" collapsed="false">
      <c r="G45" s="2"/>
      <c r="H45" s="60"/>
      <c r="I45" s="2"/>
      <c r="J45" s="2"/>
    </row>
    <row r="46" customFormat="false" ht="17.25" hidden="false" customHeight="true" outlineLevel="0" collapsed="false">
      <c r="G46" s="2"/>
      <c r="H46" s="60"/>
    </row>
    <row r="47" customFormat="false" ht="17.25" hidden="false" customHeight="true" outlineLevel="0" collapsed="false">
      <c r="G47" s="2"/>
      <c r="H47" s="60"/>
    </row>
    <row r="48" customFormat="false" ht="12.75" hidden="false" customHeight="false" outlineLevel="0" collapsed="false">
      <c r="G48" s="2"/>
      <c r="H48" s="60"/>
    </row>
    <row r="49" customFormat="false" ht="12.75" hidden="false" customHeight="false" outlineLevel="0" collapsed="false">
      <c r="G49" s="2"/>
      <c r="H49" s="60"/>
    </row>
    <row r="50" customFormat="false" ht="12.75" hidden="false" customHeight="false" outlineLevel="0" collapsed="false">
      <c r="G50" s="2"/>
      <c r="H50" s="60"/>
    </row>
    <row r="51" customFormat="false" ht="12.75" hidden="false" customHeight="false" outlineLevel="0" collapsed="false">
      <c r="G51" s="2"/>
      <c r="H51" s="60"/>
    </row>
    <row r="52" customFormat="false" ht="12.75" hidden="false" customHeight="false" outlineLevel="0" collapsed="false">
      <c r="G52" s="2"/>
      <c r="H52" s="60"/>
    </row>
    <row r="53" customFormat="false" ht="12.75" hidden="false" customHeight="false" outlineLevel="0" collapsed="false">
      <c r="G53" s="2"/>
      <c r="H53" s="60"/>
    </row>
    <row r="54" customFormat="false" ht="12.75" hidden="false" customHeight="false" outlineLevel="0" collapsed="false">
      <c r="G54" s="2"/>
      <c r="H54" s="60"/>
    </row>
    <row r="55" customFormat="false" ht="12.75" hidden="false" customHeight="false" outlineLevel="0" collapsed="false">
      <c r="G55" s="2"/>
      <c r="H55" s="60"/>
    </row>
    <row r="56" customFormat="false" ht="12.75" hidden="false" customHeight="false" outlineLevel="0" collapsed="false">
      <c r="G56" s="2"/>
      <c r="H56" s="60"/>
    </row>
    <row r="57" customFormat="false" ht="12.75" hidden="false" customHeight="false" outlineLevel="0" collapsed="false">
      <c r="G57" s="2"/>
      <c r="H57" s="60"/>
    </row>
    <row r="58" customFormat="false" ht="12.75" hidden="false" customHeight="false" outlineLevel="0" collapsed="false">
      <c r="G58" s="2"/>
      <c r="H58" s="60"/>
    </row>
    <row r="59" customFormat="false" ht="12.75" hidden="false" customHeight="false" outlineLevel="0" collapsed="false">
      <c r="G59" s="2"/>
      <c r="H59" s="60"/>
    </row>
    <row r="60" customFormat="false" ht="12.75" hidden="false" customHeight="false" outlineLevel="0" collapsed="false">
      <c r="G60" s="2"/>
      <c r="H60" s="60"/>
    </row>
    <row r="61" customFormat="false" ht="12.75" hidden="false" customHeight="false" outlineLevel="0" collapsed="false">
      <c r="G61" s="2"/>
      <c r="H61" s="60"/>
    </row>
    <row r="62" customFormat="false" ht="12.75" hidden="false" customHeight="false" outlineLevel="0" collapsed="false">
      <c r="G62" s="2"/>
      <c r="H62" s="60"/>
    </row>
    <row r="63" customFormat="false" ht="12.75" hidden="false" customHeight="false" outlineLevel="0" collapsed="false">
      <c r="G63" s="2"/>
      <c r="H63" s="60"/>
    </row>
    <row r="64" customFormat="false" ht="12.75" hidden="false" customHeight="false" outlineLevel="0" collapsed="false">
      <c r="G64" s="2"/>
      <c r="H64" s="60"/>
    </row>
    <row r="65" customFormat="false" ht="12.75" hidden="false" customHeight="false" outlineLevel="0" collapsed="false">
      <c r="G65" s="2"/>
      <c r="H65" s="60"/>
    </row>
    <row r="66" customFormat="false" ht="12.75" hidden="false" customHeight="false" outlineLevel="0" collapsed="false">
      <c r="G66" s="2"/>
      <c r="H66" s="60"/>
    </row>
    <row r="67" customFormat="false" ht="12.75" hidden="false" customHeight="false" outlineLevel="0" collapsed="false">
      <c r="G67" s="2"/>
      <c r="H67" s="60"/>
    </row>
    <row r="68" customFormat="false" ht="12.75" hidden="false" customHeight="false" outlineLevel="0" collapsed="false">
      <c r="G68" s="2"/>
      <c r="H68" s="60"/>
    </row>
    <row r="69" customFormat="false" ht="12.75" hidden="false" customHeight="false" outlineLevel="0" collapsed="false">
      <c r="G69" s="2"/>
      <c r="H69" s="60"/>
    </row>
    <row r="70" customFormat="false" ht="12.75" hidden="false" customHeight="false" outlineLevel="0" collapsed="false">
      <c r="G70" s="2"/>
      <c r="H70" s="60"/>
    </row>
    <row r="71" customFormat="false" ht="12.75" hidden="false" customHeight="false" outlineLevel="0" collapsed="false">
      <c r="G71" s="2"/>
      <c r="H71" s="60"/>
    </row>
    <row r="72" customFormat="false" ht="12.75" hidden="false" customHeight="false" outlineLevel="0" collapsed="false">
      <c r="G72" s="2"/>
      <c r="H72" s="60"/>
    </row>
    <row r="73" customFormat="false" ht="12.75" hidden="false" customHeight="false" outlineLevel="0" collapsed="false">
      <c r="G73" s="2"/>
      <c r="H73" s="60"/>
    </row>
    <row r="74" customFormat="false" ht="12.75" hidden="false" customHeight="false" outlineLevel="0" collapsed="false">
      <c r="G74" s="2"/>
      <c r="H74" s="60"/>
    </row>
    <row r="75" customFormat="false" ht="12.75" hidden="false" customHeight="false" outlineLevel="0" collapsed="false">
      <c r="G75" s="2"/>
      <c r="H75" s="60"/>
    </row>
    <row r="76" customFormat="false" ht="12.75" hidden="false" customHeight="false" outlineLevel="0" collapsed="false">
      <c r="G76" s="2"/>
      <c r="H76" s="60"/>
    </row>
    <row r="77" customFormat="false" ht="12.75" hidden="false" customHeight="false" outlineLevel="0" collapsed="false">
      <c r="G77" s="2"/>
      <c r="H77" s="60"/>
    </row>
    <row r="78" customFormat="false" ht="12.75" hidden="false" customHeight="false" outlineLevel="0" collapsed="false">
      <c r="G78" s="2"/>
      <c r="H78" s="60"/>
    </row>
    <row r="79" customFormat="false" ht="12.75" hidden="false" customHeight="false" outlineLevel="0" collapsed="false">
      <c r="G79" s="2"/>
      <c r="H79" s="60"/>
    </row>
    <row r="80" customFormat="false" ht="12.75" hidden="false" customHeight="false" outlineLevel="0" collapsed="false">
      <c r="G80" s="2"/>
      <c r="H80" s="60"/>
    </row>
    <row r="81" customFormat="false" ht="12.75" hidden="false" customHeight="false" outlineLevel="0" collapsed="false">
      <c r="G81" s="2"/>
      <c r="H81" s="60"/>
    </row>
    <row r="82" customFormat="false" ht="12.75" hidden="false" customHeight="false" outlineLevel="0" collapsed="false">
      <c r="G82" s="2"/>
      <c r="H82" s="60"/>
    </row>
    <row r="83" customFormat="false" ht="12.75" hidden="false" customHeight="false" outlineLevel="0" collapsed="false">
      <c r="G83" s="2"/>
      <c r="H83" s="60"/>
    </row>
    <row r="84" customFormat="false" ht="12.75" hidden="false" customHeight="false" outlineLevel="0" collapsed="false">
      <c r="G84" s="2"/>
      <c r="H84" s="60"/>
    </row>
    <row r="85" customFormat="false" ht="12.75" hidden="false" customHeight="false" outlineLevel="0" collapsed="false">
      <c r="G85" s="2"/>
      <c r="H85" s="60"/>
    </row>
    <row r="86" customFormat="false" ht="12.75" hidden="false" customHeight="false" outlineLevel="0" collapsed="false">
      <c r="G86" s="2"/>
      <c r="H86" s="60"/>
    </row>
    <row r="87" customFormat="false" ht="12.75" hidden="false" customHeight="false" outlineLevel="0" collapsed="false">
      <c r="G87" s="2"/>
      <c r="H87" s="60"/>
    </row>
    <row r="88" customFormat="false" ht="12.75" hidden="false" customHeight="false" outlineLevel="0" collapsed="false">
      <c r="G88" s="2"/>
      <c r="H88" s="60"/>
    </row>
    <row r="89" customFormat="false" ht="12.75" hidden="false" customHeight="false" outlineLevel="0" collapsed="false">
      <c r="G89" s="2"/>
      <c r="H89" s="60"/>
    </row>
    <row r="90" customFormat="false" ht="12.75" hidden="false" customHeight="false" outlineLevel="0" collapsed="false">
      <c r="G90" s="2"/>
      <c r="H90" s="60"/>
    </row>
    <row r="91" customFormat="false" ht="12.75" hidden="false" customHeight="false" outlineLevel="0" collapsed="false">
      <c r="G91" s="2"/>
      <c r="H91" s="60"/>
    </row>
    <row r="92" customFormat="false" ht="12.75" hidden="false" customHeight="false" outlineLevel="0" collapsed="false">
      <c r="G92" s="2"/>
      <c r="H92" s="60"/>
    </row>
    <row r="93" customFormat="false" ht="12.75" hidden="false" customHeight="false" outlineLevel="0" collapsed="false">
      <c r="G93" s="2"/>
      <c r="H93" s="60"/>
    </row>
    <row r="94" customFormat="false" ht="12.75" hidden="false" customHeight="false" outlineLevel="0" collapsed="false">
      <c r="G94" s="2"/>
      <c r="H94" s="60"/>
    </row>
    <row r="95" customFormat="false" ht="12.75" hidden="false" customHeight="false" outlineLevel="0" collapsed="false">
      <c r="G95" s="2"/>
      <c r="H95" s="60"/>
    </row>
    <row r="96" customFormat="false" ht="12.75" hidden="false" customHeight="false" outlineLevel="0" collapsed="false">
      <c r="G96" s="2"/>
      <c r="H96" s="60"/>
    </row>
    <row r="97" customFormat="false" ht="12.75" hidden="false" customHeight="false" outlineLevel="0" collapsed="false">
      <c r="G97" s="2"/>
      <c r="H97" s="60"/>
    </row>
    <row r="98" customFormat="false" ht="12.75" hidden="false" customHeight="false" outlineLevel="0" collapsed="false">
      <c r="G98" s="2"/>
      <c r="H98" s="60"/>
    </row>
    <row r="99" customFormat="false" ht="12.75" hidden="false" customHeight="false" outlineLevel="0" collapsed="false">
      <c r="G99" s="2"/>
      <c r="H99" s="60"/>
    </row>
    <row r="100" customFormat="false" ht="12.75" hidden="false" customHeight="false" outlineLevel="0" collapsed="false">
      <c r="G100" s="2"/>
      <c r="H100" s="60"/>
    </row>
    <row r="101" customFormat="false" ht="12.75" hidden="false" customHeight="false" outlineLevel="0" collapsed="false">
      <c r="G101" s="2"/>
      <c r="H101" s="60"/>
    </row>
    <row r="102" customFormat="false" ht="12.75" hidden="false" customHeight="false" outlineLevel="0" collapsed="false">
      <c r="G102" s="2"/>
      <c r="H102" s="60"/>
    </row>
    <row r="103" customFormat="false" ht="12.75" hidden="false" customHeight="false" outlineLevel="0" collapsed="false">
      <c r="G103" s="2"/>
      <c r="H103" s="60"/>
    </row>
    <row r="104" customFormat="false" ht="12.75" hidden="false" customHeight="false" outlineLevel="0" collapsed="false">
      <c r="G104" s="2"/>
      <c r="H104" s="60"/>
    </row>
    <row r="105" customFormat="false" ht="12.75" hidden="false" customHeight="false" outlineLevel="0" collapsed="false">
      <c r="G105" s="2"/>
      <c r="H105" s="60"/>
    </row>
    <row r="106" customFormat="false" ht="12.75" hidden="false" customHeight="false" outlineLevel="0" collapsed="false">
      <c r="G106" s="2"/>
      <c r="H106" s="60"/>
    </row>
    <row r="107" customFormat="false" ht="12.75" hidden="false" customHeight="false" outlineLevel="0" collapsed="false">
      <c r="G107" s="2"/>
      <c r="H107" s="60"/>
    </row>
    <row r="108" customFormat="false" ht="12.75" hidden="false" customHeight="false" outlineLevel="0" collapsed="false">
      <c r="G108" s="2"/>
      <c r="H108" s="60"/>
    </row>
    <row r="109" customFormat="false" ht="12.75" hidden="false" customHeight="false" outlineLevel="0" collapsed="false">
      <c r="G109" s="2"/>
      <c r="H109" s="60"/>
    </row>
    <row r="110" customFormat="false" ht="12.75" hidden="false" customHeight="false" outlineLevel="0" collapsed="false">
      <c r="G110" s="2"/>
      <c r="H110" s="60"/>
    </row>
    <row r="111" customFormat="false" ht="12.75" hidden="false" customHeight="false" outlineLevel="0" collapsed="false">
      <c r="G111" s="2"/>
      <c r="H111" s="60"/>
    </row>
    <row r="112" customFormat="false" ht="12.75" hidden="false" customHeight="false" outlineLevel="0" collapsed="false">
      <c r="G112" s="2"/>
      <c r="H112" s="60"/>
    </row>
    <row r="113" customFormat="false" ht="12.75" hidden="false" customHeight="false" outlineLevel="0" collapsed="false">
      <c r="G113" s="2"/>
      <c r="H113" s="60"/>
    </row>
    <row r="114" customFormat="false" ht="12.75" hidden="false" customHeight="false" outlineLevel="0" collapsed="false">
      <c r="G114" s="2"/>
      <c r="H114" s="60"/>
    </row>
    <row r="115" customFormat="false" ht="12.75" hidden="false" customHeight="false" outlineLevel="0" collapsed="false">
      <c r="G115" s="2"/>
      <c r="H115" s="60"/>
    </row>
    <row r="116" customFormat="false" ht="12.75" hidden="false" customHeight="false" outlineLevel="0" collapsed="false">
      <c r="G116" s="2"/>
      <c r="H116" s="60"/>
    </row>
    <row r="117" customFormat="false" ht="12.75" hidden="false" customHeight="false" outlineLevel="0" collapsed="false">
      <c r="G117" s="2"/>
      <c r="H117" s="60"/>
    </row>
    <row r="118" customFormat="false" ht="12.75" hidden="false" customHeight="false" outlineLevel="0" collapsed="false">
      <c r="G118" s="2"/>
      <c r="H118" s="60"/>
    </row>
    <row r="119" customFormat="false" ht="12.75" hidden="false" customHeight="false" outlineLevel="0" collapsed="false">
      <c r="G119" s="2"/>
      <c r="H119" s="60"/>
    </row>
    <row r="120" customFormat="false" ht="12.75" hidden="false" customHeight="false" outlineLevel="0" collapsed="false">
      <c r="G120" s="2"/>
      <c r="H120" s="60"/>
    </row>
    <row r="121" customFormat="false" ht="12.75" hidden="false" customHeight="false" outlineLevel="0" collapsed="false">
      <c r="G121" s="2"/>
      <c r="H121" s="60"/>
    </row>
    <row r="122" customFormat="false" ht="12.75" hidden="false" customHeight="false" outlineLevel="0" collapsed="false">
      <c r="G122" s="2"/>
      <c r="H122" s="60"/>
    </row>
    <row r="123" customFormat="false" ht="12.75" hidden="false" customHeight="false" outlineLevel="0" collapsed="false">
      <c r="G123" s="2"/>
      <c r="H123" s="60"/>
    </row>
    <row r="124" customFormat="false" ht="12.75" hidden="false" customHeight="false" outlineLevel="0" collapsed="false">
      <c r="G124" s="2"/>
      <c r="H124" s="60"/>
    </row>
    <row r="125" customFormat="false" ht="12.75" hidden="false" customHeight="false" outlineLevel="0" collapsed="false">
      <c r="G125" s="2"/>
      <c r="H125" s="60"/>
    </row>
    <row r="126" customFormat="false" ht="12.75" hidden="false" customHeight="false" outlineLevel="0" collapsed="false">
      <c r="G126" s="2"/>
      <c r="H126" s="60"/>
    </row>
    <row r="127" customFormat="false" ht="12.75" hidden="false" customHeight="false" outlineLevel="0" collapsed="false">
      <c r="G127" s="2"/>
      <c r="H127" s="60"/>
    </row>
    <row r="128" customFormat="false" ht="12.75" hidden="false" customHeight="false" outlineLevel="0" collapsed="false">
      <c r="G128" s="2"/>
      <c r="H128" s="60"/>
    </row>
    <row r="129" customFormat="false" ht="12.75" hidden="false" customHeight="false" outlineLevel="0" collapsed="false">
      <c r="G129" s="2"/>
      <c r="H129" s="60"/>
    </row>
    <row r="130" customFormat="false" ht="12.75" hidden="false" customHeight="false" outlineLevel="0" collapsed="false">
      <c r="G130" s="2"/>
      <c r="H130" s="60"/>
    </row>
    <row r="131" customFormat="false" ht="12.75" hidden="false" customHeight="false" outlineLevel="0" collapsed="false">
      <c r="G131" s="2"/>
      <c r="H131" s="60"/>
    </row>
    <row r="132" customFormat="false" ht="12.75" hidden="false" customHeight="false" outlineLevel="0" collapsed="false">
      <c r="G132" s="2"/>
      <c r="H132" s="60"/>
    </row>
    <row r="133" customFormat="false" ht="12.75" hidden="false" customHeight="false" outlineLevel="0" collapsed="false">
      <c r="G133" s="2"/>
      <c r="H133" s="60"/>
    </row>
    <row r="134" customFormat="false" ht="12.75" hidden="false" customHeight="false" outlineLevel="0" collapsed="false">
      <c r="G134" s="2"/>
      <c r="H134" s="60"/>
    </row>
    <row r="135" customFormat="false" ht="12.75" hidden="false" customHeight="false" outlineLevel="0" collapsed="false">
      <c r="G135" s="2"/>
      <c r="H135" s="60"/>
    </row>
    <row r="136" customFormat="false" ht="12.75" hidden="false" customHeight="false" outlineLevel="0" collapsed="false">
      <c r="G136" s="2"/>
      <c r="H136" s="60"/>
    </row>
    <row r="137" customFormat="false" ht="12.75" hidden="false" customHeight="false" outlineLevel="0" collapsed="false">
      <c r="G137" s="2"/>
      <c r="H137" s="60"/>
    </row>
    <row r="138" customFormat="false" ht="12.75" hidden="false" customHeight="false" outlineLevel="0" collapsed="false">
      <c r="G138" s="2"/>
      <c r="H138" s="60"/>
    </row>
    <row r="139" customFormat="false" ht="12.75" hidden="false" customHeight="false" outlineLevel="0" collapsed="false">
      <c r="G139" s="2"/>
      <c r="H139" s="60"/>
    </row>
    <row r="140" customFormat="false" ht="12.75" hidden="false" customHeight="false" outlineLevel="0" collapsed="false">
      <c r="G140" s="2"/>
      <c r="H140" s="60"/>
    </row>
    <row r="141" customFormat="false" ht="12.75" hidden="false" customHeight="false" outlineLevel="0" collapsed="false">
      <c r="G141" s="2"/>
      <c r="H141" s="60"/>
    </row>
    <row r="142" customFormat="false" ht="12.75" hidden="false" customHeight="false" outlineLevel="0" collapsed="false">
      <c r="G142" s="2"/>
      <c r="H142" s="60"/>
    </row>
    <row r="143" customFormat="false" ht="12.75" hidden="false" customHeight="false" outlineLevel="0" collapsed="false">
      <c r="G143" s="2"/>
      <c r="H143" s="60"/>
    </row>
    <row r="144" customFormat="false" ht="12.75" hidden="false" customHeight="false" outlineLevel="0" collapsed="false">
      <c r="G144" s="2"/>
      <c r="H144" s="60"/>
    </row>
    <row r="145" customFormat="false" ht="12.75" hidden="false" customHeight="false" outlineLevel="0" collapsed="false">
      <c r="H145" s="60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5"/>
      <c r="BB370" s="75"/>
      <c r="BC370" s="75"/>
    </row>
    <row r="371" customFormat="false" ht="12.75" hidden="false" customHeight="false" outlineLevel="0" collapsed="false">
      <c r="BA371" s="75"/>
      <c r="BB371" s="75"/>
      <c r="BC371" s="75"/>
    </row>
    <row r="372" customFormat="false" ht="12.75" hidden="false" customHeight="false" outlineLevel="0" collapsed="false">
      <c r="BA372" s="75"/>
      <c r="BB372" s="75"/>
      <c r="BC372" s="75"/>
    </row>
    <row r="373" customFormat="false" ht="12.75" hidden="false" customHeight="false" outlineLevel="0" collapsed="false">
      <c r="BA373" s="75"/>
      <c r="BB373" s="75"/>
      <c r="BC373" s="75"/>
    </row>
    <row r="374" customFormat="false" ht="12.75" hidden="false" customHeight="false" outlineLevel="0" collapsed="false">
      <c r="BA374" s="75"/>
      <c r="BB374" s="75"/>
      <c r="BC374" s="75"/>
    </row>
    <row r="375" customFormat="false" ht="12.75" hidden="false" customHeight="false" outlineLevel="0" collapsed="false">
      <c r="BA375" s="75"/>
      <c r="BB375" s="75"/>
      <c r="BC375" s="75"/>
    </row>
    <row r="376" customFormat="false" ht="12.75" hidden="false" customHeight="false" outlineLevel="0" collapsed="false">
      <c r="BA376" s="75"/>
      <c r="BB376" s="75"/>
      <c r="BC376" s="75"/>
    </row>
    <row r="377" customFormat="false" ht="12.75" hidden="false" customHeight="false" outlineLevel="0" collapsed="false">
      <c r="BA377" s="75"/>
      <c r="BB377" s="75"/>
      <c r="BC377" s="75"/>
    </row>
    <row r="378" customFormat="false" ht="12.75" hidden="false" customHeight="false" outlineLevel="0" collapsed="false">
      <c r="BA378" s="75"/>
      <c r="BB378" s="75"/>
      <c r="BC378" s="75"/>
    </row>
    <row r="379" customFormat="false" ht="12.75" hidden="false" customHeight="false" outlineLevel="0" collapsed="false">
      <c r="BA379" s="75"/>
      <c r="BB379" s="75"/>
      <c r="BC379" s="75"/>
    </row>
    <row r="380" customFormat="false" ht="12.75" hidden="false" customHeight="false" outlineLevel="0" collapsed="false">
      <c r="BA380" s="75"/>
      <c r="BB380" s="75"/>
      <c r="BC380" s="75"/>
    </row>
    <row r="381" customFormat="false" ht="12.75" hidden="false" customHeight="false" outlineLevel="0" collapsed="false">
      <c r="BA381" s="75"/>
      <c r="BB381" s="75"/>
      <c r="BC381" s="75"/>
    </row>
    <row r="382" customFormat="false" ht="12.75" hidden="false" customHeight="false" outlineLevel="0" collapsed="false">
      <c r="BA382" s="75"/>
      <c r="BB382" s="75"/>
      <c r="BC382" s="75"/>
    </row>
    <row r="383" customFormat="false" ht="12.75" hidden="false" customHeight="false" outlineLevel="0" collapsed="false">
      <c r="BA383" s="75"/>
      <c r="BB383" s="75"/>
      <c r="BC383" s="75"/>
    </row>
    <row r="384" customFormat="false" ht="12.75" hidden="false" customHeight="false" outlineLevel="0" collapsed="false">
      <c r="BA384" s="75"/>
      <c r="BB384" s="75"/>
      <c r="BC384" s="75"/>
    </row>
    <row r="385" customFormat="false" ht="12.75" hidden="false" customHeight="false" outlineLevel="0" collapsed="false">
      <c r="BA385" s="75"/>
      <c r="BB385" s="75"/>
      <c r="BC385" s="75"/>
    </row>
    <row r="386" customFormat="false" ht="12.75" hidden="false" customHeight="false" outlineLevel="0" collapsed="false">
      <c r="BA386" s="75"/>
      <c r="BB386" s="75"/>
      <c r="BC386" s="75"/>
    </row>
    <row r="387" customFormat="false" ht="12.75" hidden="false" customHeight="false" outlineLevel="0" collapsed="false">
      <c r="BA387" s="75"/>
      <c r="BB387" s="75"/>
      <c r="BC387" s="75"/>
    </row>
    <row r="388" customFormat="false" ht="12.75" hidden="false" customHeight="false" outlineLevel="0" collapsed="false">
      <c r="BA388" s="75"/>
      <c r="BB388" s="75"/>
      <c r="BC388" s="75"/>
    </row>
    <row r="389" customFormat="false" ht="12.75" hidden="false" customHeight="false" outlineLevel="0" collapsed="false">
      <c r="BA389" s="75"/>
      <c r="BB389" s="75"/>
      <c r="BC389" s="75"/>
    </row>
    <row r="390" customFormat="false" ht="12.75" hidden="false" customHeight="false" outlineLevel="0" collapsed="false">
      <c r="BA390" s="75"/>
      <c r="BB390" s="75"/>
      <c r="BC390" s="75"/>
    </row>
    <row r="391" customFormat="false" ht="12.75" hidden="false" customHeight="false" outlineLevel="0" collapsed="false">
      <c r="BA391" s="75"/>
      <c r="BB391" s="75"/>
      <c r="BC391" s="75"/>
    </row>
    <row r="392" customFormat="false" ht="12.75" hidden="false" customHeight="false" outlineLevel="0" collapsed="false">
      <c r="BA392" s="75"/>
      <c r="BB392" s="75"/>
      <c r="BC392" s="75"/>
    </row>
    <row r="393" customFormat="false" ht="12.75" hidden="false" customHeight="false" outlineLevel="0" collapsed="false">
      <c r="BA393" s="75"/>
      <c r="BB393" s="75"/>
      <c r="BC393" s="75"/>
    </row>
    <row r="394" customFormat="false" ht="12.75" hidden="false" customHeight="false" outlineLevel="0" collapsed="false">
      <c r="BA394" s="75"/>
      <c r="BB394" s="75"/>
      <c r="BC394" s="75"/>
    </row>
    <row r="395" customFormat="false" ht="12.75" hidden="false" customHeight="false" outlineLevel="0" collapsed="false">
      <c r="BA395" s="75"/>
      <c r="BB395" s="75"/>
      <c r="BC395" s="75"/>
    </row>
    <row r="396" customFormat="false" ht="12.75" hidden="false" customHeight="false" outlineLevel="0" collapsed="false">
      <c r="BA396" s="75"/>
      <c r="BB396" s="75"/>
      <c r="BC396" s="75"/>
    </row>
    <row r="397" customFormat="false" ht="12.75" hidden="false" customHeight="false" outlineLevel="0" collapsed="false">
      <c r="BA397" s="75"/>
      <c r="BB397" s="75"/>
      <c r="BC397" s="75"/>
    </row>
    <row r="398" customFormat="false" ht="12.75" hidden="false" customHeight="false" outlineLevel="0" collapsed="false">
      <c r="BA398" s="75"/>
      <c r="BB398" s="75"/>
      <c r="BC398" s="75"/>
    </row>
    <row r="399" customFormat="false" ht="12.75" hidden="false" customHeight="false" outlineLevel="0" collapsed="false">
      <c r="BA399" s="75"/>
      <c r="BB399" s="75"/>
      <c r="BC399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8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5.42"/>
    <col collapsed="false" customWidth="true" hidden="false" outlineLevel="0" max="5" min="5" style="0" width="10.28"/>
    <col collapsed="false" customWidth="true" hidden="false" outlineLevel="0" max="7" min="7" style="0" width="11.28"/>
    <col collapsed="false" customWidth="true" hidden="false" outlineLevel="0" max="9" min="9" style="0" width="11.28"/>
  </cols>
  <sheetData>
    <row r="1" customFormat="false" ht="43.5" hidden="false" customHeight="true" outlineLevel="0" collapsed="false">
      <c r="B1" s="76" t="s">
        <v>57</v>
      </c>
      <c r="C1" s="26"/>
      <c r="D1" s="26"/>
      <c r="E1" s="26"/>
      <c r="F1" s="26"/>
      <c r="G1" s="26"/>
      <c r="H1" s="26"/>
      <c r="I1" s="26"/>
      <c r="J1" s="26"/>
      <c r="K1" s="77"/>
    </row>
    <row r="2" customFormat="false" ht="17.25" hidden="false" customHeight="true" outlineLevel="0" collapsed="false">
      <c r="B2" s="78"/>
      <c r="C2" s="79"/>
      <c r="D2" s="79"/>
      <c r="E2" s="79"/>
      <c r="F2" s="79"/>
      <c r="G2" s="79"/>
      <c r="H2" s="79"/>
      <c r="I2" s="79"/>
      <c r="J2" s="79"/>
      <c r="K2" s="80"/>
    </row>
    <row r="3" customFormat="false" ht="17.25" hidden="false" customHeight="true" outlineLevel="0" collapsed="false">
      <c r="B3" s="81"/>
      <c r="C3" s="82" t="s">
        <v>58</v>
      </c>
      <c r="D3" s="83"/>
      <c r="E3" s="82" t="s">
        <v>59</v>
      </c>
      <c r="F3" s="82"/>
      <c r="G3" s="82" t="s">
        <v>60</v>
      </c>
      <c r="H3" s="83"/>
      <c r="I3" s="82" t="s">
        <v>61</v>
      </c>
      <c r="J3" s="68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5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28024</v>
      </c>
      <c r="J4" s="89"/>
      <c r="K4" s="90" t="n">
        <f aca="false">+I4/($B$65*'OPERATIONAL CHARACTERISTICS'!$B$12)</f>
        <v>307.388557388557</v>
      </c>
      <c r="L4" s="0" t="s">
        <v>23</v>
      </c>
    </row>
    <row r="5" customFormat="false" ht="17.25" hidden="false" customHeight="true" outlineLevel="0" collapsed="false">
      <c r="B5" s="91" t="b">
        <f aca="false">TRUE()</f>
        <v>1</v>
      </c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96"/>
      <c r="C6" s="82" t="s">
        <v>64</v>
      </c>
      <c r="D6" s="69"/>
      <c r="E6" s="82" t="s">
        <v>59</v>
      </c>
      <c r="F6" s="68"/>
      <c r="G6" s="82" t="s">
        <v>60</v>
      </c>
      <c r="H6" s="69"/>
      <c r="I6" s="82" t="s">
        <v>61</v>
      </c>
      <c r="J6" s="68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7797.95667072503</v>
      </c>
      <c r="F7" s="89"/>
      <c r="G7" s="98" t="n">
        <v>0</v>
      </c>
      <c r="H7" s="86"/>
      <c r="I7" s="62" t="n">
        <f aca="false">(1+IF(G65,SOURCEDATA!B36,0))*(IF(B65=0,0,HLOOKUP(B65,SOURCEDATA!B3:K6,4))+G7)</f>
        <v>15595.9133414501</v>
      </c>
      <c r="J7" s="89"/>
      <c r="K7" s="90" t="n">
        <f aca="false">+I7/($B$65*'OPERATIONAL CHARACTERISTICS'!$B$12)</f>
        <v>171.067845531876</v>
      </c>
    </row>
    <row r="8" customFormat="false" ht="17.2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2" t="s">
        <v>66</v>
      </c>
      <c r="D9" s="69"/>
      <c r="E9" s="100" t="s">
        <v>67</v>
      </c>
      <c r="F9" s="100"/>
      <c r="G9" s="82" t="s">
        <v>60</v>
      </c>
      <c r="H9" s="69"/>
      <c r="I9" s="82" t="s">
        <v>61</v>
      </c>
      <c r="J9" s="68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17.25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96"/>
      <c r="C12" s="82" t="s">
        <v>69</v>
      </c>
      <c r="D12" s="69"/>
      <c r="E12" s="82" t="s">
        <v>70</v>
      </c>
      <c r="F12" s="69"/>
      <c r="G12" s="82" t="s">
        <v>60</v>
      </c>
      <c r="H12" s="69"/>
      <c r="I12" s="82" t="s">
        <v>61</v>
      </c>
      <c r="J12" s="68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885</v>
      </c>
      <c r="J13" s="89"/>
      <c r="K13" s="90" t="n">
        <f aca="false">+I13/($B$65*'OPERATIONAL CHARACTERISTICS'!$B$12)</f>
        <v>9.70735345735346</v>
      </c>
    </row>
    <row r="14" customFormat="false" ht="17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2" t="s">
        <v>69</v>
      </c>
      <c r="D15" s="69"/>
      <c r="E15" s="82" t="s">
        <v>59</v>
      </c>
      <c r="F15" s="69"/>
      <c r="G15" s="82" t="s">
        <v>60</v>
      </c>
      <c r="H15" s="69"/>
      <c r="I15" s="82" t="s">
        <v>61</v>
      </c>
      <c r="J15" s="68"/>
      <c r="K15" s="84" t="s">
        <v>62</v>
      </c>
    </row>
    <row r="16" customFormat="false" ht="17.25" hidden="false" customHeight="true" outlineLevel="0" collapsed="false">
      <c r="B16" s="85" t="s">
        <v>36</v>
      </c>
      <c r="C16" s="97"/>
      <c r="D16" s="86"/>
      <c r="E16" s="62" t="n">
        <f aca="false">+I16/$B$65</f>
        <v>0</v>
      </c>
      <c r="F16" s="102"/>
      <c r="G16" s="103" t="n">
        <v>0</v>
      </c>
      <c r="H16" s="86"/>
      <c r="I16" s="62" t="n">
        <f aca="false">+IF(F65,HLOOKUP(B65,SOURCEDATA!B30:K31,2),0)+G16</f>
        <v>0</v>
      </c>
      <c r="J16" s="89"/>
      <c r="K16" s="90" t="n">
        <f aca="false">+I16/($B$65*'OPERATIONAL CHARACTERISTICS'!$B$12)</f>
        <v>0</v>
      </c>
    </row>
    <row r="17" customFormat="false" ht="17.25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96"/>
      <c r="C18" s="82" t="s">
        <v>69</v>
      </c>
      <c r="D18" s="69"/>
      <c r="E18" s="82" t="s">
        <v>59</v>
      </c>
      <c r="F18" s="82"/>
      <c r="G18" s="82" t="s">
        <v>60</v>
      </c>
      <c r="H18" s="69"/>
      <c r="I18" s="82" t="s">
        <v>61</v>
      </c>
      <c r="J18" s="68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1268.92486849006</v>
      </c>
      <c r="F19" s="87"/>
      <c r="G19" s="88" t="n">
        <v>0</v>
      </c>
      <c r="H19" s="86"/>
      <c r="I19" s="62" t="n">
        <f aca="false">IF(H65=0,0,HLOOKUP(H65,SOURCEDATA!B3:K34,32)+G19)</f>
        <v>1268.92486849006</v>
      </c>
      <c r="J19" s="89"/>
      <c r="K19" s="90" t="n">
        <f aca="false">+I19/($B$65*'OPERATIONAL CHARACTERISTICS'!$B$12)</f>
        <v>13.9185335697839</v>
      </c>
      <c r="M19" s="104"/>
    </row>
    <row r="20" customFormat="false" ht="17.2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96"/>
      <c r="C21" s="82" t="s">
        <v>69</v>
      </c>
      <c r="D21" s="69"/>
      <c r="E21" s="69"/>
      <c r="F21" s="69"/>
      <c r="G21" s="82" t="s">
        <v>60</v>
      </c>
      <c r="H21" s="69"/>
      <c r="I21" s="82" t="s">
        <v>61</v>
      </c>
      <c r="J21" s="68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17.25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96"/>
      <c r="C24" s="82" t="s">
        <v>69</v>
      </c>
      <c r="D24" s="69"/>
      <c r="E24" s="106" t="s">
        <v>75</v>
      </c>
      <c r="F24" s="69"/>
      <c r="G24" s="82" t="s">
        <v>60</v>
      </c>
      <c r="H24" s="69"/>
      <c r="I24" s="82" t="s">
        <v>61</v>
      </c>
      <c r="J24" s="68"/>
      <c r="K24" s="84" t="s">
        <v>62</v>
      </c>
    </row>
    <row r="25" customFormat="false" ht="17.25" hidden="false" customHeight="true" outlineLevel="0" collapsed="false">
      <c r="B25" s="85" t="s">
        <v>76</v>
      </c>
      <c r="C25" s="68"/>
      <c r="D25" s="86"/>
      <c r="E25" s="107" t="n">
        <v>400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17.2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96"/>
      <c r="C27" s="68"/>
      <c r="D27" s="69"/>
      <c r="E27" s="82" t="s">
        <v>69</v>
      </c>
      <c r="F27" s="69"/>
      <c r="G27" s="82" t="s">
        <v>60</v>
      </c>
      <c r="H27" s="69"/>
      <c r="I27" s="82" t="s">
        <v>61</v>
      </c>
      <c r="J27" s="68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17.25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96"/>
      <c r="C30" s="68"/>
      <c r="D30" s="69"/>
      <c r="E30" s="82" t="s">
        <v>69</v>
      </c>
      <c r="F30" s="69"/>
      <c r="G30" s="82"/>
      <c r="H30" s="69"/>
      <c r="I30" s="82" t="s">
        <v>61</v>
      </c>
      <c r="J30" s="68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2253.12615652708</v>
      </c>
      <c r="J31" s="89"/>
      <c r="K31" s="90" t="n">
        <f aca="false">+I31/($B$65*'OPERATIONAL CHARACTERISTICS'!$B$12)</f>
        <v>24.7140022434086</v>
      </c>
    </row>
    <row r="32" customFormat="false" ht="17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68"/>
      <c r="D33" s="68"/>
      <c r="E33" s="82" t="s">
        <v>69</v>
      </c>
      <c r="F33" s="68"/>
      <c r="G33" s="82" t="s">
        <v>60</v>
      </c>
      <c r="H33" s="69"/>
      <c r="I33" s="82" t="s">
        <v>61</v>
      </c>
      <c r="J33" s="68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</row>
    <row r="35" customFormat="false" ht="17.25" hidden="false" customHeight="true" outlineLevel="0" collapsed="false">
      <c r="B35" s="115"/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48026.9643664672</v>
      </c>
      <c r="J37" s="121"/>
      <c r="K37" s="122" t="n">
        <f aca="false">K34+K28+K25+K22+K19+K16+K13+K10+K7+K4+K31</f>
        <v>526.796292190979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3"/>
      <c r="C63" s="123" t="s">
        <v>68</v>
      </c>
      <c r="D63" s="123"/>
      <c r="E63" s="123" t="s">
        <v>70</v>
      </c>
      <c r="F63" s="123"/>
      <c r="G63" s="123" t="s">
        <v>64</v>
      </c>
      <c r="H63" s="123" t="s">
        <v>72</v>
      </c>
      <c r="I63" s="123" t="s">
        <v>73</v>
      </c>
      <c r="J63" s="123" t="s">
        <v>82</v>
      </c>
      <c r="K63" s="123" t="s">
        <v>83</v>
      </c>
      <c r="L63" s="123" t="s">
        <v>84</v>
      </c>
      <c r="M63" s="123" t="s">
        <v>78</v>
      </c>
    </row>
    <row r="64" customFormat="false" ht="12.75" hidden="false" customHeight="false" outlineLevel="0" collapsed="false">
      <c r="B64" s="124" t="s">
        <v>85</v>
      </c>
      <c r="C64" s="124" t="s">
        <v>66</v>
      </c>
      <c r="D64" s="125" t="s">
        <v>86</v>
      </c>
      <c r="E64" s="124" t="s">
        <v>87</v>
      </c>
      <c r="F64" s="126" t="s">
        <v>36</v>
      </c>
      <c r="G64" s="126"/>
      <c r="H64" s="126"/>
      <c r="I64" s="126"/>
      <c r="J64" s="126"/>
      <c r="K64" s="126"/>
      <c r="L64" s="126" t="s">
        <v>88</v>
      </c>
      <c r="M64" s="126"/>
    </row>
    <row r="65" customFormat="false" ht="12.75" hidden="false" customHeight="false" outlineLevel="0" collapsed="false">
      <c r="B65" s="125" t="n">
        <f aca="false">+VALUE(B66)</f>
        <v>2</v>
      </c>
      <c r="C65" s="125" t="n">
        <f aca="false">+VALUE(C66)</f>
        <v>0</v>
      </c>
      <c r="D65" s="125" t="n">
        <f aca="false">+VALUE(D66)</f>
        <v>0</v>
      </c>
      <c r="E65" s="125" t="n">
        <f aca="false">+VALUE(E66)</f>
        <v>69</v>
      </c>
      <c r="F65" s="127" t="n">
        <f aca="false">+F66</f>
        <v>0</v>
      </c>
      <c r="G65" s="126" t="n">
        <f aca="false">+G66</f>
        <v>0</v>
      </c>
      <c r="H65" s="125" t="n">
        <f aca="false">+IF(H66,B65,0)</f>
        <v>2</v>
      </c>
      <c r="I65" s="125" t="n">
        <f aca="false">+I66</f>
        <v>0</v>
      </c>
      <c r="J65" s="126" t="n">
        <f aca="false">+J66</f>
        <v>0</v>
      </c>
      <c r="K65" s="126" t="n">
        <f aca="false">+K66</f>
        <v>0</v>
      </c>
      <c r="L65" s="126" t="n">
        <f aca="false">+L66</f>
        <v>0</v>
      </c>
      <c r="M65" s="126" t="n">
        <f aca="false">+M66</f>
        <v>1</v>
      </c>
    </row>
    <row r="66" customFormat="false" ht="12.75" hidden="false" customHeight="false" outlineLevel="0" collapsed="false">
      <c r="B66" s="128" t="s">
        <v>89</v>
      </c>
      <c r="C66" s="125" t="s">
        <v>90</v>
      </c>
      <c r="D66" s="125" t="s">
        <v>90</v>
      </c>
      <c r="E66" s="125" t="s">
        <v>91</v>
      </c>
      <c r="F66" s="129" t="b">
        <f aca="false">FALSE()</f>
        <v>0</v>
      </c>
      <c r="G66" s="126" t="b">
        <f aca="false">FALSE()</f>
        <v>0</v>
      </c>
      <c r="H66" s="130" t="b">
        <f aca="false">TRUE()</f>
        <v>1</v>
      </c>
      <c r="I66" s="126" t="b">
        <f aca="false">FALSE()</f>
        <v>0</v>
      </c>
      <c r="J66" s="126" t="b">
        <f aca="false">FALSE()</f>
        <v>0</v>
      </c>
      <c r="K66" s="126" t="b">
        <f aca="false">FALSE()</f>
        <v>0</v>
      </c>
      <c r="L66" s="126" t="b">
        <f aca="false">FALSE()</f>
        <v>0</v>
      </c>
      <c r="M66" s="126" t="b">
        <f aca="false">TRUE()</f>
        <v>1</v>
      </c>
    </row>
    <row r="67" customFormat="false" ht="12.75" hidden="false" customHeight="false" outlineLevel="0" collapsed="false">
      <c r="B67" s="131"/>
      <c r="C67" s="124"/>
      <c r="D67" s="124"/>
      <c r="E67" s="126" t="b">
        <f aca="false">TRUE()</f>
        <v>1</v>
      </c>
      <c r="F67" s="126" t="b">
        <f aca="false">TRUE()</f>
        <v>1</v>
      </c>
      <c r="G67" s="126"/>
      <c r="H67" s="126"/>
      <c r="I67" s="126"/>
      <c r="J67" s="126"/>
      <c r="K67" s="126"/>
      <c r="L67" s="126"/>
      <c r="M67" s="126"/>
    </row>
    <row r="68" customFormat="false" ht="12.75" hidden="false" customHeight="false" outlineLevel="0" collapsed="false">
      <c r="B68" s="132" t="n">
        <v>0</v>
      </c>
      <c r="C68" s="124" t="n">
        <v>0</v>
      </c>
      <c r="D68" s="124" t="n">
        <v>0</v>
      </c>
      <c r="E68" s="126" t="n">
        <v>0</v>
      </c>
      <c r="F68" s="126"/>
      <c r="G68" s="126"/>
      <c r="H68" s="126"/>
      <c r="I68" s="126"/>
      <c r="J68" s="126"/>
      <c r="K68" s="126"/>
      <c r="L68" s="126"/>
      <c r="M68" s="126"/>
    </row>
    <row r="69" customFormat="false" ht="12.75" hidden="false" customHeight="false" outlineLevel="0" collapsed="false">
      <c r="B69" s="132" t="n">
        <v>1</v>
      </c>
      <c r="C69" s="124" t="n">
        <v>1</v>
      </c>
      <c r="D69" s="124" t="n">
        <v>4</v>
      </c>
      <c r="E69" s="126" t="n">
        <v>69</v>
      </c>
      <c r="F69" s="126"/>
      <c r="G69" s="126"/>
      <c r="H69" s="126"/>
      <c r="I69" s="126"/>
      <c r="J69" s="126"/>
      <c r="K69" s="126"/>
      <c r="L69" s="126"/>
      <c r="M69" s="126"/>
    </row>
    <row r="70" customFormat="false" ht="12.75" hidden="false" customHeight="false" outlineLevel="0" collapsed="false">
      <c r="B70" s="132" t="n">
        <v>2</v>
      </c>
      <c r="C70" s="124" t="n">
        <v>2</v>
      </c>
      <c r="D70" s="124" t="n">
        <v>10</v>
      </c>
      <c r="E70" s="126" t="n">
        <v>138</v>
      </c>
      <c r="F70" s="126"/>
      <c r="G70" s="126"/>
      <c r="H70" s="126"/>
      <c r="I70" s="126"/>
      <c r="J70" s="126"/>
      <c r="K70" s="126"/>
      <c r="L70" s="126"/>
      <c r="M70" s="126"/>
    </row>
    <row r="71" customFormat="false" ht="12.75" hidden="false" customHeight="false" outlineLevel="0" collapsed="false">
      <c r="B71" s="132" t="n">
        <v>3</v>
      </c>
      <c r="C71" s="124" t="n">
        <v>3</v>
      </c>
      <c r="D71" s="124" t="n">
        <v>16</v>
      </c>
      <c r="E71" s="126" t="n">
        <v>230</v>
      </c>
      <c r="F71" s="126"/>
      <c r="G71" s="126"/>
      <c r="H71" s="126"/>
      <c r="I71" s="126"/>
      <c r="J71" s="126"/>
      <c r="K71" s="126"/>
      <c r="L71" s="126"/>
      <c r="M71" s="126"/>
    </row>
    <row r="72" customFormat="false" ht="12.75" hidden="false" customHeight="false" outlineLevel="0" collapsed="false">
      <c r="B72" s="132" t="n">
        <v>4</v>
      </c>
      <c r="C72" s="124" t="n">
        <v>4</v>
      </c>
      <c r="D72" s="124" t="n">
        <v>24</v>
      </c>
      <c r="E72" s="126" t="n">
        <v>345</v>
      </c>
      <c r="F72" s="126"/>
      <c r="G72" s="126"/>
      <c r="H72" s="126"/>
      <c r="I72" s="126"/>
      <c r="J72" s="126"/>
      <c r="K72" s="126"/>
      <c r="L72" s="126"/>
      <c r="M72" s="126"/>
    </row>
    <row r="73" customFormat="false" ht="12.75" hidden="false" customHeight="false" outlineLevel="0" collapsed="false">
      <c r="B73" s="132" t="n">
        <v>5</v>
      </c>
      <c r="C73" s="124" t="n">
        <v>5</v>
      </c>
      <c r="D73" s="124"/>
      <c r="E73" s="126" t="n">
        <v>500</v>
      </c>
      <c r="F73" s="126"/>
      <c r="G73" s="126"/>
      <c r="H73" s="126"/>
      <c r="I73" s="126"/>
      <c r="J73" s="126"/>
      <c r="K73" s="126"/>
      <c r="L73" s="126"/>
      <c r="M73" s="126"/>
    </row>
    <row r="74" customFormat="false" ht="12.75" hidden="false" customHeight="false" outlineLevel="0" collapsed="false">
      <c r="B74" s="132" t="n">
        <v>6</v>
      </c>
      <c r="C74" s="124" t="n">
        <v>6</v>
      </c>
      <c r="D74" s="124"/>
      <c r="E74" s="126" t="n">
        <v>745</v>
      </c>
      <c r="F74" s="126"/>
      <c r="G74" s="126"/>
      <c r="H74" s="126"/>
      <c r="I74" s="126"/>
      <c r="J74" s="126"/>
      <c r="K74" s="126"/>
      <c r="L74" s="126"/>
      <c r="M74" s="126"/>
    </row>
    <row r="75" customFormat="false" ht="12.75" hidden="false" customHeight="false" outlineLevel="0" collapsed="false">
      <c r="B75" s="132" t="n">
        <v>7</v>
      </c>
      <c r="C75" s="124" t="n">
        <v>7</v>
      </c>
      <c r="D75" s="124"/>
      <c r="E75" s="126"/>
      <c r="F75" s="126"/>
      <c r="G75" s="126"/>
      <c r="H75" s="126"/>
      <c r="I75" s="126"/>
      <c r="J75" s="126"/>
      <c r="K75" s="126"/>
      <c r="L75" s="126"/>
      <c r="M75" s="126"/>
    </row>
    <row r="76" customFormat="false" ht="12.75" hidden="false" customHeight="false" outlineLevel="0" collapsed="false">
      <c r="B76" s="132" t="n">
        <v>8</v>
      </c>
      <c r="C76" s="124" t="n">
        <v>8</v>
      </c>
      <c r="D76" s="124"/>
      <c r="E76" s="126"/>
      <c r="F76" s="126"/>
      <c r="G76" s="126"/>
      <c r="H76" s="126"/>
      <c r="I76" s="126"/>
      <c r="J76" s="126"/>
      <c r="K76" s="126"/>
      <c r="L76" s="126"/>
      <c r="M76" s="126"/>
    </row>
    <row r="77" customFormat="false" ht="12.75" hidden="false" customHeight="false" outlineLevel="0" collapsed="false">
      <c r="B77" s="132" t="n">
        <v>9</v>
      </c>
      <c r="C77" s="124" t="n">
        <v>9</v>
      </c>
      <c r="D77" s="124"/>
      <c r="E77" s="126"/>
      <c r="F77" s="126"/>
      <c r="G77" s="126"/>
      <c r="H77" s="126"/>
      <c r="I77" s="126"/>
      <c r="J77" s="126"/>
      <c r="K77" s="126"/>
      <c r="L77" s="126"/>
      <c r="M77" s="126"/>
    </row>
    <row r="78" customFormat="false" ht="12.75" hidden="false" customHeight="false" outlineLevel="0" collapsed="false">
      <c r="B78" s="133" t="n">
        <v>10</v>
      </c>
      <c r="C78" s="134" t="n">
        <v>10</v>
      </c>
      <c r="D78" s="134"/>
      <c r="E78" s="134"/>
      <c r="F78" s="134"/>
      <c r="G78" s="134"/>
      <c r="H78" s="134"/>
      <c r="I78" s="134"/>
      <c r="J78" s="134"/>
      <c r="K78" s="134"/>
      <c r="L78" s="134"/>
      <c r="M78" s="134"/>
    </row>
    <row r="82" customFormat="false" ht="12.75" hidden="false" customHeight="false" outlineLevel="0" collapsed="false">
      <c r="I82" s="135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6" activeCellId="0" sqref="I25:I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92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6" t="s">
        <v>93</v>
      </c>
      <c r="C4" s="26"/>
      <c r="D4" s="26"/>
      <c r="E4" s="137" t="s">
        <v>94</v>
      </c>
      <c r="F4" s="137" t="s">
        <v>95</v>
      </c>
      <c r="G4" s="137" t="s">
        <v>94</v>
      </c>
      <c r="H4" s="138" t="s">
        <v>95</v>
      </c>
      <c r="I4" s="26"/>
      <c r="J4" s="139"/>
    </row>
    <row r="5" customFormat="false" ht="12.75" hidden="false" customHeight="false" outlineLevel="0" collapsed="false">
      <c r="C5" s="140"/>
      <c r="D5" s="141"/>
      <c r="E5" s="142"/>
      <c r="F5" s="142"/>
      <c r="G5" s="142"/>
      <c r="H5" s="143"/>
      <c r="I5" s="79"/>
      <c r="J5" s="80"/>
    </row>
    <row r="6" customFormat="false" ht="12.75" hidden="false" customHeight="false" outlineLevel="0" collapsed="false">
      <c r="C6" s="144"/>
      <c r="D6" s="145"/>
      <c r="E6" s="146" t="s">
        <v>96</v>
      </c>
      <c r="F6" s="146" t="s">
        <v>96</v>
      </c>
      <c r="G6" s="147" t="s">
        <v>97</v>
      </c>
      <c r="H6" s="148" t="s">
        <v>97</v>
      </c>
      <c r="I6" s="68"/>
      <c r="J6" s="149"/>
    </row>
    <row r="7" customFormat="false" ht="12.75" hidden="false" customHeight="false" outlineLevel="0" collapsed="false">
      <c r="C7" s="81" t="s">
        <v>98</v>
      </c>
      <c r="D7" s="150"/>
      <c r="E7" s="151" t="n">
        <v>48.3</v>
      </c>
      <c r="F7" s="151" t="n">
        <v>48.3</v>
      </c>
      <c r="G7" s="151" t="n">
        <v>45.5</v>
      </c>
      <c r="H7" s="152" t="n">
        <v>34.5</v>
      </c>
      <c r="I7" s="68"/>
      <c r="J7" s="149"/>
    </row>
    <row r="8" customFormat="false" ht="12.75" hidden="false" customHeight="false" outlineLevel="0" collapsed="false">
      <c r="C8" s="81" t="s">
        <v>99</v>
      </c>
      <c r="D8" s="153" t="n">
        <v>0.015</v>
      </c>
      <c r="E8" s="151" t="n">
        <f aca="false">-$E7*D8</f>
        <v>-0.7245</v>
      </c>
      <c r="F8" s="151" t="n">
        <f aca="false">-F$7*$D8</f>
        <v>-0.7245</v>
      </c>
      <c r="G8" s="151" t="n">
        <f aca="false">-G$7*$D8</f>
        <v>-0.6825</v>
      </c>
      <c r="H8" s="152" t="n">
        <f aca="false">-H$7*$D8</f>
        <v>-0.5175</v>
      </c>
      <c r="I8" s="68"/>
      <c r="J8" s="149"/>
    </row>
    <row r="9" customFormat="false" ht="12.75" hidden="false" customHeight="false" outlineLevel="0" collapsed="false">
      <c r="C9" s="81" t="s">
        <v>100</v>
      </c>
      <c r="D9" s="153" t="n">
        <v>0.005</v>
      </c>
      <c r="E9" s="151" t="n">
        <f aca="false">-$E7*D9</f>
        <v>-0.2415</v>
      </c>
      <c r="F9" s="151" t="n">
        <f aca="false">-F$7*$D9</f>
        <v>-0.2415</v>
      </c>
      <c r="G9" s="151" t="n">
        <f aca="false">-G$7*$D9</f>
        <v>-0.2275</v>
      </c>
      <c r="H9" s="152" t="n">
        <f aca="false">-H$7*$D9</f>
        <v>-0.1725</v>
      </c>
      <c r="I9" s="68"/>
      <c r="J9" s="149"/>
    </row>
    <row r="10" customFormat="false" ht="12.75" hidden="false" customHeight="false" outlineLevel="0" collapsed="false">
      <c r="C10" s="81" t="s">
        <v>101</v>
      </c>
      <c r="D10" s="150"/>
      <c r="E10" s="151" t="n">
        <f aca="false">IF(PROJECTCONFIGURATION!$J$65,-SOURCEDATA!$P$48/1000,0)</f>
        <v>0</v>
      </c>
      <c r="F10" s="151" t="n">
        <f aca="false">IF(PROJECTCONFIGURATION!$J$65,-SOURCEDATA!$P$48/1000,0)</f>
        <v>0</v>
      </c>
      <c r="G10" s="151" t="n">
        <f aca="false">IF(PROJECTCONFIGURATION!$J$65,-SOURCEDATA!$P$48/1000,0)</f>
        <v>0</v>
      </c>
      <c r="H10" s="152" t="n">
        <f aca="false">IF(PROJECTCONFIGURATION!$J$65,-SOURCEDATA!$P$48/1000,0)</f>
        <v>0</v>
      </c>
      <c r="I10" s="68"/>
      <c r="J10" s="149"/>
      <c r="L10" s="104" t="s">
        <v>102</v>
      </c>
    </row>
    <row r="11" customFormat="false" ht="12.75" hidden="false" customHeight="false" outlineLevel="0" collapsed="false">
      <c r="B11" s="154"/>
      <c r="C11" s="68" t="s">
        <v>103</v>
      </c>
      <c r="D11" s="150"/>
      <c r="E11" s="155" t="n">
        <v>-0.2</v>
      </c>
      <c r="F11" s="155" t="n">
        <v>-1.75</v>
      </c>
      <c r="G11" s="155" t="n">
        <v>0</v>
      </c>
      <c r="H11" s="156" t="n">
        <v>0</v>
      </c>
      <c r="I11" s="68"/>
      <c r="J11" s="149"/>
    </row>
    <row r="12" customFormat="false" ht="12.75" hidden="false" customHeight="false" outlineLevel="0" collapsed="false">
      <c r="B12" s="157" t="n">
        <f aca="false">+IF(AND(chillers,iso),E12,IF(iso,G12,IF(chillers,F12,H12)))</f>
        <v>45.584</v>
      </c>
      <c r="C12" s="68" t="s">
        <v>11</v>
      </c>
      <c r="D12" s="150"/>
      <c r="E12" s="151" t="n">
        <f aca="false">SUM(E7:E11)</f>
        <v>47.134</v>
      </c>
      <c r="F12" s="151" t="n">
        <f aca="false">SUM(F7:F11)</f>
        <v>45.584</v>
      </c>
      <c r="G12" s="151" t="n">
        <f aca="false">SUM(G7:G11)</f>
        <v>44.59</v>
      </c>
      <c r="H12" s="152" t="n">
        <f aca="false">SUM(H7:H11)</f>
        <v>33.81</v>
      </c>
      <c r="I12" s="68"/>
      <c r="J12" s="149"/>
    </row>
    <row r="13" customFormat="false" ht="12.75" hidden="false" customHeight="false" outlineLevel="0" collapsed="false">
      <c r="B13" s="154"/>
      <c r="C13" s="81" t="s">
        <v>104</v>
      </c>
      <c r="D13" s="150"/>
      <c r="E13" s="150"/>
      <c r="F13" s="150"/>
      <c r="G13" s="150"/>
      <c r="H13" s="158"/>
      <c r="I13" s="68"/>
      <c r="J13" s="149"/>
    </row>
    <row r="14" customFormat="false" ht="12.75" hidden="false" customHeight="false" outlineLevel="0" collapsed="false">
      <c r="B14" s="159" t="n">
        <f aca="false">+IF(AND(chillers,iso),E14,IF(iso,G14,IF(chillers,F14,H14)))</f>
        <v>9332.00245700246</v>
      </c>
      <c r="C14" s="81" t="s">
        <v>105</v>
      </c>
      <c r="D14" s="150"/>
      <c r="E14" s="160" t="n">
        <f aca="false">(413000*1.03)/E12</f>
        <v>9025.11987100607</v>
      </c>
      <c r="F14" s="160" t="n">
        <f aca="false">(413000*1.03)/F12</f>
        <v>9332.00245700246</v>
      </c>
      <c r="G14" s="160" t="n">
        <f aca="false">(392000*1.03)/G12</f>
        <v>9054.94505494505</v>
      </c>
      <c r="H14" s="161" t="n">
        <f aca="false">(317000*1.03)/H12</f>
        <v>9657.20201123928</v>
      </c>
      <c r="I14" s="68"/>
      <c r="J14" s="149"/>
    </row>
    <row r="15" customFormat="false" ht="13.5" hidden="false" customHeight="false" outlineLevel="0" collapsed="false">
      <c r="B15" s="154"/>
      <c r="C15" s="162" t="str">
        <f aca="false">C13</f>
        <v>          NOTE: These are New and Clean data</v>
      </c>
      <c r="D15" s="163" t="s">
        <v>106</v>
      </c>
      <c r="E15" s="110"/>
      <c r="F15" s="110"/>
      <c r="G15" s="110"/>
      <c r="H15" s="164"/>
      <c r="I15" s="110"/>
      <c r="J15" s="164"/>
    </row>
    <row r="16" customFormat="false" ht="13.5" hidden="false" customHeight="false" outlineLevel="0" collapsed="false"/>
    <row r="17" customFormat="false" ht="13.5" hidden="false" customHeight="false" outlineLevel="0" collapsed="false">
      <c r="B17" s="136" t="s">
        <v>107</v>
      </c>
      <c r="C17" s="26"/>
      <c r="D17" s="26"/>
      <c r="E17" s="137"/>
      <c r="F17" s="137"/>
      <c r="G17" s="26"/>
      <c r="H17" s="139"/>
    </row>
    <row r="18" customFormat="false" ht="12.75" hidden="false" customHeight="false" outlineLevel="0" collapsed="false">
      <c r="C18" s="140"/>
      <c r="D18" s="141"/>
      <c r="E18" s="142"/>
      <c r="F18" s="142"/>
      <c r="G18" s="79"/>
      <c r="H18" s="80"/>
    </row>
    <row r="19" customFormat="false" ht="12.75" hidden="false" customHeight="false" outlineLevel="0" collapsed="false">
      <c r="C19" s="81" t="s">
        <v>108</v>
      </c>
      <c r="D19" s="68"/>
      <c r="E19" s="165" t="n">
        <v>10</v>
      </c>
      <c r="F19" s="165" t="s">
        <v>109</v>
      </c>
      <c r="G19" s="68"/>
      <c r="H19" s="149"/>
      <c r="J19" s="104" t="s">
        <v>110</v>
      </c>
    </row>
    <row r="20" customFormat="false" ht="12.75" hidden="false" customHeight="false" outlineLevel="0" collapsed="false">
      <c r="C20" s="81" t="s">
        <v>111</v>
      </c>
      <c r="D20" s="68"/>
      <c r="E20" s="165" t="n">
        <v>5</v>
      </c>
      <c r="F20" s="165" t="s">
        <v>109</v>
      </c>
      <c r="G20" s="68"/>
      <c r="H20" s="149"/>
    </row>
    <row r="21" customFormat="false" ht="12.75" hidden="false" customHeight="false" outlineLevel="0" collapsed="false">
      <c r="C21" s="81" t="s">
        <v>112</v>
      </c>
      <c r="D21" s="68"/>
      <c r="E21" s="166" t="n">
        <v>30</v>
      </c>
      <c r="F21" s="165" t="s">
        <v>109</v>
      </c>
      <c r="G21" s="68"/>
      <c r="H21" s="167"/>
    </row>
    <row r="22" customFormat="false" ht="13.5" hidden="false" customHeight="false" outlineLevel="0" collapsed="false">
      <c r="C22" s="168"/>
      <c r="D22" s="110"/>
      <c r="E22" s="110"/>
      <c r="F22" s="110"/>
      <c r="G22" s="110"/>
      <c r="H22" s="164"/>
    </row>
    <row r="23" customFormat="false" ht="13.5" hidden="false" customHeight="false" outlineLevel="0" collapsed="false"/>
    <row r="24" customFormat="false" ht="13.5" hidden="false" customHeight="false" outlineLevel="0" collapsed="false">
      <c r="B24" s="136" t="s">
        <v>113</v>
      </c>
      <c r="C24" s="26"/>
      <c r="D24" s="26"/>
      <c r="E24" s="137"/>
      <c r="F24" s="137"/>
      <c r="G24" s="26"/>
      <c r="H24" s="139"/>
    </row>
    <row r="25" customFormat="false" ht="12.75" hidden="false" customHeight="false" outlineLevel="0" collapsed="false">
      <c r="C25" s="140"/>
      <c r="D25" s="141"/>
      <c r="E25" s="142"/>
      <c r="F25" s="142"/>
      <c r="G25" s="79"/>
      <c r="H25" s="80"/>
      <c r="J25" s="0" t="n">
        <f aca="false">1400/0.4</f>
        <v>3500</v>
      </c>
    </row>
    <row r="26" customFormat="false" ht="12.75" hidden="false" customHeight="false" outlineLevel="0" collapsed="false">
      <c r="C26" s="81" t="s">
        <v>114</v>
      </c>
      <c r="D26" s="68"/>
      <c r="E26" s="169" t="n">
        <v>0.95</v>
      </c>
      <c r="F26" s="165" t="s">
        <v>115</v>
      </c>
      <c r="G26" s="68"/>
      <c r="H26" s="149"/>
      <c r="J26" s="0" t="n">
        <f aca="false">+J25/50</f>
        <v>70</v>
      </c>
    </row>
    <row r="27" customFormat="false" ht="12.75" hidden="false" customHeight="false" outlineLevel="0" collapsed="false">
      <c r="C27" s="81" t="s">
        <v>116</v>
      </c>
      <c r="D27" s="68"/>
      <c r="E27" s="170" t="n">
        <v>800</v>
      </c>
      <c r="F27" s="165" t="s">
        <v>117</v>
      </c>
      <c r="G27" s="68"/>
      <c r="H27" s="149"/>
    </row>
    <row r="28" customFormat="false" ht="12.75" hidden="false" customHeight="false" outlineLevel="0" collapsed="false">
      <c r="C28" s="81"/>
      <c r="D28" s="68"/>
      <c r="E28" s="166"/>
      <c r="F28" s="165"/>
      <c r="G28" s="68"/>
      <c r="H28" s="149"/>
    </row>
    <row r="29" customFormat="false" ht="12.75" hidden="false" customHeight="false" outlineLevel="0" collapsed="false">
      <c r="C29" s="81" t="s">
        <v>118</v>
      </c>
      <c r="D29" s="68"/>
      <c r="E29" s="171" t="s">
        <v>119</v>
      </c>
      <c r="F29" s="172" t="s">
        <v>120</v>
      </c>
      <c r="G29" s="68"/>
      <c r="H29" s="149"/>
    </row>
    <row r="30" customFormat="false" ht="12.75" hidden="false" customHeight="false" outlineLevel="0" collapsed="false">
      <c r="C30" s="81" t="s">
        <v>121</v>
      </c>
      <c r="D30" s="68"/>
      <c r="E30" s="173" t="n">
        <v>250000</v>
      </c>
      <c r="F30" s="165" t="s">
        <v>122</v>
      </c>
      <c r="G30" s="68"/>
      <c r="H30" s="149"/>
    </row>
    <row r="31" customFormat="false" ht="12.75" hidden="false" customHeight="false" outlineLevel="0" collapsed="false">
      <c r="C31" s="81" t="s">
        <v>123</v>
      </c>
      <c r="D31" s="68"/>
      <c r="E31" s="173" t="n">
        <v>500000</v>
      </c>
      <c r="F31" s="165" t="s">
        <v>124</v>
      </c>
      <c r="G31" s="68"/>
      <c r="H31" s="149"/>
    </row>
    <row r="32" customFormat="false" ht="12.75" hidden="false" customHeight="false" outlineLevel="0" collapsed="false">
      <c r="C32" s="81" t="s">
        <v>125</v>
      </c>
      <c r="D32" s="68"/>
      <c r="E32" s="173" t="n">
        <v>250000</v>
      </c>
      <c r="F32" s="165" t="s">
        <v>122</v>
      </c>
      <c r="G32" s="68"/>
      <c r="H32" s="149"/>
    </row>
    <row r="33" customFormat="false" ht="12.75" hidden="false" customHeight="false" outlineLevel="0" collapsed="false">
      <c r="C33" s="81" t="s">
        <v>126</v>
      </c>
      <c r="D33" s="68"/>
      <c r="E33" s="173" t="n">
        <v>500000</v>
      </c>
      <c r="F33" s="165" t="s">
        <v>124</v>
      </c>
      <c r="G33" s="68"/>
      <c r="H33" s="149"/>
    </row>
    <row r="34" customFormat="false" ht="12.75" hidden="false" customHeight="false" outlineLevel="0" collapsed="false">
      <c r="C34" s="81" t="s">
        <v>127</v>
      </c>
      <c r="D34" s="68"/>
      <c r="E34" s="173" t="n">
        <v>1200000</v>
      </c>
      <c r="F34" s="165" t="s">
        <v>128</v>
      </c>
      <c r="G34" s="68"/>
      <c r="H34" s="149"/>
    </row>
    <row r="35" customFormat="false" ht="13.5" hidden="false" customHeight="false" outlineLevel="0" collapsed="false">
      <c r="C35" s="168"/>
      <c r="D35" s="110"/>
      <c r="E35" s="174"/>
      <c r="F35" s="175"/>
      <c r="G35" s="110"/>
      <c r="H35" s="164"/>
    </row>
    <row r="36" customFormat="false" ht="13.5" hidden="false" customHeight="false" outlineLevel="0" collapsed="false"/>
    <row r="37" customFormat="false" ht="13.5" hidden="false" customHeight="false" outlineLevel="0" collapsed="false">
      <c r="B37" s="136" t="s">
        <v>129</v>
      </c>
      <c r="C37" s="26"/>
      <c r="D37" s="26"/>
      <c r="E37" s="137"/>
      <c r="F37" s="137"/>
      <c r="G37" s="26"/>
      <c r="H37" s="139"/>
    </row>
    <row r="38" customFormat="false" ht="12.75" hidden="false" customHeight="false" outlineLevel="0" collapsed="false">
      <c r="C38" s="140"/>
      <c r="D38" s="141"/>
      <c r="E38" s="142"/>
      <c r="F38" s="142"/>
      <c r="G38" s="79"/>
      <c r="H38" s="80"/>
    </row>
    <row r="39" customFormat="false" ht="12.75" hidden="false" customHeight="false" outlineLevel="0" collapsed="false">
      <c r="C39" s="81" t="s">
        <v>130</v>
      </c>
      <c r="D39" s="68"/>
      <c r="E39" s="170" t="n">
        <v>14000000</v>
      </c>
      <c r="F39" s="165"/>
      <c r="G39" s="68"/>
      <c r="H39" s="149"/>
    </row>
    <row r="40" customFormat="false" ht="12.75" hidden="false" customHeight="false" outlineLevel="0" collapsed="false">
      <c r="C40" s="81" t="s">
        <v>131</v>
      </c>
      <c r="D40" s="68"/>
      <c r="E40" s="170" t="n">
        <v>500000</v>
      </c>
      <c r="F40" s="165"/>
      <c r="G40" s="68"/>
      <c r="H40" s="149"/>
    </row>
    <row r="41" customFormat="false" ht="13.5" hidden="false" customHeight="false" outlineLevel="0" collapsed="false">
      <c r="C41" s="168" t="s">
        <v>132</v>
      </c>
      <c r="D41" s="68"/>
      <c r="E41" s="176" t="n">
        <v>65000</v>
      </c>
      <c r="F41" s="165"/>
      <c r="G41" s="68"/>
      <c r="H41" s="149"/>
    </row>
    <row r="42" customFormat="false" ht="12.75" hidden="false" customHeight="false" outlineLevel="0" collapsed="false">
      <c r="C42" s="144" t="s">
        <v>133</v>
      </c>
      <c r="D42" s="68"/>
      <c r="E42" s="177" t="n">
        <f aca="false">SUM(E39:E41)</f>
        <v>14565000</v>
      </c>
      <c r="F42" s="68"/>
      <c r="G42" s="68"/>
      <c r="H42" s="149"/>
    </row>
    <row r="43" customFormat="false" ht="12.75" hidden="false" customHeight="false" outlineLevel="0" collapsed="false">
      <c r="C43" s="81"/>
      <c r="D43" s="68"/>
      <c r="E43" s="68"/>
      <c r="F43" s="68"/>
      <c r="G43" s="68"/>
      <c r="H43" s="149"/>
    </row>
    <row r="44" customFormat="false" ht="12.75" hidden="false" customHeight="false" outlineLevel="0" collapsed="false">
      <c r="C44" s="144" t="s">
        <v>134</v>
      </c>
      <c r="D44" s="68"/>
      <c r="E44" s="178" t="s">
        <v>135</v>
      </c>
      <c r="F44" s="68"/>
      <c r="G44" s="68"/>
      <c r="H44" s="149"/>
    </row>
    <row r="45" customFormat="false" ht="13.5" hidden="false" customHeight="false" outlineLevel="0" collapsed="false">
      <c r="C45" s="168"/>
      <c r="D45" s="110"/>
      <c r="E45" s="110"/>
      <c r="F45" s="110"/>
      <c r="G45" s="110"/>
      <c r="H45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" activeCellId="0" sqref="B2:K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136</v>
      </c>
    </row>
    <row r="3" customFormat="false" ht="12.75" hidden="false" customHeight="false" outlineLevel="0" collapsed="false">
      <c r="E3" s="179"/>
    </row>
    <row r="4" customFormat="false" ht="13.5" hidden="false" customHeight="false" outlineLevel="0" collapsed="false">
      <c r="E4" s="179"/>
    </row>
    <row r="5" customFormat="false" ht="12.75" hidden="false" customHeight="false" outlineLevel="0" collapsed="false">
      <c r="B5" s="180"/>
      <c r="C5" s="181"/>
      <c r="D5" s="182"/>
      <c r="E5" s="183"/>
      <c r="F5" s="182"/>
      <c r="G5" s="183"/>
      <c r="H5" s="184"/>
      <c r="I5" s="182"/>
      <c r="J5" s="79"/>
      <c r="K5" s="182"/>
    </row>
    <row r="6" customFormat="false" ht="12.75" hidden="false" customHeight="false" outlineLevel="0" collapsed="false">
      <c r="B6" s="185" t="s">
        <v>137</v>
      </c>
      <c r="C6" s="186" t="s">
        <v>138</v>
      </c>
      <c r="D6" s="187" t="s">
        <v>139</v>
      </c>
      <c r="E6" s="188"/>
      <c r="F6" s="187" t="s">
        <v>139</v>
      </c>
      <c r="G6" s="188"/>
      <c r="H6" s="189"/>
      <c r="I6" s="187" t="s">
        <v>140</v>
      </c>
      <c r="J6" s="68"/>
      <c r="K6" s="187" t="s">
        <v>140</v>
      </c>
    </row>
    <row r="7" customFormat="false" ht="12.75" hidden="false" customHeight="false" outlineLevel="0" collapsed="false">
      <c r="B7" s="185" t="s">
        <v>141</v>
      </c>
      <c r="C7" s="186" t="s">
        <v>142</v>
      </c>
      <c r="D7" s="187" t="s">
        <v>143</v>
      </c>
      <c r="E7" s="188"/>
      <c r="F7" s="187" t="s">
        <v>143</v>
      </c>
      <c r="G7" s="188"/>
      <c r="H7" s="189"/>
      <c r="I7" s="187" t="s">
        <v>143</v>
      </c>
      <c r="J7" s="68"/>
      <c r="K7" s="187" t="s">
        <v>143</v>
      </c>
    </row>
    <row r="8" customFormat="false" ht="12.75" hidden="false" customHeight="false" outlineLevel="0" collapsed="false">
      <c r="B8" s="185"/>
      <c r="C8" s="186"/>
      <c r="D8" s="187"/>
      <c r="E8" s="188"/>
      <c r="F8" s="187" t="s">
        <v>144</v>
      </c>
      <c r="G8" s="188"/>
      <c r="H8" s="189"/>
      <c r="I8" s="187"/>
      <c r="J8" s="68"/>
      <c r="K8" s="187" t="str">
        <f aca="false">F8</f>
        <v>base configuration</v>
      </c>
    </row>
    <row r="9" customFormat="false" ht="12.75" hidden="false" customHeight="false" outlineLevel="0" collapsed="false">
      <c r="B9" s="190"/>
      <c r="C9" s="191"/>
      <c r="D9" s="192"/>
      <c r="E9" s="193"/>
      <c r="F9" s="192"/>
      <c r="G9" s="193"/>
      <c r="H9" s="189"/>
      <c r="I9" s="192"/>
      <c r="J9" s="68"/>
      <c r="K9" s="192"/>
    </row>
    <row r="10" customFormat="false" ht="13.5" hidden="false" customHeight="false" outlineLevel="0" collapsed="false">
      <c r="B10" s="194"/>
      <c r="C10" s="195"/>
      <c r="D10" s="196"/>
      <c r="E10" s="193"/>
      <c r="F10" s="196"/>
      <c r="G10" s="193"/>
      <c r="H10" s="189"/>
      <c r="I10" s="196"/>
      <c r="J10" s="68"/>
      <c r="K10" s="196"/>
    </row>
    <row r="11" customFormat="false" ht="12.75" hidden="false" customHeight="false" outlineLevel="0" collapsed="false">
      <c r="B11" s="144" t="s">
        <v>145</v>
      </c>
      <c r="C11" s="197"/>
      <c r="D11" s="198" t="s">
        <v>61</v>
      </c>
      <c r="E11" s="188"/>
      <c r="F11" s="198" t="s">
        <v>61</v>
      </c>
      <c r="G11" s="188"/>
      <c r="H11" s="199"/>
      <c r="I11" s="198" t="s">
        <v>61</v>
      </c>
      <c r="J11" s="68"/>
      <c r="K11" s="198" t="s">
        <v>61</v>
      </c>
    </row>
    <row r="12" customFormat="false" ht="12.75" hidden="false" customHeight="false" outlineLevel="0" collapsed="false">
      <c r="B12" s="144"/>
      <c r="C12" s="197"/>
      <c r="D12" s="198"/>
      <c r="E12" s="188"/>
      <c r="F12" s="198"/>
      <c r="G12" s="188"/>
      <c r="H12" s="199"/>
      <c r="I12" s="198"/>
      <c r="J12" s="68"/>
      <c r="K12" s="198"/>
    </row>
    <row r="13" customFormat="false" ht="13.5" hidden="false" customHeight="false" outlineLevel="0" collapsed="false">
      <c r="B13" s="144" t="s">
        <v>146</v>
      </c>
      <c r="C13" s="197"/>
      <c r="D13" s="198" t="n">
        <v>2</v>
      </c>
      <c r="E13" s="188"/>
      <c r="F13" s="198" t="n">
        <v>2</v>
      </c>
      <c r="G13" s="188"/>
      <c r="H13" s="199"/>
      <c r="I13" s="198" t="n">
        <v>4</v>
      </c>
      <c r="J13" s="68"/>
      <c r="K13" s="198" t="n">
        <v>4</v>
      </c>
    </row>
    <row r="14" customFormat="false" ht="16.5" hidden="false" customHeight="false" outlineLevel="0" collapsed="false">
      <c r="B14" s="200" t="s">
        <v>147</v>
      </c>
      <c r="C14" s="201"/>
      <c r="D14" s="202"/>
      <c r="E14" s="203"/>
      <c r="F14" s="202"/>
      <c r="G14" s="203"/>
      <c r="H14" s="199"/>
      <c r="I14" s="202"/>
      <c r="J14" s="68"/>
      <c r="K14" s="202"/>
    </row>
    <row r="15" customFormat="false" ht="13.5" hidden="false" customHeight="false" outlineLevel="0" collapsed="false">
      <c r="B15" s="81" t="s">
        <v>148</v>
      </c>
      <c r="C15" s="204"/>
      <c r="D15" s="205" t="n">
        <v>601000</v>
      </c>
      <c r="E15" s="206"/>
      <c r="F15" s="205" t="n">
        <v>601000</v>
      </c>
      <c r="G15" s="206"/>
      <c r="H15" s="199" t="n">
        <v>1.1</v>
      </c>
      <c r="I15" s="207" t="n">
        <f aca="false">+H15*D15</f>
        <v>661100</v>
      </c>
      <c r="J15" s="68"/>
      <c r="K15" s="207" t="n">
        <f aca="false">F15*H15</f>
        <v>661100</v>
      </c>
    </row>
    <row r="16" customFormat="false" ht="16.5" hidden="false" customHeight="false" outlineLevel="0" collapsed="false">
      <c r="B16" s="200" t="s">
        <v>149</v>
      </c>
      <c r="C16" s="201"/>
      <c r="D16" s="202"/>
      <c r="E16" s="203"/>
      <c r="F16" s="202"/>
      <c r="G16" s="203"/>
      <c r="H16" s="199"/>
      <c r="I16" s="202"/>
      <c r="J16" s="68"/>
      <c r="K16" s="202"/>
    </row>
    <row r="17" customFormat="false" ht="12.75" hidden="false" customHeight="false" outlineLevel="0" collapsed="false">
      <c r="B17" s="81" t="s">
        <v>150</v>
      </c>
      <c r="C17" s="68"/>
      <c r="D17" s="208" t="n">
        <v>2985080</v>
      </c>
      <c r="E17" s="206"/>
      <c r="F17" s="209" t="n">
        <f aca="false">2985080-(685000)</f>
        <v>2300080</v>
      </c>
      <c r="G17" s="206"/>
      <c r="H17" s="199" t="n">
        <v>2</v>
      </c>
      <c r="I17" s="210" t="n">
        <f aca="false">+H17*D17</f>
        <v>5970160</v>
      </c>
      <c r="J17" s="68"/>
      <c r="K17" s="207" t="n">
        <f aca="false">F17*H17</f>
        <v>4600160</v>
      </c>
    </row>
    <row r="18" customFormat="false" ht="12.75" hidden="false" customHeight="false" outlineLevel="0" collapsed="false">
      <c r="B18" s="211" t="s">
        <v>151</v>
      </c>
      <c r="C18" s="212"/>
      <c r="D18" s="213" t="n">
        <v>476740</v>
      </c>
      <c r="E18" s="206"/>
      <c r="F18" s="213" t="n">
        <v>476740</v>
      </c>
      <c r="G18" s="206"/>
      <c r="H18" s="199" t="n">
        <v>2</v>
      </c>
      <c r="I18" s="214" t="n">
        <f aca="false">+H18*D18</f>
        <v>953480</v>
      </c>
      <c r="J18" s="68"/>
      <c r="K18" s="207" t="n">
        <f aca="false">F18*H18</f>
        <v>953480</v>
      </c>
    </row>
    <row r="19" customFormat="false" ht="12.75" hidden="false" customHeight="false" outlineLevel="0" collapsed="false">
      <c r="B19" s="211" t="s">
        <v>152</v>
      </c>
      <c r="C19" s="212"/>
      <c r="D19" s="213" t="n">
        <v>0</v>
      </c>
      <c r="E19" s="206"/>
      <c r="F19" s="213" t="n">
        <v>0</v>
      </c>
      <c r="G19" s="206"/>
      <c r="H19" s="199" t="n">
        <v>2</v>
      </c>
      <c r="I19" s="214" t="n">
        <f aca="false">+H19*D19</f>
        <v>0</v>
      </c>
      <c r="J19" s="68"/>
      <c r="K19" s="207" t="n">
        <f aca="false">F19*H19</f>
        <v>0</v>
      </c>
    </row>
    <row r="20" customFormat="false" ht="12.75" hidden="false" customHeight="false" outlineLevel="0" collapsed="false">
      <c r="B20" s="211" t="s">
        <v>153</v>
      </c>
      <c r="C20" s="212"/>
      <c r="D20" s="213" t="n">
        <v>0</v>
      </c>
      <c r="E20" s="206"/>
      <c r="F20" s="213" t="n">
        <v>0</v>
      </c>
      <c r="G20" s="206"/>
      <c r="H20" s="199" t="n">
        <v>2</v>
      </c>
      <c r="I20" s="214" t="n">
        <f aca="false">+H20*D20</f>
        <v>0</v>
      </c>
      <c r="J20" s="68"/>
      <c r="K20" s="207" t="n">
        <f aca="false">F20*H20</f>
        <v>0</v>
      </c>
    </row>
    <row r="21" customFormat="false" ht="12.75" hidden="false" customHeight="false" outlineLevel="0" collapsed="false">
      <c r="B21" s="211" t="s">
        <v>154</v>
      </c>
      <c r="C21" s="212"/>
      <c r="D21" s="213" t="n">
        <v>0</v>
      </c>
      <c r="E21" s="206"/>
      <c r="F21" s="213" t="n">
        <v>0</v>
      </c>
      <c r="G21" s="206"/>
      <c r="H21" s="199" t="n">
        <v>2</v>
      </c>
      <c r="I21" s="214" t="n">
        <f aca="false">+H21*D21</f>
        <v>0</v>
      </c>
      <c r="J21" s="68"/>
      <c r="K21" s="207" t="n">
        <f aca="false">F21*H21</f>
        <v>0</v>
      </c>
    </row>
    <row r="22" customFormat="false" ht="12.75" hidden="false" customHeight="false" outlineLevel="0" collapsed="false">
      <c r="B22" s="211" t="s">
        <v>78</v>
      </c>
      <c r="C22" s="212"/>
      <c r="D22" s="213" t="n">
        <v>0</v>
      </c>
      <c r="E22" s="206"/>
      <c r="F22" s="213" t="n">
        <v>0</v>
      </c>
      <c r="G22" s="206"/>
      <c r="H22" s="199" t="n">
        <v>2</v>
      </c>
      <c r="I22" s="214" t="n">
        <f aca="false">+H22*D22</f>
        <v>0</v>
      </c>
      <c r="J22" s="68"/>
      <c r="K22" s="207" t="n">
        <f aca="false">F22*H22</f>
        <v>0</v>
      </c>
    </row>
    <row r="23" customFormat="false" ht="12.75" hidden="false" customHeight="false" outlineLevel="0" collapsed="false">
      <c r="B23" s="211" t="s">
        <v>155</v>
      </c>
      <c r="C23" s="212"/>
      <c r="D23" s="213" t="n">
        <v>0</v>
      </c>
      <c r="E23" s="206"/>
      <c r="F23" s="213" t="n">
        <v>0</v>
      </c>
      <c r="G23" s="206"/>
      <c r="H23" s="199" t="n">
        <v>2</v>
      </c>
      <c r="I23" s="214" t="n">
        <f aca="false">+H23*D23</f>
        <v>0</v>
      </c>
      <c r="J23" s="68"/>
      <c r="K23" s="207" t="n">
        <f aca="false">F23*H23</f>
        <v>0</v>
      </c>
    </row>
    <row r="24" customFormat="false" ht="12.75" hidden="false" customHeight="false" outlineLevel="0" collapsed="false">
      <c r="B24" s="211" t="s">
        <v>156</v>
      </c>
      <c r="C24" s="212"/>
      <c r="D24" s="213" t="n">
        <v>0</v>
      </c>
      <c r="E24" s="206"/>
      <c r="F24" s="213" t="n">
        <v>0</v>
      </c>
      <c r="G24" s="206"/>
      <c r="H24" s="199" t="n">
        <v>2</v>
      </c>
      <c r="I24" s="214" t="n">
        <f aca="false">+H24*D24</f>
        <v>0</v>
      </c>
      <c r="J24" s="68"/>
      <c r="K24" s="207" t="n">
        <f aca="false">F24*H24</f>
        <v>0</v>
      </c>
    </row>
    <row r="25" customFormat="false" ht="12.75" hidden="false" customHeight="false" outlineLevel="0" collapsed="false">
      <c r="B25" s="211" t="s">
        <v>157</v>
      </c>
      <c r="C25" s="212"/>
      <c r="D25" s="213" t="n">
        <v>40000</v>
      </c>
      <c r="E25" s="206"/>
      <c r="F25" s="213" t="n">
        <v>40000</v>
      </c>
      <c r="G25" s="206"/>
      <c r="H25" s="199" t="n">
        <v>2</v>
      </c>
      <c r="I25" s="214" t="n">
        <f aca="false">+H25*D25</f>
        <v>80000</v>
      </c>
      <c r="J25" s="68"/>
      <c r="K25" s="207" t="n">
        <f aca="false">F25*H25</f>
        <v>80000</v>
      </c>
    </row>
    <row r="26" customFormat="false" ht="12.75" hidden="false" customHeight="false" outlineLevel="0" collapsed="false">
      <c r="B26" s="211" t="s">
        <v>158</v>
      </c>
      <c r="C26" s="212"/>
      <c r="D26" s="213" t="n">
        <v>0</v>
      </c>
      <c r="E26" s="206"/>
      <c r="F26" s="213" t="n">
        <v>0</v>
      </c>
      <c r="G26" s="206"/>
      <c r="H26" s="199" t="n">
        <v>2</v>
      </c>
      <c r="I26" s="214" t="n">
        <f aca="false">+H26*D26</f>
        <v>0</v>
      </c>
      <c r="J26" s="68"/>
      <c r="K26" s="207" t="n">
        <f aca="false">F26*H26</f>
        <v>0</v>
      </c>
    </row>
    <row r="27" customFormat="false" ht="12.75" hidden="false" customHeight="false" outlineLevel="0" collapsed="false">
      <c r="B27" s="211" t="s">
        <v>159</v>
      </c>
      <c r="C27" s="212"/>
      <c r="D27" s="213" t="n">
        <v>34350</v>
      </c>
      <c r="E27" s="206"/>
      <c r="F27" s="213" t="n">
        <v>34350</v>
      </c>
      <c r="G27" s="206"/>
      <c r="H27" s="215" t="n">
        <v>2</v>
      </c>
      <c r="I27" s="214" t="n">
        <f aca="false">+H27*D27</f>
        <v>68700</v>
      </c>
      <c r="J27" s="68"/>
      <c r="K27" s="207" t="n">
        <f aca="false">F27*H27</f>
        <v>68700</v>
      </c>
    </row>
    <row r="28" customFormat="false" ht="12.75" hidden="false" customHeight="false" outlineLevel="0" collapsed="false">
      <c r="B28" s="211" t="s">
        <v>160</v>
      </c>
      <c r="C28" s="212"/>
      <c r="D28" s="213" t="n">
        <v>226500</v>
      </c>
      <c r="E28" s="206"/>
      <c r="F28" s="216" t="n">
        <v>120000</v>
      </c>
      <c r="G28" s="206"/>
      <c r="H28" s="217" t="n">
        <v>1.75</v>
      </c>
      <c r="I28" s="214" t="n">
        <f aca="false">+H28*D28</f>
        <v>396375</v>
      </c>
      <c r="J28" s="68"/>
      <c r="K28" s="207" t="n">
        <f aca="false">F28*H28</f>
        <v>210000</v>
      </c>
    </row>
    <row r="29" customFormat="false" ht="12.75" hidden="false" customHeight="false" outlineLevel="0" collapsed="false">
      <c r="B29" s="211" t="s">
        <v>161</v>
      </c>
      <c r="C29" s="212"/>
      <c r="D29" s="213" t="n">
        <v>25000</v>
      </c>
      <c r="E29" s="206"/>
      <c r="F29" s="216" t="n">
        <v>0</v>
      </c>
      <c r="G29" s="206"/>
      <c r="H29" s="217" t="n">
        <v>1.5</v>
      </c>
      <c r="I29" s="214" t="n">
        <f aca="false">+H29*D29</f>
        <v>37500</v>
      </c>
      <c r="J29" s="68"/>
      <c r="K29" s="207" t="n">
        <f aca="false">F29*H29</f>
        <v>0</v>
      </c>
    </row>
    <row r="30" customFormat="false" ht="12.75" hidden="false" customHeight="false" outlineLevel="0" collapsed="false">
      <c r="B30" s="211" t="s">
        <v>162</v>
      </c>
      <c r="C30" s="212"/>
      <c r="D30" s="213" t="n">
        <v>21800</v>
      </c>
      <c r="E30" s="206"/>
      <c r="F30" s="213" t="n">
        <v>21800</v>
      </c>
      <c r="G30" s="206"/>
      <c r="H30" s="217" t="n">
        <v>1.5</v>
      </c>
      <c r="I30" s="214" t="n">
        <f aca="false">+H30*D30</f>
        <v>32700</v>
      </c>
      <c r="J30" s="68"/>
      <c r="K30" s="207" t="n">
        <f aca="false">F30*H30</f>
        <v>32700</v>
      </c>
    </row>
    <row r="31" customFormat="false" ht="12.75" hidden="false" customHeight="false" outlineLevel="0" collapsed="false">
      <c r="B31" s="211" t="s">
        <v>163</v>
      </c>
      <c r="C31" s="212"/>
      <c r="D31" s="213" t="n">
        <v>600000</v>
      </c>
      <c r="E31" s="206"/>
      <c r="F31" s="213" t="n">
        <v>600000</v>
      </c>
      <c r="G31" s="206"/>
      <c r="H31" s="199" t="n">
        <v>2</v>
      </c>
      <c r="I31" s="214" t="n">
        <f aca="false">+H31*D31</f>
        <v>1200000</v>
      </c>
      <c r="J31" s="68"/>
      <c r="K31" s="207" t="n">
        <f aca="false">F31*H31</f>
        <v>1200000</v>
      </c>
    </row>
    <row r="32" customFormat="false" ht="12.75" hidden="false" customHeight="false" outlineLevel="0" collapsed="false">
      <c r="B32" s="211" t="s">
        <v>164</v>
      </c>
      <c r="C32" s="212"/>
      <c r="D32" s="216" t="n">
        <v>0</v>
      </c>
      <c r="E32" s="218"/>
      <c r="F32" s="216" t="n">
        <v>0</v>
      </c>
      <c r="G32" s="218"/>
      <c r="H32" s="217" t="n">
        <v>0</v>
      </c>
      <c r="I32" s="214" t="n">
        <f aca="false">+H32*D32</f>
        <v>0</v>
      </c>
      <c r="J32" s="68"/>
      <c r="K32" s="207" t="n">
        <f aca="false">F32*H32</f>
        <v>0</v>
      </c>
      <c r="N32" s="104" t="s">
        <v>165</v>
      </c>
    </row>
    <row r="33" customFormat="false" ht="12.75" hidden="false" customHeight="false" outlineLevel="0" collapsed="false">
      <c r="B33" s="81" t="s">
        <v>166</v>
      </c>
      <c r="C33" s="68"/>
      <c r="D33" s="205" t="n">
        <v>96000</v>
      </c>
      <c r="E33" s="218"/>
      <c r="F33" s="205" t="n">
        <v>96000</v>
      </c>
      <c r="G33" s="218"/>
      <c r="H33" s="199" t="n">
        <v>1.5</v>
      </c>
      <c r="I33" s="214" t="n">
        <f aca="false">+H33*D33</f>
        <v>144000</v>
      </c>
      <c r="J33" s="68"/>
      <c r="K33" s="207" t="n">
        <f aca="false">F33*H33</f>
        <v>144000</v>
      </c>
      <c r="N33" s="104"/>
    </row>
    <row r="34" customFormat="false" ht="12.75" hidden="false" customHeight="false" outlineLevel="0" collapsed="false">
      <c r="B34" s="219" t="s">
        <v>167</v>
      </c>
      <c r="C34" s="89"/>
      <c r="D34" s="220" t="n">
        <v>791990</v>
      </c>
      <c r="E34" s="206"/>
      <c r="F34" s="220" t="n">
        <v>791990</v>
      </c>
      <c r="G34" s="206"/>
      <c r="H34" s="199" t="n">
        <v>2</v>
      </c>
      <c r="I34" s="221" t="n">
        <f aca="false">+H34*D34</f>
        <v>1583980</v>
      </c>
      <c r="J34" s="68"/>
      <c r="K34" s="207" t="n">
        <f aca="false">F34*H34</f>
        <v>1583980</v>
      </c>
    </row>
    <row r="35" customFormat="false" ht="13.5" hidden="false" customHeight="false" outlineLevel="0" collapsed="false">
      <c r="B35" s="144" t="s">
        <v>168</v>
      </c>
      <c r="C35" s="68"/>
      <c r="D35" s="207" t="n">
        <f aca="false">SUM(D17:D34)</f>
        <v>5297460</v>
      </c>
      <c r="E35" s="222"/>
      <c r="F35" s="207" t="n">
        <f aca="false">SUM(F17:F34)</f>
        <v>4480960</v>
      </c>
      <c r="G35" s="222"/>
      <c r="H35" s="199"/>
      <c r="I35" s="207" t="n">
        <f aca="false">SUM(I17:I34)</f>
        <v>10466895</v>
      </c>
      <c r="J35" s="68"/>
      <c r="K35" s="207" t="n">
        <f aca="false">SUM(K17:K34)</f>
        <v>8873020</v>
      </c>
    </row>
    <row r="36" customFormat="false" ht="16.5" hidden="false" customHeight="false" outlineLevel="0" collapsed="false">
      <c r="B36" s="200" t="s">
        <v>169</v>
      </c>
      <c r="C36" s="201"/>
      <c r="D36" s="202"/>
      <c r="E36" s="203"/>
      <c r="F36" s="202"/>
      <c r="G36" s="203"/>
      <c r="H36" s="199"/>
      <c r="I36" s="202"/>
      <c r="J36" s="68"/>
      <c r="K36" s="202"/>
    </row>
    <row r="37" customFormat="false" ht="16.5" hidden="false" customHeight="false" outlineLevel="0" collapsed="false">
      <c r="B37" s="200" t="s">
        <v>170</v>
      </c>
      <c r="C37" s="201"/>
      <c r="D37" s="202"/>
      <c r="E37" s="203"/>
      <c r="F37" s="202"/>
      <c r="G37" s="203"/>
      <c r="H37" s="199"/>
      <c r="I37" s="202"/>
      <c r="J37" s="68"/>
      <c r="K37" s="202"/>
    </row>
    <row r="38" customFormat="false" ht="12.75" hidden="false" customHeight="false" outlineLevel="0" collapsed="false">
      <c r="B38" s="211" t="s">
        <v>171</v>
      </c>
      <c r="C38" s="212"/>
      <c r="D38" s="213" t="n">
        <v>737360</v>
      </c>
      <c r="E38" s="206"/>
      <c r="F38" s="216" t="n">
        <v>650000</v>
      </c>
      <c r="G38" s="206"/>
      <c r="H38" s="199" t="n">
        <v>1.5</v>
      </c>
      <c r="I38" s="214" t="n">
        <f aca="false">+H38*D38</f>
        <v>1106040</v>
      </c>
      <c r="J38" s="68"/>
      <c r="K38" s="207" t="n">
        <f aca="false">F38*H38</f>
        <v>975000</v>
      </c>
    </row>
    <row r="39" customFormat="false" ht="12.75" hidden="false" customHeight="false" outlineLevel="0" collapsed="false">
      <c r="B39" s="211" t="s">
        <v>172</v>
      </c>
      <c r="C39" s="212"/>
      <c r="D39" s="213" t="n">
        <v>269335</v>
      </c>
      <c r="E39" s="206"/>
      <c r="F39" s="216" t="n">
        <v>200000</v>
      </c>
      <c r="G39" s="206"/>
      <c r="H39" s="217" t="n">
        <v>1.75</v>
      </c>
      <c r="I39" s="214" t="n">
        <f aca="false">+H39*D39</f>
        <v>471336.25</v>
      </c>
      <c r="J39" s="68"/>
      <c r="K39" s="207" t="n">
        <f aca="false">F39*H39</f>
        <v>350000</v>
      </c>
    </row>
    <row r="40" customFormat="false" ht="12.75" hidden="false" customHeight="false" outlineLevel="0" collapsed="false">
      <c r="B40" s="211" t="s">
        <v>173</v>
      </c>
      <c r="C40" s="212"/>
      <c r="D40" s="213" t="n">
        <v>469601</v>
      </c>
      <c r="E40" s="206"/>
      <c r="F40" s="216" t="n">
        <v>375000</v>
      </c>
      <c r="G40" s="206"/>
      <c r="H40" s="217" t="n">
        <v>1.75</v>
      </c>
      <c r="I40" s="214" t="n">
        <f aca="false">+H40*D40</f>
        <v>821801.75</v>
      </c>
      <c r="J40" s="68"/>
      <c r="K40" s="207" t="n">
        <f aca="false">F40*H40</f>
        <v>656250</v>
      </c>
    </row>
    <row r="41" customFormat="false" ht="12.75" hidden="false" customHeight="false" outlineLevel="0" collapsed="false">
      <c r="B41" s="211" t="s">
        <v>174</v>
      </c>
      <c r="C41" s="212"/>
      <c r="D41" s="213" t="n">
        <v>781695</v>
      </c>
      <c r="E41" s="206"/>
      <c r="F41" s="216" t="n">
        <v>600000</v>
      </c>
      <c r="G41" s="206"/>
      <c r="H41" s="217" t="n">
        <v>1.75</v>
      </c>
      <c r="I41" s="214" t="n">
        <f aca="false">+H41*D41</f>
        <v>1367966.25</v>
      </c>
      <c r="J41" s="68"/>
      <c r="K41" s="207" t="n">
        <f aca="false">F41*H41</f>
        <v>1050000</v>
      </c>
    </row>
    <row r="42" customFormat="false" ht="12.75" hidden="false" customHeight="false" outlineLevel="0" collapsed="false">
      <c r="B42" s="211" t="s">
        <v>175</v>
      </c>
      <c r="C42" s="212"/>
      <c r="D42" s="213" t="n">
        <v>190710</v>
      </c>
      <c r="E42" s="206"/>
      <c r="F42" s="216" t="n">
        <v>175000</v>
      </c>
      <c r="G42" s="206"/>
      <c r="H42" s="217" t="n">
        <v>1.75</v>
      </c>
      <c r="I42" s="214" t="n">
        <f aca="false">+H42*D42</f>
        <v>333742.5</v>
      </c>
      <c r="J42" s="68"/>
      <c r="K42" s="207" t="n">
        <f aca="false">F42*H42</f>
        <v>306250</v>
      </c>
    </row>
    <row r="43" customFormat="false" ht="12.75" hidden="false" customHeight="false" outlineLevel="0" collapsed="false">
      <c r="B43" s="211" t="s">
        <v>176</v>
      </c>
      <c r="C43" s="212"/>
      <c r="D43" s="213" t="n">
        <v>16500</v>
      </c>
      <c r="E43" s="206"/>
      <c r="F43" s="213" t="n">
        <v>16500</v>
      </c>
      <c r="G43" s="206"/>
      <c r="H43" s="199" t="n">
        <v>1.5</v>
      </c>
      <c r="I43" s="214" t="n">
        <f aca="false">+H43*D43</f>
        <v>24750</v>
      </c>
      <c r="J43" s="68"/>
      <c r="K43" s="207" t="n">
        <f aca="false">F43*H43</f>
        <v>24750</v>
      </c>
    </row>
    <row r="44" customFormat="false" ht="12.75" hidden="false" customHeight="false" outlineLevel="0" collapsed="false">
      <c r="B44" s="211" t="s">
        <v>177</v>
      </c>
      <c r="C44" s="212"/>
      <c r="D44" s="213" t="n">
        <v>187500</v>
      </c>
      <c r="E44" s="206"/>
      <c r="F44" s="213" t="n">
        <v>187500</v>
      </c>
      <c r="G44" s="206"/>
      <c r="H44" s="199" t="n">
        <v>1.5</v>
      </c>
      <c r="I44" s="214" t="n">
        <f aca="false">+H44*D44</f>
        <v>281250</v>
      </c>
      <c r="J44" s="68"/>
      <c r="K44" s="207" t="n">
        <f aca="false">F44*H44</f>
        <v>281250</v>
      </c>
    </row>
    <row r="45" customFormat="false" ht="12.75" hidden="false" customHeight="false" outlineLevel="0" collapsed="false">
      <c r="B45" s="211" t="s">
        <v>178</v>
      </c>
      <c r="C45" s="212"/>
      <c r="D45" s="213" t="n">
        <v>653657</v>
      </c>
      <c r="E45" s="206"/>
      <c r="F45" s="216" t="n">
        <v>550000</v>
      </c>
      <c r="G45" s="206"/>
      <c r="H45" s="199" t="n">
        <v>1.5</v>
      </c>
      <c r="I45" s="214" t="n">
        <f aca="false">+H45*D45</f>
        <v>980485.5</v>
      </c>
      <c r="J45" s="68"/>
      <c r="K45" s="207" t="n">
        <f aca="false">F45*H45</f>
        <v>825000</v>
      </c>
    </row>
    <row r="46" customFormat="false" ht="12.75" hidden="false" customHeight="false" outlineLevel="0" collapsed="false">
      <c r="B46" s="211" t="s">
        <v>179</v>
      </c>
      <c r="C46" s="212"/>
      <c r="D46" s="213" t="n">
        <v>754334</v>
      </c>
      <c r="E46" s="206"/>
      <c r="F46" s="216" t="n">
        <v>700000</v>
      </c>
      <c r="G46" s="206"/>
      <c r="H46" s="199" t="n">
        <v>1.5</v>
      </c>
      <c r="I46" s="214" t="n">
        <f aca="false">+H46*D46</f>
        <v>1131501</v>
      </c>
      <c r="J46" s="68"/>
      <c r="K46" s="207" t="n">
        <f aca="false">F46*H46</f>
        <v>1050000</v>
      </c>
    </row>
    <row r="47" customFormat="false" ht="12.75" hidden="false" customHeight="false" outlineLevel="0" collapsed="false">
      <c r="B47" s="211" t="s">
        <v>180</v>
      </c>
      <c r="C47" s="212"/>
      <c r="D47" s="213" t="n">
        <v>129650</v>
      </c>
      <c r="E47" s="206"/>
      <c r="F47" s="216" t="n">
        <v>100000</v>
      </c>
      <c r="G47" s="206"/>
      <c r="H47" s="199" t="n">
        <v>1.5</v>
      </c>
      <c r="I47" s="214" t="n">
        <f aca="false">+H47*D47</f>
        <v>194475</v>
      </c>
      <c r="J47" s="68"/>
      <c r="K47" s="207" t="n">
        <f aca="false">F47*H47</f>
        <v>150000</v>
      </c>
    </row>
    <row r="48" customFormat="false" ht="12.75" hidden="false" customHeight="false" outlineLevel="0" collapsed="false">
      <c r="B48" s="211" t="s">
        <v>181</v>
      </c>
      <c r="C48" s="212"/>
      <c r="D48" s="213" t="n">
        <v>23919</v>
      </c>
      <c r="E48" s="206"/>
      <c r="F48" s="213" t="n">
        <v>23919</v>
      </c>
      <c r="G48" s="206"/>
      <c r="H48" s="199" t="n">
        <v>1.5</v>
      </c>
      <c r="I48" s="214" t="n">
        <f aca="false">+H48*D48</f>
        <v>35878.5</v>
      </c>
      <c r="J48" s="68"/>
      <c r="K48" s="207" t="n">
        <f aca="false">F48*H48</f>
        <v>35878.5</v>
      </c>
    </row>
    <row r="49" customFormat="false" ht="12.75" hidden="false" customHeight="false" outlineLevel="0" collapsed="false">
      <c r="B49" s="211" t="s">
        <v>182</v>
      </c>
      <c r="C49" s="212"/>
      <c r="D49" s="213" t="n">
        <v>56274</v>
      </c>
      <c r="E49" s="206"/>
      <c r="F49" s="213" t="n">
        <v>56274</v>
      </c>
      <c r="G49" s="206"/>
      <c r="H49" s="199" t="n">
        <v>1.5</v>
      </c>
      <c r="I49" s="214" t="n">
        <f aca="false">+H49*D49</f>
        <v>84411</v>
      </c>
      <c r="J49" s="68"/>
      <c r="K49" s="207" t="n">
        <f aca="false">F49*H49</f>
        <v>84411</v>
      </c>
    </row>
    <row r="50" customFormat="false" ht="12.75" hidden="false" customHeight="false" outlineLevel="0" collapsed="false">
      <c r="B50" s="211" t="s">
        <v>152</v>
      </c>
      <c r="C50" s="212"/>
      <c r="D50" s="213" t="n">
        <v>0</v>
      </c>
      <c r="E50" s="206"/>
      <c r="F50" s="213" t="n">
        <v>0</v>
      </c>
      <c r="G50" s="206"/>
      <c r="H50" s="199" t="n">
        <v>1.5</v>
      </c>
      <c r="I50" s="214" t="n">
        <f aca="false">+H50*D50</f>
        <v>0</v>
      </c>
      <c r="J50" s="68"/>
      <c r="K50" s="207" t="n">
        <f aca="false">F50*H50</f>
        <v>0</v>
      </c>
    </row>
    <row r="51" customFormat="false" ht="12.75" hidden="false" customHeight="false" outlineLevel="0" collapsed="false">
      <c r="B51" s="211" t="s">
        <v>183</v>
      </c>
      <c r="C51" s="212"/>
      <c r="D51" s="213" t="n">
        <v>212000</v>
      </c>
      <c r="E51" s="206"/>
      <c r="F51" s="213" t="n">
        <v>212000</v>
      </c>
      <c r="G51" s="206"/>
      <c r="H51" s="217" t="n">
        <v>2</v>
      </c>
      <c r="I51" s="214" t="n">
        <f aca="false">+H51*D51</f>
        <v>424000</v>
      </c>
      <c r="J51" s="68"/>
      <c r="K51" s="207" t="n">
        <f aca="false">F51*H51</f>
        <v>424000</v>
      </c>
    </row>
    <row r="52" customFormat="false" ht="12.75" hidden="false" customHeight="false" outlineLevel="0" collapsed="false">
      <c r="B52" s="211" t="s">
        <v>154</v>
      </c>
      <c r="C52" s="212"/>
      <c r="D52" s="213" t="n">
        <v>0</v>
      </c>
      <c r="E52" s="206"/>
      <c r="F52" s="213" t="n">
        <v>0</v>
      </c>
      <c r="G52" s="206"/>
      <c r="H52" s="199" t="n">
        <v>1.5</v>
      </c>
      <c r="I52" s="214" t="n">
        <f aca="false">+H52*D52</f>
        <v>0</v>
      </c>
      <c r="J52" s="68"/>
      <c r="K52" s="207" t="n">
        <f aca="false">F52*H52</f>
        <v>0</v>
      </c>
    </row>
    <row r="53" customFormat="false" ht="12.75" hidden="false" customHeight="false" outlineLevel="0" collapsed="false">
      <c r="B53" s="211" t="s">
        <v>78</v>
      </c>
      <c r="C53" s="212"/>
      <c r="D53" s="213" t="n">
        <v>19800</v>
      </c>
      <c r="E53" s="206"/>
      <c r="F53" s="216" t="n">
        <v>0</v>
      </c>
      <c r="G53" s="206"/>
      <c r="H53" s="217" t="n">
        <v>2</v>
      </c>
      <c r="I53" s="214" t="n">
        <f aca="false">+H53*D53</f>
        <v>39600</v>
      </c>
      <c r="J53" s="68"/>
      <c r="K53" s="207" t="n">
        <f aca="false">F53*H53</f>
        <v>0</v>
      </c>
    </row>
    <row r="54" customFormat="false" ht="12.75" hidden="false" customHeight="false" outlineLevel="0" collapsed="false">
      <c r="B54" s="211" t="s">
        <v>155</v>
      </c>
      <c r="C54" s="212"/>
      <c r="D54" s="213" t="n">
        <v>0</v>
      </c>
      <c r="E54" s="206"/>
      <c r="F54" s="213" t="n">
        <v>0</v>
      </c>
      <c r="G54" s="206"/>
      <c r="H54" s="199" t="n">
        <v>1.5</v>
      </c>
      <c r="I54" s="214" t="n">
        <f aca="false">+H54*D54</f>
        <v>0</v>
      </c>
      <c r="J54" s="68"/>
      <c r="K54" s="207" t="n">
        <f aca="false">F54*H54</f>
        <v>0</v>
      </c>
    </row>
    <row r="55" customFormat="false" ht="12.75" hidden="false" customHeight="false" outlineLevel="0" collapsed="false">
      <c r="B55" s="211" t="s">
        <v>159</v>
      </c>
      <c r="C55" s="212"/>
      <c r="D55" s="213" t="n">
        <v>3700</v>
      </c>
      <c r="E55" s="206"/>
      <c r="F55" s="213" t="n">
        <v>3700</v>
      </c>
      <c r="G55" s="206"/>
      <c r="H55" s="199" t="n">
        <v>1.5</v>
      </c>
      <c r="I55" s="214" t="n">
        <f aca="false">+H55*D55</f>
        <v>5550</v>
      </c>
      <c r="J55" s="68"/>
      <c r="K55" s="207" t="n">
        <f aca="false">F55*H55</f>
        <v>5550</v>
      </c>
    </row>
    <row r="56" customFormat="false" ht="12.75" hidden="false" customHeight="false" outlineLevel="0" collapsed="false">
      <c r="B56" s="211" t="s">
        <v>160</v>
      </c>
      <c r="C56" s="212"/>
      <c r="D56" s="213" t="n">
        <v>700</v>
      </c>
      <c r="E56" s="206"/>
      <c r="F56" s="213" t="n">
        <v>700</v>
      </c>
      <c r="G56" s="206"/>
      <c r="H56" s="199" t="n">
        <v>1.5</v>
      </c>
      <c r="I56" s="214" t="n">
        <f aca="false">+H56*D56</f>
        <v>1050</v>
      </c>
      <c r="J56" s="68"/>
      <c r="K56" s="207" t="n">
        <f aca="false">F56*H56</f>
        <v>1050</v>
      </c>
    </row>
    <row r="57" customFormat="false" ht="12.75" hidden="false" customHeight="false" outlineLevel="0" collapsed="false">
      <c r="B57" s="211" t="s">
        <v>184</v>
      </c>
      <c r="C57" s="212"/>
      <c r="D57" s="213" t="n">
        <v>9750</v>
      </c>
      <c r="E57" s="206"/>
      <c r="F57" s="213" t="n">
        <v>9750</v>
      </c>
      <c r="G57" s="206"/>
      <c r="H57" s="199" t="n">
        <v>1.5</v>
      </c>
      <c r="I57" s="214" t="n">
        <f aca="false">+H57*D57</f>
        <v>14625</v>
      </c>
      <c r="J57" s="68"/>
      <c r="K57" s="207" t="n">
        <f aca="false">F57*H57</f>
        <v>14625</v>
      </c>
    </row>
    <row r="58" customFormat="false" ht="12.75" hidden="false" customHeight="false" outlineLevel="0" collapsed="false">
      <c r="B58" s="211" t="s">
        <v>185</v>
      </c>
      <c r="C58" s="212"/>
      <c r="D58" s="213" t="n">
        <v>0</v>
      </c>
      <c r="E58" s="206"/>
      <c r="F58" s="213" t="n">
        <v>0</v>
      </c>
      <c r="G58" s="206"/>
      <c r="H58" s="199" t="n">
        <v>1.5</v>
      </c>
      <c r="I58" s="214" t="n">
        <f aca="false">+H58*D58</f>
        <v>0</v>
      </c>
      <c r="J58" s="68"/>
      <c r="K58" s="207" t="n">
        <f aca="false">F58*H58</f>
        <v>0</v>
      </c>
    </row>
    <row r="59" customFormat="false" ht="12.75" hidden="false" customHeight="false" outlineLevel="0" collapsed="false">
      <c r="B59" s="211" t="s">
        <v>186</v>
      </c>
      <c r="C59" s="212"/>
      <c r="D59" s="213" t="n">
        <v>226812</v>
      </c>
      <c r="E59" s="206"/>
      <c r="F59" s="213" t="n">
        <v>226812</v>
      </c>
      <c r="G59" s="206"/>
      <c r="H59" s="199" t="n">
        <v>1.5</v>
      </c>
      <c r="I59" s="214" t="n">
        <f aca="false">+H59*D59</f>
        <v>340218</v>
      </c>
      <c r="J59" s="68"/>
      <c r="K59" s="207" t="n">
        <f aca="false">F59*H59</f>
        <v>340218</v>
      </c>
    </row>
    <row r="60" customFormat="false" ht="12.75" hidden="false" customHeight="false" outlineLevel="0" collapsed="false">
      <c r="B60" s="223" t="s">
        <v>187</v>
      </c>
      <c r="C60" s="224"/>
      <c r="D60" s="225" t="n">
        <v>511273</v>
      </c>
      <c r="E60" s="206"/>
      <c r="F60" s="226" t="n">
        <v>425000</v>
      </c>
      <c r="G60" s="206"/>
      <c r="H60" s="199" t="n">
        <v>1.5</v>
      </c>
      <c r="I60" s="227" t="n">
        <f aca="false">+H60*D60</f>
        <v>766909.5</v>
      </c>
      <c r="J60" s="68"/>
      <c r="K60" s="207" t="n">
        <f aca="false">F60*H60</f>
        <v>637500</v>
      </c>
    </row>
    <row r="61" customFormat="false" ht="13.5" hidden="false" customHeight="false" outlineLevel="0" collapsed="false">
      <c r="B61" s="228" t="s">
        <v>188</v>
      </c>
      <c r="C61" s="229"/>
      <c r="D61" s="230" t="n">
        <f aca="false">SUM(D38:D60)</f>
        <v>5254570</v>
      </c>
      <c r="E61" s="231"/>
      <c r="F61" s="230" t="n">
        <f aca="false">SUM(F38:F60)</f>
        <v>4512155</v>
      </c>
      <c r="G61" s="231"/>
      <c r="H61" s="199"/>
      <c r="I61" s="230" t="n">
        <f aca="false">SUM(I38:I60)</f>
        <v>8425590.25</v>
      </c>
      <c r="J61" s="68"/>
      <c r="K61" s="230" t="n">
        <f aca="false">SUM(K38:K60)</f>
        <v>7211732.5</v>
      </c>
    </row>
    <row r="62" customFormat="false" ht="16.5" hidden="false" customHeight="false" outlineLevel="0" collapsed="false">
      <c r="B62" s="200" t="s">
        <v>189</v>
      </c>
      <c r="C62" s="201"/>
      <c r="D62" s="202"/>
      <c r="E62" s="203"/>
      <c r="F62" s="232"/>
      <c r="G62" s="203"/>
      <c r="H62" s="199"/>
      <c r="I62" s="202"/>
      <c r="J62" s="68"/>
      <c r="K62" s="202"/>
    </row>
    <row r="63" customFormat="false" ht="12.75" hidden="false" customHeight="false" outlineLevel="0" collapsed="false">
      <c r="B63" s="211" t="s">
        <v>190</v>
      </c>
      <c r="C63" s="233" t="n">
        <v>0.26</v>
      </c>
      <c r="D63" s="213" t="n">
        <v>737100</v>
      </c>
      <c r="E63" s="206"/>
      <c r="F63" s="216" t="n">
        <v>700000</v>
      </c>
      <c r="G63" s="206"/>
      <c r="H63" s="199" t="n">
        <v>1.25</v>
      </c>
      <c r="I63" s="214" t="n">
        <f aca="false">+H63*D63</f>
        <v>921375</v>
      </c>
      <c r="J63" s="68"/>
      <c r="K63" s="207" t="n">
        <f aca="false">F63*H63</f>
        <v>875000</v>
      </c>
    </row>
    <row r="64" customFormat="false" ht="12.75" hidden="false" customHeight="false" outlineLevel="0" collapsed="false">
      <c r="B64" s="211" t="s">
        <v>191</v>
      </c>
      <c r="C64" s="234" t="n">
        <v>3.5</v>
      </c>
      <c r="D64" s="213" t="n">
        <v>305324</v>
      </c>
      <c r="E64" s="206"/>
      <c r="F64" s="213" t="n">
        <v>305324</v>
      </c>
      <c r="G64" s="206"/>
      <c r="H64" s="199" t="n">
        <v>1.25</v>
      </c>
      <c r="I64" s="214" t="n">
        <f aca="false">+H64*D64</f>
        <v>381655</v>
      </c>
      <c r="J64" s="68"/>
      <c r="K64" s="207" t="n">
        <f aca="false">F64*H64</f>
        <v>381655</v>
      </c>
    </row>
    <row r="65" customFormat="false" ht="12.75" hidden="false" customHeight="false" outlineLevel="0" collapsed="false">
      <c r="B65" s="211" t="s">
        <v>192</v>
      </c>
      <c r="C65" s="234" t="n">
        <v>2</v>
      </c>
      <c r="D65" s="213" t="n">
        <v>174471</v>
      </c>
      <c r="E65" s="206"/>
      <c r="F65" s="213" t="n">
        <v>174471</v>
      </c>
      <c r="G65" s="206"/>
      <c r="H65" s="217" t="n">
        <v>1.33</v>
      </c>
      <c r="I65" s="214" t="n">
        <f aca="false">+H65*D65</f>
        <v>232046.43</v>
      </c>
      <c r="J65" s="68"/>
      <c r="K65" s="207" t="n">
        <f aca="false">F65*H65</f>
        <v>232046.43</v>
      </c>
    </row>
    <row r="66" customFormat="false" ht="12.75" hidden="false" customHeight="false" outlineLevel="0" collapsed="false">
      <c r="B66" s="211" t="s">
        <v>193</v>
      </c>
      <c r="C66" s="234" t="n">
        <v>4.5</v>
      </c>
      <c r="D66" s="213" t="n">
        <f aca="false">392560+155000</f>
        <v>547560</v>
      </c>
      <c r="E66" s="206"/>
      <c r="F66" s="216" t="n">
        <v>520000</v>
      </c>
      <c r="G66" s="206"/>
      <c r="H66" s="217" t="n">
        <v>1.33</v>
      </c>
      <c r="I66" s="214" t="n">
        <f aca="false">+H66*D66</f>
        <v>728254.8</v>
      </c>
      <c r="J66" s="68"/>
      <c r="K66" s="207" t="n">
        <f aca="false">F66*H66</f>
        <v>691600</v>
      </c>
    </row>
    <row r="67" customFormat="false" ht="12.75" hidden="false" customHeight="false" outlineLevel="0" collapsed="false">
      <c r="B67" s="223" t="s">
        <v>194</v>
      </c>
      <c r="C67" s="235" t="n">
        <v>0.13</v>
      </c>
      <c r="D67" s="225" t="n">
        <v>187100</v>
      </c>
      <c r="E67" s="206"/>
      <c r="F67" s="225" t="n">
        <v>187100</v>
      </c>
      <c r="G67" s="206"/>
      <c r="H67" s="217" t="n">
        <v>1.5</v>
      </c>
      <c r="I67" s="227" t="n">
        <f aca="false">+H67*D67</f>
        <v>280650</v>
      </c>
      <c r="J67" s="68"/>
      <c r="K67" s="207" t="n">
        <f aca="false">F67*H67</f>
        <v>280650</v>
      </c>
    </row>
    <row r="68" customFormat="false" ht="12.75" hidden="false" customHeight="false" outlineLevel="0" collapsed="false">
      <c r="B68" s="228" t="s">
        <v>195</v>
      </c>
      <c r="C68" s="229"/>
      <c r="D68" s="230" t="n">
        <f aca="false">SUM(D63:D67)</f>
        <v>1951555</v>
      </c>
      <c r="E68" s="231"/>
      <c r="F68" s="230" t="n">
        <f aca="false">SUM(F63:F67)</f>
        <v>1886895</v>
      </c>
      <c r="G68" s="231"/>
      <c r="H68" s="199"/>
      <c r="I68" s="230" t="n">
        <f aca="false">SUM(I63:I67)</f>
        <v>2543981.23</v>
      </c>
      <c r="J68" s="68"/>
      <c r="K68" s="230" t="n">
        <f aca="false">SUM(K63:K67)</f>
        <v>2460951.43</v>
      </c>
      <c r="IS68" s="236"/>
    </row>
    <row r="69" customFormat="false" ht="4.5" hidden="false" customHeight="true" outlineLevel="0" collapsed="false">
      <c r="B69" s="237"/>
      <c r="C69" s="238"/>
      <c r="D69" s="239"/>
      <c r="E69" s="240"/>
      <c r="F69" s="239"/>
      <c r="G69" s="240"/>
      <c r="H69" s="199"/>
      <c r="I69" s="241"/>
      <c r="J69" s="68"/>
      <c r="K69" s="241"/>
    </row>
    <row r="70" customFormat="false" ht="13.5" hidden="false" customHeight="false" outlineLevel="0" collapsed="false">
      <c r="B70" s="136" t="s">
        <v>196</v>
      </c>
      <c r="C70" s="26"/>
      <c r="D70" s="242" t="n">
        <f aca="false">+D68+D61</f>
        <v>7206125</v>
      </c>
      <c r="E70" s="231"/>
      <c r="F70" s="242" t="n">
        <f aca="false">+F68+F61</f>
        <v>6399050</v>
      </c>
      <c r="G70" s="231"/>
      <c r="H70" s="199"/>
      <c r="I70" s="242" t="n">
        <f aca="false">+I68+I61</f>
        <v>10969571.48</v>
      </c>
      <c r="J70" s="68"/>
      <c r="K70" s="242" t="n">
        <f aca="false">+K68+K61</f>
        <v>9672683.93</v>
      </c>
    </row>
    <row r="71" customFormat="false" ht="16.5" hidden="false" customHeight="false" outlineLevel="0" collapsed="false">
      <c r="B71" s="200" t="s">
        <v>197</v>
      </c>
      <c r="C71" s="201"/>
      <c r="D71" s="202"/>
      <c r="E71" s="203"/>
      <c r="F71" s="202"/>
      <c r="G71" s="203"/>
      <c r="H71" s="199"/>
      <c r="I71" s="202"/>
      <c r="J71" s="68"/>
      <c r="K71" s="202"/>
    </row>
    <row r="72" customFormat="false" ht="12.75" hidden="false" customHeight="false" outlineLevel="0" collapsed="false">
      <c r="B72" s="211" t="s">
        <v>197</v>
      </c>
      <c r="C72" s="234" t="n">
        <v>4.5</v>
      </c>
      <c r="D72" s="213" t="n">
        <v>464256</v>
      </c>
      <c r="E72" s="206"/>
      <c r="F72" s="213" t="n">
        <v>464256</v>
      </c>
      <c r="G72" s="206"/>
      <c r="H72" s="199" t="n">
        <v>1.25</v>
      </c>
      <c r="I72" s="214" t="n">
        <f aca="false">+H72*D72</f>
        <v>580320</v>
      </c>
      <c r="J72" s="68"/>
      <c r="K72" s="207" t="n">
        <f aca="false">F72*H72</f>
        <v>580320</v>
      </c>
    </row>
    <row r="73" customFormat="false" ht="12.75" hidden="false" customHeight="false" outlineLevel="0" collapsed="false">
      <c r="B73" s="223" t="s">
        <v>198</v>
      </c>
      <c r="C73" s="224"/>
      <c r="D73" s="225" t="n">
        <v>35000</v>
      </c>
      <c r="E73" s="206"/>
      <c r="F73" s="225" t="n">
        <v>35000</v>
      </c>
      <c r="G73" s="206"/>
      <c r="H73" s="217" t="n">
        <v>1</v>
      </c>
      <c r="I73" s="227" t="n">
        <f aca="false">+H73*D73</f>
        <v>35000</v>
      </c>
      <c r="J73" s="68"/>
      <c r="K73" s="207" t="n">
        <f aca="false">F73*H73</f>
        <v>35000</v>
      </c>
    </row>
    <row r="74" customFormat="false" ht="13.5" hidden="false" customHeight="false" outlineLevel="0" collapsed="false">
      <c r="B74" s="228" t="s">
        <v>199</v>
      </c>
      <c r="C74" s="243"/>
      <c r="D74" s="230" t="n">
        <f aca="false">+D73+D72</f>
        <v>499256</v>
      </c>
      <c r="E74" s="231"/>
      <c r="F74" s="230" t="n">
        <f aca="false">+F73+F72</f>
        <v>499256</v>
      </c>
      <c r="G74" s="231"/>
      <c r="H74" s="244"/>
      <c r="I74" s="230" t="n">
        <f aca="false">+I73+I72</f>
        <v>615320</v>
      </c>
      <c r="J74" s="245"/>
      <c r="K74" s="230" t="n">
        <f aca="false">+K73+K72</f>
        <v>615320</v>
      </c>
      <c r="L74" s="246"/>
      <c r="M74" s="246"/>
    </row>
    <row r="75" customFormat="false" ht="16.5" hidden="false" customHeight="false" outlineLevel="0" collapsed="false">
      <c r="B75" s="200" t="s">
        <v>200</v>
      </c>
      <c r="C75" s="201"/>
      <c r="D75" s="202"/>
      <c r="E75" s="203"/>
      <c r="F75" s="202"/>
      <c r="G75" s="203"/>
      <c r="H75" s="199"/>
      <c r="I75" s="202"/>
      <c r="J75" s="68"/>
      <c r="K75" s="202"/>
    </row>
    <row r="76" customFormat="false" ht="12.75" hidden="false" customHeight="false" outlineLevel="0" collapsed="false">
      <c r="B76" s="211" t="s">
        <v>201</v>
      </c>
      <c r="C76" s="233" t="n">
        <v>0.04</v>
      </c>
      <c r="D76" s="213" t="n">
        <v>282045</v>
      </c>
      <c r="E76" s="206"/>
      <c r="F76" s="213" t="n">
        <v>282045</v>
      </c>
      <c r="G76" s="206"/>
      <c r="H76" s="217" t="n">
        <v>1.25</v>
      </c>
      <c r="I76" s="214" t="n">
        <f aca="false">+H76*D76</f>
        <v>352556.25</v>
      </c>
      <c r="J76" s="68"/>
      <c r="K76" s="207" t="n">
        <f aca="false">F76*H76</f>
        <v>352556.25</v>
      </c>
    </row>
    <row r="77" customFormat="false" ht="12.75" hidden="false" customHeight="false" outlineLevel="0" collapsed="false">
      <c r="B77" s="211" t="s">
        <v>202</v>
      </c>
      <c r="C77" s="212"/>
      <c r="D77" s="213" t="n">
        <v>100000</v>
      </c>
      <c r="E77" s="206"/>
      <c r="F77" s="213" t="n">
        <v>100000</v>
      </c>
      <c r="G77" s="206"/>
      <c r="H77" s="199" t="n">
        <v>1</v>
      </c>
      <c r="I77" s="214" t="n">
        <f aca="false">+H77*D77</f>
        <v>100000</v>
      </c>
      <c r="J77" s="68"/>
      <c r="K77" s="207" t="n">
        <f aca="false">F77*H77</f>
        <v>100000</v>
      </c>
    </row>
    <row r="78" customFormat="false" ht="12.75" hidden="false" customHeight="false" outlineLevel="0" collapsed="false">
      <c r="B78" s="223" t="s">
        <v>203</v>
      </c>
      <c r="C78" s="224"/>
      <c r="D78" s="225" t="n">
        <v>1080930</v>
      </c>
      <c r="E78" s="206"/>
      <c r="F78" s="225" t="n">
        <v>1080930</v>
      </c>
      <c r="G78" s="206"/>
      <c r="H78" s="217" t="n">
        <v>1.5</v>
      </c>
      <c r="I78" s="227" t="n">
        <f aca="false">+H78*D78</f>
        <v>1621395</v>
      </c>
      <c r="J78" s="68"/>
      <c r="K78" s="207" t="n">
        <f aca="false">F78*H78</f>
        <v>1621395</v>
      </c>
    </row>
    <row r="79" customFormat="false" ht="13.5" hidden="false" customHeight="false" outlineLevel="0" collapsed="false">
      <c r="B79" s="228" t="s">
        <v>204</v>
      </c>
      <c r="C79" s="243"/>
      <c r="D79" s="230" t="n">
        <f aca="false">+SUM(D76:D78)</f>
        <v>1462975</v>
      </c>
      <c r="E79" s="231"/>
      <c r="F79" s="230" t="n">
        <f aca="false">+SUM(F76:F78)</f>
        <v>1462975</v>
      </c>
      <c r="G79" s="231"/>
      <c r="H79" s="199"/>
      <c r="I79" s="230" t="n">
        <f aca="false">+SUM(I76:I78)</f>
        <v>2073951.25</v>
      </c>
      <c r="J79" s="68"/>
      <c r="K79" s="230" t="n">
        <f aca="false">+SUM(K76:K78)</f>
        <v>2073951.25</v>
      </c>
    </row>
    <row r="80" customFormat="false" ht="16.5" hidden="false" customHeight="false" outlineLevel="0" collapsed="false">
      <c r="B80" s="200" t="s">
        <v>200</v>
      </c>
      <c r="C80" s="201"/>
      <c r="D80" s="202"/>
      <c r="E80" s="203"/>
      <c r="F80" s="202"/>
      <c r="G80" s="203"/>
      <c r="H80" s="199"/>
      <c r="I80" s="202"/>
      <c r="J80" s="68"/>
      <c r="K80" s="202"/>
    </row>
    <row r="81" customFormat="false" ht="13.5" hidden="false" customHeight="false" outlineLevel="0" collapsed="false">
      <c r="B81" s="247" t="s">
        <v>205</v>
      </c>
      <c r="C81" s="212"/>
      <c r="D81" s="214" t="n">
        <f aca="false">+D79+D74+D70+D35+D15</f>
        <v>15066816</v>
      </c>
      <c r="E81" s="222"/>
      <c r="F81" s="214" t="n">
        <f aca="false">+F79+F74+F70+F35+F15</f>
        <v>13443241</v>
      </c>
      <c r="G81" s="222"/>
      <c r="H81" s="199"/>
      <c r="I81" s="214" t="n">
        <f aca="false">+I79+I74+I70+I35+I15</f>
        <v>24786837.73</v>
      </c>
      <c r="J81" s="68"/>
      <c r="K81" s="214" t="n">
        <f aca="false">+K79+K74+K70+K35+K15</f>
        <v>21896075.18</v>
      </c>
    </row>
    <row r="82" customFormat="false" ht="16.5" hidden="false" customHeight="false" outlineLevel="0" collapsed="false">
      <c r="B82" s="200" t="s">
        <v>206</v>
      </c>
      <c r="C82" s="201"/>
      <c r="D82" s="202"/>
      <c r="E82" s="203"/>
      <c r="F82" s="202"/>
      <c r="G82" s="203"/>
      <c r="H82" s="199"/>
      <c r="I82" s="202"/>
      <c r="J82" s="68"/>
      <c r="K82" s="202"/>
    </row>
    <row r="83" customFormat="false" ht="12.75" hidden="false" customHeight="false" outlineLevel="0" collapsed="false">
      <c r="B83" s="211" t="s">
        <v>207</v>
      </c>
      <c r="C83" s="212"/>
      <c r="D83" s="213" t="n">
        <v>450000</v>
      </c>
      <c r="E83" s="206"/>
      <c r="F83" s="213" t="n">
        <v>450000</v>
      </c>
      <c r="G83" s="206"/>
      <c r="H83" s="217" t="n">
        <v>1.75</v>
      </c>
      <c r="I83" s="214" t="n">
        <f aca="false">+H83*D83</f>
        <v>787500</v>
      </c>
      <c r="J83" s="68"/>
      <c r="K83" s="207" t="n">
        <f aca="false">F83*H83</f>
        <v>787500</v>
      </c>
    </row>
    <row r="84" customFormat="false" ht="12.75" hidden="false" customHeight="false" outlineLevel="0" collapsed="false">
      <c r="B84" s="211" t="s">
        <v>208</v>
      </c>
      <c r="C84" s="248" t="n">
        <v>0.02</v>
      </c>
      <c r="D84" s="213" t="n">
        <v>923000</v>
      </c>
      <c r="E84" s="206"/>
      <c r="F84" s="213" t="n">
        <v>923000</v>
      </c>
      <c r="G84" s="206"/>
      <c r="H84" s="217" t="n">
        <v>1.75</v>
      </c>
      <c r="I84" s="214" t="n">
        <f aca="false">+H84*D84</f>
        <v>1615250</v>
      </c>
      <c r="J84" s="68"/>
      <c r="K84" s="207" t="n">
        <f aca="false">F84*H84</f>
        <v>1615250</v>
      </c>
    </row>
    <row r="85" customFormat="false" ht="12.75" hidden="false" customHeight="false" outlineLevel="0" collapsed="false">
      <c r="B85" s="223" t="s">
        <v>209</v>
      </c>
      <c r="C85" s="224"/>
      <c r="D85" s="225" t="n">
        <v>2000000</v>
      </c>
      <c r="E85" s="206"/>
      <c r="F85" s="225" t="n">
        <v>2000000</v>
      </c>
      <c r="G85" s="206"/>
      <c r="H85" s="217" t="n">
        <v>1.5</v>
      </c>
      <c r="I85" s="227" t="n">
        <f aca="false">+H85*D85</f>
        <v>3000000</v>
      </c>
      <c r="J85" s="68"/>
      <c r="K85" s="207" t="n">
        <f aca="false">F85*H85</f>
        <v>3000000</v>
      </c>
      <c r="M85" s="115" t="s">
        <v>210</v>
      </c>
    </row>
    <row r="86" customFormat="false" ht="13.5" hidden="false" customHeight="false" outlineLevel="0" collapsed="false">
      <c r="B86" s="228" t="s">
        <v>211</v>
      </c>
      <c r="C86" s="243"/>
      <c r="D86" s="249" t="n">
        <f aca="false">+SUM(D83:D85)</f>
        <v>3373000</v>
      </c>
      <c r="E86" s="222" t="s">
        <v>212</v>
      </c>
      <c r="F86" s="249" t="n">
        <f aca="false">+SUM(F83:F85)</f>
        <v>3373000</v>
      </c>
      <c r="G86" s="222" t="s">
        <v>212</v>
      </c>
      <c r="H86" s="199"/>
      <c r="I86" s="249" t="n">
        <f aca="false">+SUM(I83:I85)</f>
        <v>5402750</v>
      </c>
      <c r="J86" s="222" t="s">
        <v>212</v>
      </c>
      <c r="K86" s="249" t="n">
        <f aca="false">+SUM(K83:K85)</f>
        <v>5402750</v>
      </c>
      <c r="L86" s="222" t="s">
        <v>212</v>
      </c>
      <c r="M86" s="222" t="s">
        <v>212</v>
      </c>
    </row>
    <row r="87" customFormat="false" ht="16.5" hidden="false" customHeight="false" outlineLevel="0" collapsed="false">
      <c r="B87" s="200"/>
      <c r="C87" s="201"/>
      <c r="D87" s="202"/>
      <c r="E87" s="250" t="n">
        <v>28624000</v>
      </c>
      <c r="F87" s="202"/>
      <c r="G87" s="250" t="n">
        <v>28624000</v>
      </c>
      <c r="H87" s="199"/>
      <c r="I87" s="202"/>
      <c r="J87" s="250" t="n">
        <f aca="false">4*14312000</f>
        <v>57248000</v>
      </c>
      <c r="K87" s="202"/>
      <c r="L87" s="250" t="n">
        <f aca="false">4*14312000</f>
        <v>57248000</v>
      </c>
      <c r="M87" s="250" t="n">
        <f aca="false">4*14312000</f>
        <v>57248000</v>
      </c>
    </row>
    <row r="88" customFormat="false" ht="16.5" hidden="false" customHeight="false" outlineLevel="0" collapsed="false">
      <c r="B88" s="200"/>
      <c r="C88" s="251" t="s">
        <v>213</v>
      </c>
      <c r="D88" s="202"/>
      <c r="E88" s="250" t="n">
        <f aca="false">2*950000</f>
        <v>1900000</v>
      </c>
      <c r="F88" s="202"/>
      <c r="G88" s="250" t="n">
        <v>0</v>
      </c>
      <c r="H88" s="199"/>
      <c r="I88" s="202"/>
      <c r="J88" s="250" t="n">
        <f aca="false">4*950000</f>
        <v>3800000</v>
      </c>
      <c r="K88" s="202"/>
      <c r="L88" s="250" t="n">
        <v>0</v>
      </c>
      <c r="M88" s="250" t="n">
        <v>0</v>
      </c>
    </row>
    <row r="89" customFormat="false" ht="16.5" hidden="false" customHeight="false" outlineLevel="0" collapsed="false">
      <c r="B89" s="200"/>
      <c r="C89" s="251" t="s">
        <v>214</v>
      </c>
      <c r="D89" s="202"/>
      <c r="E89" s="250" t="n">
        <f aca="false">2*280000</f>
        <v>560000</v>
      </c>
      <c r="F89" s="202"/>
      <c r="G89" s="250" t="n">
        <v>0</v>
      </c>
      <c r="H89" s="199"/>
      <c r="I89" s="202"/>
      <c r="J89" s="250" t="n">
        <f aca="false">4*280000</f>
        <v>1120000</v>
      </c>
      <c r="K89" s="202"/>
      <c r="L89" s="250" t="n">
        <v>0</v>
      </c>
      <c r="M89" s="250" t="n">
        <v>0</v>
      </c>
    </row>
    <row r="90" customFormat="false" ht="16.5" hidden="false" customHeight="false" outlineLevel="0" collapsed="false">
      <c r="B90" s="200"/>
      <c r="C90" s="251" t="s">
        <v>23</v>
      </c>
      <c r="D90" s="202"/>
      <c r="E90" s="250" t="s">
        <v>23</v>
      </c>
      <c r="F90" s="202"/>
      <c r="G90" s="250" t="s">
        <v>23</v>
      </c>
      <c r="H90" s="199"/>
      <c r="I90" s="202"/>
      <c r="J90" s="250" t="s">
        <v>23</v>
      </c>
      <c r="K90" s="202"/>
      <c r="L90" s="250" t="s">
        <v>23</v>
      </c>
      <c r="M90" s="250" t="s">
        <v>23</v>
      </c>
    </row>
    <row r="91" customFormat="false" ht="16.5" hidden="false" customHeight="false" outlineLevel="0" collapsed="false">
      <c r="B91" s="200"/>
      <c r="C91" s="251" t="s">
        <v>23</v>
      </c>
      <c r="D91" s="202"/>
      <c r="E91" s="250" t="s">
        <v>23</v>
      </c>
      <c r="F91" s="202"/>
      <c r="G91" s="250" t="s">
        <v>23</v>
      </c>
      <c r="H91" s="199"/>
      <c r="I91" s="202"/>
      <c r="J91" s="250" t="s">
        <v>23</v>
      </c>
      <c r="K91" s="202"/>
      <c r="L91" s="250" t="s">
        <v>23</v>
      </c>
      <c r="M91" s="250" t="s">
        <v>23</v>
      </c>
    </row>
    <row r="92" customFormat="false" ht="16.5" hidden="false" customHeight="false" outlineLevel="0" collapsed="false">
      <c r="B92" s="252" t="s">
        <v>215</v>
      </c>
      <c r="C92" s="201"/>
      <c r="D92" s="253" t="n">
        <f aca="false">+D81+D86</f>
        <v>18439816</v>
      </c>
      <c r="E92" s="250" t="n">
        <f aca="false">SUM(E87:E91)+D92</f>
        <v>49523816</v>
      </c>
      <c r="F92" s="253" t="n">
        <f aca="false">+F81+F86</f>
        <v>16816241</v>
      </c>
      <c r="G92" s="250" t="n">
        <f aca="false">SUM(G87:G91)+F92</f>
        <v>45440241</v>
      </c>
      <c r="H92" s="199"/>
      <c r="I92" s="253" t="n">
        <f aca="false">+I81+I86</f>
        <v>30189587.73</v>
      </c>
      <c r="J92" s="250" t="n">
        <f aca="false">SUM(J87:J91)+I92</f>
        <v>92357587.73</v>
      </c>
      <c r="K92" s="253" t="n">
        <f aca="false">+K81+K86</f>
        <v>27298825.18</v>
      </c>
      <c r="L92" s="250" t="n">
        <f aca="false">SUM(L87:L91)+K92</f>
        <v>84546825.18</v>
      </c>
      <c r="M92" s="250" t="n">
        <f aca="false">SUM(M87:M91)+K92-K86</f>
        <v>79144075.18</v>
      </c>
    </row>
    <row r="93" customFormat="false" ht="16.5" hidden="false" customHeight="false" outlineLevel="0" collapsed="false">
      <c r="B93" s="200"/>
      <c r="C93" s="201"/>
      <c r="D93" s="254" t="n">
        <f aca="false">D92/D13</f>
        <v>9219908</v>
      </c>
      <c r="E93" s="255" t="s">
        <v>216</v>
      </c>
      <c r="F93" s="254" t="n">
        <f aca="false">F92/F13</f>
        <v>8408120.5</v>
      </c>
      <c r="G93" s="255" t="s">
        <v>217</v>
      </c>
      <c r="H93" s="199"/>
      <c r="I93" s="254" t="n">
        <f aca="false">I92/I13</f>
        <v>7547396.9325</v>
      </c>
      <c r="J93" s="255" t="s">
        <v>216</v>
      </c>
      <c r="K93" s="254" t="n">
        <f aca="false">K92/K13</f>
        <v>6824706.295</v>
      </c>
      <c r="L93" s="255" t="s">
        <v>217</v>
      </c>
      <c r="M93" s="255" t="s">
        <v>217</v>
      </c>
    </row>
    <row r="94" customFormat="false" ht="12.75" hidden="false" customHeight="false" outlineLevel="0" collapsed="false">
      <c r="B94" s="68"/>
      <c r="C94" s="68"/>
      <c r="D94" s="256" t="s">
        <v>218</v>
      </c>
      <c r="E94" s="257" t="n">
        <f aca="false">E92/(2*46.9*1000)</f>
        <v>527.972452025586</v>
      </c>
      <c r="F94" s="240"/>
      <c r="G94" s="257" t="n">
        <f aca="false">G92/(2*45.3*1000)</f>
        <v>501.547913907285</v>
      </c>
      <c r="H94" s="166"/>
      <c r="I94" s="258"/>
      <c r="J94" s="257" t="n">
        <f aca="false">J92/(4*46.9*1000)</f>
        <v>492.311235234542</v>
      </c>
      <c r="K94" s="154"/>
      <c r="L94" s="257" t="n">
        <f aca="false">L92/(4*45.3*1000)</f>
        <v>466.59395794702</v>
      </c>
      <c r="M94" s="257" t="n">
        <f aca="false">M92/(4*45.3*1000)</f>
        <v>436.777456843267</v>
      </c>
    </row>
    <row r="95" customFormat="false" ht="12.75" hidden="false" customHeight="false" outlineLevel="0" collapsed="false">
      <c r="B95" s="68"/>
      <c r="C95" s="68"/>
      <c r="D95" s="256" t="s">
        <v>219</v>
      </c>
      <c r="E95" s="257" t="n">
        <f aca="false">E87/(2*46.9*1000)</f>
        <v>305.159914712154</v>
      </c>
      <c r="F95" s="240"/>
      <c r="G95" s="257" t="n">
        <f aca="false">G87/(2*45.3*1000)</f>
        <v>315.938189845475</v>
      </c>
      <c r="H95" s="166"/>
      <c r="I95" s="258"/>
      <c r="J95" s="257" t="n">
        <f aca="false">J87/(4*46.9*1000)</f>
        <v>305.159914712154</v>
      </c>
      <c r="K95" s="154"/>
      <c r="L95" s="257" t="n">
        <f aca="false">L87/(4*45.3*1000)</f>
        <v>315.938189845475</v>
      </c>
      <c r="M95" s="257" t="n">
        <f aca="false">M87/(4*45.3*1000)</f>
        <v>315.938189845475</v>
      </c>
    </row>
    <row r="96" customFormat="false" ht="12.75" hidden="false" customHeight="false" outlineLevel="0" collapsed="false">
      <c r="B96" s="68"/>
      <c r="C96" s="68"/>
      <c r="D96" s="259" t="n">
        <v>95</v>
      </c>
      <c r="E96" s="257" t="n">
        <f aca="false">E92/(2*45.3*1000)</f>
        <v>546.620485651214</v>
      </c>
      <c r="F96" s="240"/>
      <c r="G96" s="257" t="n">
        <f aca="false">G92/(2*33.6*1000)</f>
        <v>676.1940625</v>
      </c>
      <c r="H96" s="166"/>
      <c r="I96" s="258"/>
      <c r="J96" s="257" t="n">
        <f aca="false">J92/(4*45.3*1000)</f>
        <v>509.699711534216</v>
      </c>
      <c r="K96" s="154"/>
      <c r="L96" s="257" t="n">
        <f aca="false">L92/(4*33.6*1000)</f>
        <v>629.068639732143</v>
      </c>
      <c r="M96" s="257" t="n">
        <f aca="false">M92/(4*33.6*1000)</f>
        <v>588.869606994048</v>
      </c>
    </row>
    <row r="97" customFormat="false" ht="13.5" hidden="false" customHeight="false" outlineLevel="0" collapsed="false">
      <c r="B97" s="68"/>
      <c r="C97" s="68"/>
      <c r="D97" s="256" t="s">
        <v>220</v>
      </c>
      <c r="E97" s="257" t="n">
        <f aca="false">E87/(2*45.3*1000)</f>
        <v>315.938189845475</v>
      </c>
      <c r="F97" s="240"/>
      <c r="G97" s="257" t="n">
        <f aca="false">G87/(2*33.6*1000)</f>
        <v>425.952380952381</v>
      </c>
      <c r="H97" s="166"/>
      <c r="I97" s="258"/>
      <c r="J97" s="257" t="n">
        <f aca="false">J87/(4*45.3*1000)</f>
        <v>315.938189845475</v>
      </c>
      <c r="K97" s="154"/>
      <c r="L97" s="257" t="n">
        <f aca="false">L87/(4*33.6*1000)</f>
        <v>425.952380952381</v>
      </c>
      <c r="M97" s="257" t="n">
        <f aca="false">M87/(4*33.6*1000)</f>
        <v>425.952380952381</v>
      </c>
    </row>
    <row r="98" customFormat="false" ht="12.75" hidden="false" customHeight="false" outlineLevel="0" collapsed="false">
      <c r="B98" s="260" t="s">
        <v>221</v>
      </c>
      <c r="C98" s="261"/>
      <c r="D98" s="262" t="n">
        <f aca="false">1430000-850000</f>
        <v>580000</v>
      </c>
      <c r="E98" s="206"/>
      <c r="F98" s="262" t="n">
        <f aca="false">1430000-850000</f>
        <v>580000</v>
      </c>
      <c r="G98" s="206"/>
      <c r="H98" s="217" t="n">
        <v>1.25</v>
      </c>
      <c r="I98" s="263" t="n">
        <f aca="false">+H98*D98</f>
        <v>725000</v>
      </c>
      <c r="J98" s="68"/>
      <c r="K98" s="210" t="n">
        <f aca="false">F98*H98</f>
        <v>725000</v>
      </c>
    </row>
    <row r="99" customFormat="false" ht="12.75" hidden="false" customHeight="false" outlineLevel="0" collapsed="false">
      <c r="B99" s="211" t="s">
        <v>222</v>
      </c>
      <c r="C99" s="248" t="s">
        <v>23</v>
      </c>
      <c r="D99" s="213" t="n">
        <v>0</v>
      </c>
      <c r="E99" s="206"/>
      <c r="F99" s="213" t="n">
        <v>0</v>
      </c>
      <c r="G99" s="206"/>
      <c r="H99" s="217" t="n">
        <v>1.25</v>
      </c>
      <c r="I99" s="214" t="n">
        <f aca="false">+H99*D99</f>
        <v>0</v>
      </c>
      <c r="J99" s="68"/>
      <c r="K99" s="207" t="n">
        <f aca="false">F99*H99</f>
        <v>0</v>
      </c>
    </row>
    <row r="100" customFormat="false" ht="12.75" hidden="false" customHeight="false" outlineLevel="0" collapsed="false">
      <c r="B100" s="223" t="s">
        <v>223</v>
      </c>
      <c r="C100" s="224"/>
      <c r="D100" s="225" t="n">
        <v>0</v>
      </c>
      <c r="E100" s="206"/>
      <c r="F100" s="225" t="n">
        <v>0</v>
      </c>
      <c r="G100" s="206"/>
      <c r="H100" s="217" t="n">
        <v>1.75</v>
      </c>
      <c r="I100" s="227" t="n">
        <f aca="false">+H100*D100</f>
        <v>0</v>
      </c>
      <c r="J100" s="68"/>
      <c r="K100" s="207" t="n">
        <f aca="false">F100*H100</f>
        <v>0</v>
      </c>
    </row>
    <row r="101" customFormat="false" ht="13.5" hidden="false" customHeight="false" outlineLevel="0" collapsed="false">
      <c r="B101" s="228" t="s">
        <v>224</v>
      </c>
      <c r="C101" s="243"/>
      <c r="D101" s="249" t="n">
        <f aca="false">+SUM(D98:D100)</f>
        <v>580000</v>
      </c>
      <c r="E101" s="222"/>
      <c r="F101" s="249" t="n">
        <f aca="false">+SUM(F98:F100)</f>
        <v>580000</v>
      </c>
      <c r="G101" s="222"/>
      <c r="H101" s="199"/>
      <c r="I101" s="249" t="n">
        <f aca="false">+SUM(I98:I100)</f>
        <v>725000</v>
      </c>
      <c r="J101" s="68"/>
      <c r="K101" s="249" t="n">
        <f aca="false">+SUM(K98:K100)</f>
        <v>725000</v>
      </c>
    </row>
    <row r="102" customFormat="false" ht="16.5" hidden="false" customHeight="false" outlineLevel="0" collapsed="false">
      <c r="B102" s="200"/>
      <c r="C102" s="201"/>
      <c r="D102" s="202"/>
      <c r="E102" s="203"/>
      <c r="F102" s="202"/>
      <c r="G102" s="203"/>
      <c r="H102" s="199"/>
      <c r="I102" s="202"/>
      <c r="J102" s="68"/>
      <c r="K102" s="202"/>
    </row>
    <row r="103" customFormat="false" ht="16.5" hidden="false" customHeight="false" outlineLevel="0" collapsed="false">
      <c r="B103" s="252" t="s">
        <v>225</v>
      </c>
      <c r="C103" s="201"/>
      <c r="D103" s="253" t="n">
        <f aca="false">D92+D101</f>
        <v>19019816</v>
      </c>
      <c r="E103" s="264"/>
      <c r="F103" s="253" t="n">
        <f aca="false">F92+F101</f>
        <v>17396241</v>
      </c>
      <c r="G103" s="264"/>
      <c r="H103" s="199"/>
      <c r="I103" s="253" t="n">
        <f aca="false">I92+I101</f>
        <v>30914587.73</v>
      </c>
      <c r="J103" s="68"/>
      <c r="K103" s="253" t="n">
        <f aca="false">K92+K101</f>
        <v>28023825.18</v>
      </c>
    </row>
    <row r="104" customFormat="false" ht="16.5" hidden="false" customHeight="false" outlineLevel="0" collapsed="false">
      <c r="B104" s="200"/>
      <c r="C104" s="201"/>
      <c r="D104" s="254" t="n">
        <f aca="false">D103/D13</f>
        <v>9509908</v>
      </c>
      <c r="E104" s="265"/>
      <c r="F104" s="254" t="n">
        <f aca="false">F103/F13</f>
        <v>8698120.5</v>
      </c>
      <c r="G104" s="265"/>
      <c r="H104" s="266"/>
      <c r="I104" s="254" t="n">
        <f aca="false">I103/I13</f>
        <v>7728646.9325</v>
      </c>
      <c r="J104" s="110"/>
      <c r="K104" s="254" t="n">
        <f aca="false">K103/K13</f>
        <v>7005956.295</v>
      </c>
    </row>
    <row r="105" customFormat="false" ht="12.75" hidden="false" customHeight="false" outlineLevel="0" collapsed="false">
      <c r="B105" s="68"/>
      <c r="C105" s="68"/>
      <c r="D105" s="68"/>
      <c r="E105" s="193"/>
      <c r="F105" s="68"/>
      <c r="G105" s="193"/>
      <c r="H105" s="166"/>
      <c r="I105" s="258"/>
      <c r="K105" s="258"/>
    </row>
    <row r="106" customFormat="false" ht="12.75" hidden="false" customHeight="false" outlineLevel="0" collapsed="false">
      <c r="B106" s="68"/>
      <c r="C106" s="68"/>
      <c r="D106" s="68"/>
      <c r="E106" s="193"/>
      <c r="F106" s="68"/>
      <c r="G106" s="193"/>
      <c r="H106" s="68"/>
      <c r="I106" s="258"/>
      <c r="K106" s="258"/>
    </row>
    <row r="107" customFormat="false" ht="12.75" hidden="false" customHeight="false" outlineLevel="0" collapsed="false">
      <c r="B107" s="68"/>
      <c r="C107" s="68"/>
      <c r="D107" s="68"/>
      <c r="E107" s="193"/>
      <c r="F107" s="68"/>
      <c r="G107" s="193"/>
      <c r="H107" s="68"/>
      <c r="I107" s="68"/>
      <c r="K107" s="68"/>
    </row>
    <row r="108" customFormat="false" ht="12.75" hidden="false" customHeight="false" outlineLevel="0" collapsed="false">
      <c r="B108" s="68"/>
      <c r="C108" s="68"/>
      <c r="D108" s="68"/>
      <c r="E108" s="193"/>
      <c r="F108" s="68"/>
      <c r="G108" s="193"/>
      <c r="H108" s="68"/>
      <c r="I108" s="68"/>
      <c r="K108" s="68"/>
    </row>
    <row r="109" customFormat="false" ht="12.75" hidden="false" customHeight="false" outlineLevel="0" collapsed="false">
      <c r="B109" s="68"/>
      <c r="C109" s="68"/>
      <c r="D109" s="68"/>
      <c r="E109" s="193"/>
      <c r="F109" s="68"/>
      <c r="G109" s="193"/>
      <c r="H109" s="68"/>
      <c r="I109" s="68"/>
      <c r="K109" s="68"/>
    </row>
    <row r="110" customFormat="false" ht="12.75" hidden="false" customHeight="false" outlineLevel="0" collapsed="false">
      <c r="B110" s="68"/>
      <c r="C110" s="68"/>
      <c r="D110" s="68"/>
      <c r="E110" s="193"/>
      <c r="F110" s="68"/>
      <c r="G110" s="193"/>
      <c r="H110" s="68"/>
      <c r="I110" s="68"/>
      <c r="K110" s="68"/>
    </row>
    <row r="111" customFormat="false" ht="12.75" hidden="false" customHeight="false" outlineLevel="0" collapsed="false">
      <c r="B111" s="68"/>
      <c r="C111" s="68"/>
      <c r="D111" s="68"/>
      <c r="E111" s="193"/>
      <c r="F111" s="68"/>
      <c r="G111" s="193"/>
      <c r="H111" s="68"/>
      <c r="I111" s="68"/>
      <c r="K111" s="68"/>
    </row>
    <row r="112" customFormat="false" ht="12.75" hidden="false" customHeight="false" outlineLevel="0" collapsed="false">
      <c r="B112" s="68"/>
      <c r="C112" s="68"/>
      <c r="D112" s="231"/>
      <c r="E112" s="231"/>
      <c r="F112" s="231"/>
      <c r="G112" s="231"/>
      <c r="H112" s="68"/>
      <c r="I112" s="68"/>
      <c r="K112" s="68"/>
    </row>
    <row r="113" customFormat="false" ht="12.75" hidden="false" customHeight="false" outlineLevel="0" collapsed="false">
      <c r="B113" s="68"/>
      <c r="C113" s="68"/>
      <c r="D113" s="68"/>
      <c r="E113" s="193"/>
      <c r="F113" s="68"/>
      <c r="G113" s="193"/>
      <c r="H113" s="68"/>
      <c r="I113" s="68"/>
      <c r="K113" s="68"/>
    </row>
    <row r="114" customFormat="false" ht="12.75" hidden="false" customHeight="false" outlineLevel="0" collapsed="false">
      <c r="B114" s="68"/>
      <c r="C114" s="68"/>
      <c r="D114" s="178"/>
      <c r="E114" s="267"/>
      <c r="F114" s="178"/>
      <c r="G114" s="267"/>
      <c r="H114" s="68"/>
      <c r="I114" s="68"/>
      <c r="K114" s="68"/>
    </row>
    <row r="115" customFormat="false" ht="12.75" hidden="false" customHeight="false" outlineLevel="0" collapsed="false">
      <c r="B115" s="68"/>
      <c r="C115" s="68"/>
      <c r="D115" s="178"/>
      <c r="E115" s="267"/>
      <c r="F115" s="178"/>
      <c r="G115" s="267"/>
      <c r="H115" s="68"/>
      <c r="I115" s="68"/>
      <c r="K115" s="68"/>
    </row>
    <row r="116" customFormat="false" ht="12.75" hidden="false" customHeight="false" outlineLevel="0" collapsed="false">
      <c r="B116" s="68"/>
      <c r="C116" s="68"/>
      <c r="D116" s="178"/>
      <c r="E116" s="267"/>
      <c r="F116" s="178"/>
      <c r="G116" s="267"/>
      <c r="H116" s="68"/>
      <c r="I116" s="68"/>
      <c r="K116" s="68"/>
    </row>
    <row r="117" customFormat="false" ht="12.75" hidden="false" customHeight="false" outlineLevel="0" collapsed="false">
      <c r="B117" s="68"/>
      <c r="C117" s="68"/>
      <c r="D117" s="231"/>
      <c r="E117" s="231"/>
      <c r="F117" s="231"/>
      <c r="G117" s="231"/>
      <c r="H117" s="68"/>
      <c r="I117" s="68"/>
      <c r="K117" s="68"/>
    </row>
    <row r="118" customFormat="false" ht="12.75" hidden="false" customHeight="false" outlineLevel="0" collapsed="false">
      <c r="B118" s="68"/>
      <c r="C118" s="68"/>
      <c r="D118" s="231"/>
      <c r="E118" s="231"/>
      <c r="F118" s="231"/>
      <c r="G118" s="231"/>
      <c r="H118" s="68"/>
      <c r="I118" s="68"/>
      <c r="K118" s="68"/>
    </row>
    <row r="119" customFormat="false" ht="12.75" hidden="false" customHeight="false" outlineLevel="0" collapsed="false">
      <c r="B119" s="68"/>
      <c r="C119" s="68"/>
      <c r="D119" s="231"/>
      <c r="E119" s="231"/>
      <c r="F119" s="231"/>
      <c r="G119" s="231"/>
      <c r="H119" s="68"/>
      <c r="I119" s="68"/>
      <c r="K119" s="68"/>
    </row>
    <row r="120" customFormat="false" ht="12.75" hidden="false" customHeight="false" outlineLevel="0" collapsed="false">
      <c r="B120" s="68"/>
      <c r="C120" s="68"/>
      <c r="D120" s="68"/>
      <c r="E120" s="193"/>
      <c r="F120" s="68"/>
      <c r="G120" s="193"/>
      <c r="H120" s="68"/>
      <c r="I120" s="68"/>
      <c r="K120" s="68"/>
    </row>
    <row r="121" customFormat="false" ht="12.75" hidden="false" customHeight="false" outlineLevel="0" collapsed="false">
      <c r="B121" s="68"/>
      <c r="C121" s="68"/>
      <c r="D121" s="68"/>
      <c r="E121" s="193"/>
      <c r="F121" s="68"/>
      <c r="G121" s="193"/>
      <c r="H121" s="68"/>
      <c r="I121" s="68"/>
      <c r="K121" s="68"/>
    </row>
    <row r="122" customFormat="false" ht="12.75" hidden="false" customHeight="false" outlineLevel="0" collapsed="false">
      <c r="B122" s="68"/>
      <c r="C122" s="68"/>
      <c r="D122" s="68"/>
      <c r="E122" s="193"/>
      <c r="F122" s="68"/>
      <c r="G122" s="193"/>
      <c r="H122" s="68"/>
      <c r="I122" s="68"/>
      <c r="K122" s="68"/>
    </row>
    <row r="123" customFormat="false" ht="12.75" hidden="false" customHeight="false" outlineLevel="0" collapsed="false">
      <c r="B123" s="68"/>
      <c r="C123" s="68"/>
      <c r="D123" s="68"/>
      <c r="E123" s="193"/>
      <c r="F123" s="68"/>
      <c r="G123" s="193"/>
      <c r="H123" s="68"/>
      <c r="I123" s="68"/>
      <c r="K123" s="68"/>
    </row>
    <row r="124" customFormat="false" ht="12.75" hidden="false" customHeight="false" outlineLevel="0" collapsed="false">
      <c r="B124" s="68"/>
      <c r="C124" s="68"/>
      <c r="D124" s="68"/>
      <c r="E124" s="193"/>
      <c r="F124" s="68"/>
      <c r="G124" s="193"/>
      <c r="H124" s="68"/>
      <c r="I124" s="68"/>
      <c r="K124" s="68"/>
    </row>
    <row r="125" customFormat="false" ht="12.75" hidden="false" customHeight="false" outlineLevel="0" collapsed="false">
      <c r="B125" s="68"/>
      <c r="C125" s="68"/>
      <c r="D125" s="68"/>
      <c r="E125" s="193"/>
      <c r="F125" s="68"/>
      <c r="G125" s="193"/>
      <c r="H125" s="68"/>
      <c r="I125" s="68"/>
      <c r="K125" s="68"/>
    </row>
    <row r="126" customFormat="false" ht="12.75" hidden="false" customHeight="false" outlineLevel="0" collapsed="false">
      <c r="B126" s="68"/>
      <c r="C126" s="68"/>
      <c r="D126" s="68"/>
      <c r="E126" s="193"/>
      <c r="F126" s="68"/>
      <c r="G126" s="193"/>
      <c r="H126" s="68"/>
      <c r="I126" s="68"/>
      <c r="K126" s="68"/>
    </row>
    <row r="127" customFormat="false" ht="12.75" hidden="false" customHeight="false" outlineLevel="0" collapsed="false">
      <c r="B127" s="68"/>
      <c r="C127" s="68"/>
      <c r="D127" s="68"/>
      <c r="E127" s="193"/>
      <c r="F127" s="68"/>
      <c r="G127" s="193"/>
      <c r="H127" s="68"/>
      <c r="I127" s="68"/>
      <c r="K127" s="68"/>
    </row>
    <row r="128" customFormat="false" ht="12.75" hidden="false" customHeight="false" outlineLevel="0" collapsed="false">
      <c r="B128" s="68"/>
      <c r="C128" s="68"/>
      <c r="D128" s="68"/>
      <c r="E128" s="193"/>
      <c r="F128" s="68"/>
      <c r="G128" s="193"/>
      <c r="H128" s="68"/>
      <c r="I128" s="68"/>
      <c r="K128" s="68"/>
    </row>
    <row r="129" customFormat="false" ht="12.75" hidden="false" customHeight="false" outlineLevel="0" collapsed="false">
      <c r="E129" s="179"/>
      <c r="G129" s="179"/>
    </row>
    <row r="130" customFormat="false" ht="12.75" hidden="false" customHeight="false" outlineLevel="0" collapsed="false">
      <c r="E130" s="179"/>
      <c r="G130" s="179"/>
    </row>
    <row r="131" customFormat="false" ht="12.75" hidden="false" customHeight="false" outlineLevel="0" collapsed="false">
      <c r="E131" s="179"/>
      <c r="G131" s="179"/>
    </row>
    <row r="132" customFormat="false" ht="12.75" hidden="false" customHeight="false" outlineLevel="0" collapsed="false">
      <c r="E132" s="179"/>
      <c r="G132" s="179"/>
    </row>
    <row r="133" customFormat="false" ht="12.75" hidden="false" customHeight="false" outlineLevel="0" collapsed="false">
      <c r="E133" s="179"/>
      <c r="G133" s="179"/>
    </row>
    <row r="134" customFormat="false" ht="12.75" hidden="false" customHeight="false" outlineLevel="0" collapsed="false">
      <c r="E134" s="179"/>
      <c r="G134" s="179"/>
    </row>
    <row r="135" customFormat="false" ht="12.75" hidden="false" customHeight="false" outlineLevel="0" collapsed="false">
      <c r="E135" s="179"/>
      <c r="G135" s="179"/>
    </row>
    <row r="136" customFormat="false" ht="12.75" hidden="false" customHeight="false" outlineLevel="0" collapsed="false">
      <c r="E136" s="179"/>
      <c r="G136" s="179"/>
    </row>
    <row r="137" customFormat="false" ht="12.75" hidden="false" customHeight="false" outlineLevel="0" collapsed="false">
      <c r="E137" s="179"/>
      <c r="G137" s="179"/>
    </row>
    <row r="138" customFormat="false" ht="12.75" hidden="false" customHeight="false" outlineLevel="0" collapsed="false">
      <c r="E138" s="179"/>
      <c r="G138" s="179"/>
    </row>
    <row r="139" customFormat="false" ht="12.75" hidden="false" customHeight="false" outlineLevel="0" collapsed="false">
      <c r="E139" s="179"/>
      <c r="G139" s="179"/>
    </row>
    <row r="140" customFormat="false" ht="12.75" hidden="false" customHeight="false" outlineLevel="0" collapsed="false">
      <c r="E140" s="179"/>
      <c r="G140" s="179"/>
    </row>
    <row r="141" customFormat="false" ht="12.75" hidden="false" customHeight="false" outlineLevel="0" collapsed="false">
      <c r="E141" s="179"/>
      <c r="G141" s="179"/>
    </row>
    <row r="142" customFormat="false" ht="12.75" hidden="false" customHeight="false" outlineLevel="0" collapsed="false">
      <c r="E142" s="179"/>
      <c r="G142" s="179"/>
    </row>
    <row r="143" customFormat="false" ht="12.75" hidden="false" customHeight="false" outlineLevel="0" collapsed="false">
      <c r="E143" s="179"/>
      <c r="G143" s="179"/>
    </row>
    <row r="144" customFormat="false" ht="12.75" hidden="false" customHeight="false" outlineLevel="0" collapsed="false">
      <c r="E144" s="179"/>
      <c r="G144" s="179"/>
    </row>
    <row r="145" customFormat="false" ht="12.75" hidden="false" customHeight="false" outlineLevel="0" collapsed="false">
      <c r="E145" s="179"/>
      <c r="G145" s="179"/>
    </row>
    <row r="146" customFormat="false" ht="12.75" hidden="false" customHeight="false" outlineLevel="0" collapsed="false">
      <c r="E146" s="179"/>
      <c r="G146" s="179"/>
    </row>
    <row r="147" customFormat="false" ht="12.75" hidden="false" customHeight="false" outlineLevel="0" collapsed="false">
      <c r="E147" s="179"/>
      <c r="G147" s="179"/>
    </row>
    <row r="148" customFormat="false" ht="12.75" hidden="false" customHeight="false" outlineLevel="0" collapsed="false">
      <c r="E148" s="179"/>
      <c r="G148" s="179"/>
    </row>
    <row r="149" customFormat="false" ht="12.75" hidden="false" customHeight="false" outlineLevel="0" collapsed="false">
      <c r="E149" s="179"/>
      <c r="G149" s="179"/>
    </row>
    <row r="150" customFormat="false" ht="12.75" hidden="false" customHeight="false" outlineLevel="0" collapsed="false">
      <c r="E150" s="179"/>
      <c r="G150" s="179"/>
    </row>
    <row r="151" customFormat="false" ht="12.75" hidden="false" customHeight="false" outlineLevel="0" collapsed="false">
      <c r="E151" s="179"/>
      <c r="G151" s="179"/>
    </row>
    <row r="152" customFormat="false" ht="12.75" hidden="false" customHeight="false" outlineLevel="0" collapsed="false">
      <c r="E152" s="179"/>
      <c r="G152" s="179"/>
    </row>
    <row r="153" customFormat="false" ht="12.75" hidden="false" customHeight="false" outlineLevel="0" collapsed="false">
      <c r="E153" s="179"/>
      <c r="G153" s="179"/>
    </row>
    <row r="154" customFormat="false" ht="12.75" hidden="false" customHeight="false" outlineLevel="0" collapsed="false">
      <c r="E154" s="179"/>
      <c r="G154" s="179"/>
    </row>
    <row r="155" customFormat="false" ht="12.75" hidden="false" customHeight="false" outlineLevel="0" collapsed="false">
      <c r="E155" s="179"/>
      <c r="G155" s="179"/>
    </row>
    <row r="156" customFormat="false" ht="12.75" hidden="false" customHeight="false" outlineLevel="0" collapsed="false">
      <c r="E156" s="179"/>
      <c r="G156" s="179"/>
    </row>
    <row r="157" customFormat="false" ht="12.75" hidden="false" customHeight="false" outlineLevel="0" collapsed="false">
      <c r="E157" s="179"/>
      <c r="G157" s="179"/>
    </row>
    <row r="158" customFormat="false" ht="12.75" hidden="false" customHeight="false" outlineLevel="0" collapsed="false">
      <c r="E158" s="179"/>
      <c r="G158" s="179"/>
    </row>
    <row r="159" customFormat="false" ht="12.75" hidden="false" customHeight="false" outlineLevel="0" collapsed="false">
      <c r="E159" s="179"/>
      <c r="G159" s="179"/>
    </row>
    <row r="160" customFormat="false" ht="12.75" hidden="false" customHeight="false" outlineLevel="0" collapsed="false">
      <c r="E160" s="179"/>
      <c r="G160" s="179"/>
    </row>
    <row r="161" customFormat="false" ht="12.75" hidden="false" customHeight="false" outlineLevel="0" collapsed="false">
      <c r="E161" s="179"/>
      <c r="G161" s="179"/>
    </row>
    <row r="162" customFormat="false" ht="12.75" hidden="false" customHeight="false" outlineLevel="0" collapsed="false">
      <c r="E162" s="179"/>
      <c r="G162" s="179"/>
    </row>
    <row r="163" customFormat="false" ht="12.75" hidden="false" customHeight="false" outlineLevel="0" collapsed="false">
      <c r="E163" s="179"/>
      <c r="G163" s="179"/>
    </row>
    <row r="164" customFormat="false" ht="12.75" hidden="false" customHeight="false" outlineLevel="0" collapsed="false">
      <c r="E164" s="179"/>
      <c r="G164" s="179"/>
    </row>
    <row r="165" customFormat="false" ht="12.75" hidden="false" customHeight="false" outlineLevel="0" collapsed="false">
      <c r="E165" s="179"/>
      <c r="G165" s="179"/>
    </row>
    <row r="166" customFormat="false" ht="12.75" hidden="false" customHeight="false" outlineLevel="0" collapsed="false">
      <c r="E166" s="179"/>
      <c r="G166" s="179"/>
    </row>
    <row r="167" customFormat="false" ht="12.75" hidden="false" customHeight="false" outlineLevel="0" collapsed="false">
      <c r="E167" s="179"/>
      <c r="G167" s="179"/>
    </row>
    <row r="168" customFormat="false" ht="12.75" hidden="false" customHeight="false" outlineLevel="0" collapsed="false">
      <c r="E168" s="179"/>
      <c r="G168" s="179"/>
    </row>
    <row r="169" customFormat="false" ht="12.75" hidden="false" customHeight="false" outlineLevel="0" collapsed="false">
      <c r="E169" s="179"/>
      <c r="G169" s="179"/>
    </row>
    <row r="170" customFormat="false" ht="12.75" hidden="false" customHeight="false" outlineLevel="0" collapsed="false">
      <c r="E170" s="179"/>
      <c r="G170" s="179"/>
    </row>
    <row r="171" customFormat="false" ht="12.75" hidden="false" customHeight="false" outlineLevel="0" collapsed="false">
      <c r="E171" s="179"/>
      <c r="G171" s="179"/>
    </row>
    <row r="172" customFormat="false" ht="12.75" hidden="false" customHeight="false" outlineLevel="0" collapsed="false">
      <c r="E172" s="179"/>
      <c r="G172" s="179"/>
    </row>
    <row r="173" customFormat="false" ht="12.75" hidden="false" customHeight="false" outlineLevel="0" collapsed="false">
      <c r="E173" s="179"/>
      <c r="G173" s="179"/>
    </row>
    <row r="174" customFormat="false" ht="12.75" hidden="false" customHeight="false" outlineLevel="0" collapsed="false">
      <c r="E174" s="179"/>
      <c r="G174" s="179"/>
    </row>
    <row r="175" customFormat="false" ht="12.75" hidden="false" customHeight="false" outlineLevel="0" collapsed="false">
      <c r="E175" s="179"/>
      <c r="G175" s="179"/>
    </row>
    <row r="176" customFormat="false" ht="12.75" hidden="false" customHeight="false" outlineLevel="0" collapsed="false">
      <c r="E176" s="179"/>
      <c r="G176" s="179"/>
    </row>
    <row r="177" customFormat="false" ht="12.75" hidden="false" customHeight="false" outlineLevel="0" collapsed="false">
      <c r="E177" s="179"/>
      <c r="G177" s="179"/>
    </row>
    <row r="178" customFormat="false" ht="12.75" hidden="false" customHeight="false" outlineLevel="0" collapsed="false">
      <c r="E178" s="179"/>
      <c r="G178" s="179"/>
    </row>
    <row r="179" customFormat="false" ht="12.75" hidden="false" customHeight="false" outlineLevel="0" collapsed="false">
      <c r="E179" s="179"/>
      <c r="G179" s="179"/>
    </row>
    <row r="180" customFormat="false" ht="12.75" hidden="false" customHeight="false" outlineLevel="0" collapsed="false">
      <c r="E180" s="179"/>
      <c r="G180" s="179"/>
    </row>
    <row r="181" customFormat="false" ht="12.75" hidden="false" customHeight="false" outlineLevel="0" collapsed="false">
      <c r="E181" s="179"/>
      <c r="G181" s="179"/>
    </row>
    <row r="182" customFormat="false" ht="12.75" hidden="false" customHeight="false" outlineLevel="0" collapsed="false">
      <c r="E182" s="179"/>
      <c r="G182" s="179"/>
    </row>
    <row r="183" customFormat="false" ht="12.75" hidden="false" customHeight="false" outlineLevel="0" collapsed="false">
      <c r="E183" s="179"/>
      <c r="G183" s="179"/>
    </row>
    <row r="184" customFormat="false" ht="12.75" hidden="false" customHeight="false" outlineLevel="0" collapsed="false">
      <c r="E184" s="179"/>
      <c r="G184" s="179"/>
    </row>
    <row r="185" customFormat="false" ht="12.75" hidden="false" customHeight="false" outlineLevel="0" collapsed="false">
      <c r="E185" s="179"/>
      <c r="G185" s="179"/>
    </row>
    <row r="186" customFormat="false" ht="12.75" hidden="false" customHeight="false" outlineLevel="0" collapsed="false">
      <c r="E186" s="179"/>
      <c r="G186" s="179"/>
    </row>
    <row r="187" customFormat="false" ht="12.75" hidden="false" customHeight="false" outlineLevel="0" collapsed="false">
      <c r="E187" s="179"/>
      <c r="G187" s="179"/>
    </row>
    <row r="188" customFormat="false" ht="12.75" hidden="false" customHeight="false" outlineLevel="0" collapsed="false">
      <c r="E188" s="179"/>
      <c r="G188" s="179"/>
    </row>
    <row r="189" customFormat="false" ht="12.75" hidden="false" customHeight="false" outlineLevel="0" collapsed="false">
      <c r="E189" s="179"/>
      <c r="G189" s="179"/>
    </row>
    <row r="190" customFormat="false" ht="12.75" hidden="false" customHeight="false" outlineLevel="0" collapsed="false">
      <c r="E190" s="179"/>
      <c r="G190" s="179"/>
    </row>
    <row r="191" customFormat="false" ht="12.75" hidden="false" customHeight="false" outlineLevel="0" collapsed="false">
      <c r="E191" s="179"/>
      <c r="G191" s="179"/>
    </row>
    <row r="192" customFormat="false" ht="12.75" hidden="false" customHeight="false" outlineLevel="0" collapsed="false">
      <c r="E192" s="179"/>
      <c r="G192" s="179"/>
    </row>
    <row r="193" customFormat="false" ht="12.75" hidden="false" customHeight="false" outlineLevel="0" collapsed="false">
      <c r="E193" s="179"/>
      <c r="G193" s="179"/>
    </row>
    <row r="194" customFormat="false" ht="12.75" hidden="false" customHeight="false" outlineLevel="0" collapsed="false">
      <c r="E194" s="179"/>
      <c r="G194" s="179"/>
    </row>
    <row r="195" customFormat="false" ht="12.75" hidden="false" customHeight="false" outlineLevel="0" collapsed="false">
      <c r="E195" s="179"/>
      <c r="G195" s="179"/>
    </row>
    <row r="196" customFormat="false" ht="12.75" hidden="false" customHeight="false" outlineLevel="0" collapsed="false">
      <c r="E196" s="179"/>
      <c r="G196" s="179"/>
    </row>
    <row r="197" customFormat="false" ht="12.75" hidden="false" customHeight="false" outlineLevel="0" collapsed="false">
      <c r="E197" s="179"/>
      <c r="G197" s="179"/>
    </row>
    <row r="198" customFormat="false" ht="12.75" hidden="false" customHeight="false" outlineLevel="0" collapsed="false">
      <c r="E198" s="179"/>
      <c r="G198" s="179"/>
    </row>
    <row r="199" customFormat="false" ht="12.75" hidden="false" customHeight="false" outlineLevel="0" collapsed="false">
      <c r="E199" s="179"/>
      <c r="G199" s="179"/>
    </row>
    <row r="200" customFormat="false" ht="12.75" hidden="false" customHeight="false" outlineLevel="0" collapsed="false">
      <c r="E200" s="179"/>
      <c r="G200" s="179"/>
    </row>
    <row r="201" customFormat="false" ht="12.75" hidden="false" customHeight="false" outlineLevel="0" collapsed="false">
      <c r="E201" s="179"/>
      <c r="G201" s="179"/>
    </row>
    <row r="202" customFormat="false" ht="12.75" hidden="false" customHeight="false" outlineLevel="0" collapsed="false">
      <c r="E202" s="179"/>
      <c r="G202" s="179"/>
    </row>
    <row r="203" customFormat="false" ht="12.75" hidden="false" customHeight="false" outlineLevel="0" collapsed="false">
      <c r="E203" s="179"/>
      <c r="G203" s="179"/>
    </row>
    <row r="204" customFormat="false" ht="12.75" hidden="false" customHeight="false" outlineLevel="0" collapsed="false">
      <c r="E204" s="179"/>
      <c r="G204" s="179"/>
    </row>
    <row r="205" customFormat="false" ht="12.75" hidden="false" customHeight="false" outlineLevel="0" collapsed="false">
      <c r="E205" s="179"/>
    </row>
    <row r="206" customFormat="false" ht="12.75" hidden="false" customHeight="false" outlineLevel="0" collapsed="false">
      <c r="E206" s="179"/>
    </row>
    <row r="207" customFormat="false" ht="12.75" hidden="false" customHeight="false" outlineLevel="0" collapsed="false">
      <c r="E207" s="179"/>
    </row>
    <row r="208" customFormat="false" ht="12.75" hidden="false" customHeight="false" outlineLevel="0" collapsed="false">
      <c r="E208" s="179"/>
    </row>
    <row r="209" customFormat="false" ht="12.75" hidden="false" customHeight="false" outlineLevel="0" collapsed="false">
      <c r="E209" s="179"/>
    </row>
    <row r="210" customFormat="false" ht="12.75" hidden="false" customHeight="false" outlineLevel="0" collapsed="false">
      <c r="E210" s="179"/>
    </row>
    <row r="211" customFormat="false" ht="12.75" hidden="false" customHeight="false" outlineLevel="0" collapsed="false">
      <c r="E211" s="179"/>
    </row>
    <row r="212" customFormat="false" ht="12.75" hidden="false" customHeight="false" outlineLevel="0" collapsed="false">
      <c r="E212" s="179"/>
    </row>
    <row r="213" customFormat="false" ht="12.75" hidden="false" customHeight="false" outlineLevel="0" collapsed="false">
      <c r="E213" s="179"/>
    </row>
    <row r="214" customFormat="false" ht="12.75" hidden="false" customHeight="false" outlineLevel="0" collapsed="false">
      <c r="E214" s="179"/>
    </row>
    <row r="215" customFormat="false" ht="12.75" hidden="false" customHeight="false" outlineLevel="0" collapsed="false">
      <c r="E215" s="179"/>
    </row>
    <row r="216" customFormat="false" ht="12.75" hidden="false" customHeight="false" outlineLevel="0" collapsed="false">
      <c r="E216" s="179"/>
    </row>
    <row r="217" customFormat="false" ht="12.75" hidden="false" customHeight="false" outlineLevel="0" collapsed="false">
      <c r="E217" s="179"/>
    </row>
    <row r="218" customFormat="false" ht="12.75" hidden="false" customHeight="false" outlineLevel="0" collapsed="false">
      <c r="E218" s="179"/>
    </row>
    <row r="219" customFormat="false" ht="12.75" hidden="false" customHeight="false" outlineLevel="0" collapsed="false">
      <c r="E219" s="179"/>
    </row>
    <row r="220" customFormat="false" ht="12.75" hidden="false" customHeight="false" outlineLevel="0" collapsed="false">
      <c r="E220" s="179"/>
    </row>
    <row r="221" customFormat="false" ht="12.75" hidden="false" customHeight="false" outlineLevel="0" collapsed="false">
      <c r="E221" s="179"/>
    </row>
    <row r="222" customFormat="false" ht="12.75" hidden="false" customHeight="false" outlineLevel="0" collapsed="false">
      <c r="E222" s="179"/>
    </row>
    <row r="223" customFormat="false" ht="12.75" hidden="false" customHeight="false" outlineLevel="0" collapsed="false">
      <c r="E223" s="179"/>
    </row>
    <row r="224" customFormat="false" ht="12.75" hidden="false" customHeight="false" outlineLevel="0" collapsed="false">
      <c r="E224" s="179"/>
    </row>
    <row r="225" customFormat="false" ht="12.75" hidden="false" customHeight="false" outlineLevel="0" collapsed="false">
      <c r="E225" s="179"/>
    </row>
    <row r="226" customFormat="false" ht="12.75" hidden="false" customHeight="false" outlineLevel="0" collapsed="false">
      <c r="E226" s="179"/>
    </row>
    <row r="227" customFormat="false" ht="12.75" hidden="false" customHeight="false" outlineLevel="0" collapsed="false">
      <c r="E227" s="179"/>
    </row>
    <row r="228" customFormat="false" ht="12.75" hidden="false" customHeight="false" outlineLevel="0" collapsed="false">
      <c r="E228" s="179"/>
    </row>
    <row r="229" customFormat="false" ht="12.75" hidden="false" customHeight="false" outlineLevel="0" collapsed="false">
      <c r="E229" s="179"/>
    </row>
    <row r="230" customFormat="false" ht="12.75" hidden="false" customHeight="false" outlineLevel="0" collapsed="false">
      <c r="E230" s="179"/>
    </row>
    <row r="231" customFormat="false" ht="12.75" hidden="false" customHeight="false" outlineLevel="0" collapsed="false">
      <c r="E231" s="179"/>
    </row>
    <row r="232" customFormat="false" ht="12.75" hidden="false" customHeight="false" outlineLevel="0" collapsed="false">
      <c r="E232" s="179"/>
    </row>
    <row r="233" customFormat="false" ht="12.75" hidden="false" customHeight="false" outlineLevel="0" collapsed="false">
      <c r="E233" s="179"/>
    </row>
    <row r="234" customFormat="false" ht="12.75" hidden="false" customHeight="false" outlineLevel="0" collapsed="false">
      <c r="E234" s="179"/>
    </row>
    <row r="235" customFormat="false" ht="12.75" hidden="false" customHeight="false" outlineLevel="0" collapsed="false">
      <c r="E235" s="179"/>
    </row>
    <row r="236" customFormat="false" ht="12.75" hidden="false" customHeight="false" outlineLevel="0" collapsed="false">
      <c r="E236" s="179"/>
    </row>
    <row r="237" customFormat="false" ht="12.75" hidden="false" customHeight="false" outlineLevel="0" collapsed="false">
      <c r="E237" s="179"/>
    </row>
    <row r="238" customFormat="false" ht="12.75" hidden="false" customHeight="false" outlineLevel="0" collapsed="false">
      <c r="E238" s="179"/>
    </row>
    <row r="239" customFormat="false" ht="12.75" hidden="false" customHeight="false" outlineLevel="0" collapsed="false">
      <c r="E239" s="179"/>
    </row>
    <row r="240" customFormat="false" ht="12.75" hidden="false" customHeight="false" outlineLevel="0" collapsed="false">
      <c r="E240" s="179"/>
    </row>
    <row r="241" customFormat="false" ht="12.75" hidden="false" customHeight="false" outlineLevel="0" collapsed="false">
      <c r="E241" s="179"/>
    </row>
    <row r="242" customFormat="false" ht="12.75" hidden="false" customHeight="false" outlineLevel="0" collapsed="false">
      <c r="E242" s="179"/>
    </row>
    <row r="243" customFormat="false" ht="12.75" hidden="false" customHeight="false" outlineLevel="0" collapsed="false">
      <c r="E243" s="179"/>
    </row>
    <row r="244" customFormat="false" ht="12.75" hidden="false" customHeight="false" outlineLevel="0" collapsed="false">
      <c r="E244" s="179"/>
    </row>
    <row r="245" customFormat="false" ht="12.75" hidden="false" customHeight="false" outlineLevel="0" collapsed="false">
      <c r="E245" s="179"/>
    </row>
    <row r="246" customFormat="false" ht="12.75" hidden="false" customHeight="false" outlineLevel="0" collapsed="false">
      <c r="E246" s="179"/>
    </row>
    <row r="247" customFormat="false" ht="12.75" hidden="false" customHeight="false" outlineLevel="0" collapsed="false">
      <c r="E247" s="179"/>
    </row>
    <row r="248" customFormat="false" ht="12.75" hidden="false" customHeight="false" outlineLevel="0" collapsed="false">
      <c r="E248" s="179"/>
    </row>
    <row r="249" customFormat="false" ht="12.75" hidden="false" customHeight="false" outlineLevel="0" collapsed="false">
      <c r="E249" s="179"/>
    </row>
    <row r="250" customFormat="false" ht="12.75" hidden="false" customHeight="false" outlineLevel="0" collapsed="false">
      <c r="E250" s="179"/>
    </row>
    <row r="251" customFormat="false" ht="12.75" hidden="false" customHeight="false" outlineLevel="0" collapsed="false">
      <c r="E251" s="179"/>
    </row>
    <row r="252" customFormat="false" ht="12.75" hidden="false" customHeight="false" outlineLevel="0" collapsed="false">
      <c r="E252" s="179"/>
    </row>
    <row r="253" customFormat="false" ht="12.75" hidden="false" customHeight="false" outlineLevel="0" collapsed="false">
      <c r="E253" s="179"/>
    </row>
    <row r="254" customFormat="false" ht="12.75" hidden="false" customHeight="false" outlineLevel="0" collapsed="false">
      <c r="E254" s="179"/>
    </row>
    <row r="255" customFormat="false" ht="12.75" hidden="false" customHeight="false" outlineLevel="0" collapsed="false">
      <c r="E255" s="179"/>
    </row>
    <row r="256" customFormat="false" ht="12.75" hidden="false" customHeight="false" outlineLevel="0" collapsed="false">
      <c r="E256" s="179"/>
    </row>
    <row r="257" customFormat="false" ht="12.75" hidden="false" customHeight="false" outlineLevel="0" collapsed="false">
      <c r="E257" s="179"/>
    </row>
    <row r="258" customFormat="false" ht="12.75" hidden="false" customHeight="false" outlineLevel="0" collapsed="false">
      <c r="E258" s="179"/>
    </row>
    <row r="259" customFormat="false" ht="12.75" hidden="false" customHeight="false" outlineLevel="0" collapsed="false">
      <c r="E259" s="179"/>
    </row>
    <row r="260" customFormat="false" ht="12.75" hidden="false" customHeight="false" outlineLevel="0" collapsed="false">
      <c r="E260" s="179"/>
    </row>
    <row r="261" customFormat="false" ht="12.75" hidden="false" customHeight="false" outlineLevel="0" collapsed="false">
      <c r="E261" s="179"/>
    </row>
    <row r="262" customFormat="false" ht="12.75" hidden="false" customHeight="false" outlineLevel="0" collapsed="false">
      <c r="E262" s="179"/>
    </row>
    <row r="263" customFormat="false" ht="12.75" hidden="false" customHeight="false" outlineLevel="0" collapsed="false">
      <c r="E263" s="179"/>
    </row>
    <row r="264" customFormat="false" ht="12.75" hidden="false" customHeight="false" outlineLevel="0" collapsed="false">
      <c r="E264" s="179"/>
    </row>
    <row r="265" customFormat="false" ht="12.75" hidden="false" customHeight="false" outlineLevel="0" collapsed="false">
      <c r="E265" s="179"/>
    </row>
    <row r="266" customFormat="false" ht="12.75" hidden="false" customHeight="false" outlineLevel="0" collapsed="false">
      <c r="E266" s="179"/>
    </row>
    <row r="267" customFormat="false" ht="12.75" hidden="false" customHeight="false" outlineLevel="0" collapsed="false">
      <c r="E267" s="179"/>
    </row>
    <row r="268" customFormat="false" ht="12.75" hidden="false" customHeight="false" outlineLevel="0" collapsed="false">
      <c r="E268" s="179"/>
    </row>
    <row r="269" customFormat="false" ht="12.75" hidden="false" customHeight="false" outlineLevel="0" collapsed="false">
      <c r="E269" s="179"/>
    </row>
    <row r="270" customFormat="false" ht="12.75" hidden="false" customHeight="false" outlineLevel="0" collapsed="false">
      <c r="E270" s="179"/>
    </row>
    <row r="271" customFormat="false" ht="12.75" hidden="false" customHeight="false" outlineLevel="0" collapsed="false">
      <c r="E271" s="179"/>
    </row>
    <row r="272" customFormat="false" ht="12.75" hidden="false" customHeight="false" outlineLevel="0" collapsed="false">
      <c r="E272" s="179"/>
    </row>
    <row r="273" customFormat="false" ht="12.75" hidden="false" customHeight="false" outlineLevel="0" collapsed="false">
      <c r="E273" s="179"/>
    </row>
    <row r="274" customFormat="false" ht="12.75" hidden="false" customHeight="false" outlineLevel="0" collapsed="false">
      <c r="E274" s="179"/>
    </row>
    <row r="275" customFormat="false" ht="12.75" hidden="false" customHeight="false" outlineLevel="0" collapsed="false">
      <c r="E275" s="179"/>
    </row>
    <row r="276" customFormat="false" ht="12.75" hidden="false" customHeight="false" outlineLevel="0" collapsed="false">
      <c r="E276" s="179"/>
    </row>
    <row r="277" customFormat="false" ht="12.75" hidden="false" customHeight="false" outlineLevel="0" collapsed="false">
      <c r="E277" s="179"/>
    </row>
    <row r="278" customFormat="false" ht="12.75" hidden="false" customHeight="false" outlineLevel="0" collapsed="false">
      <c r="E278" s="179"/>
    </row>
    <row r="279" customFormat="false" ht="12.75" hidden="false" customHeight="false" outlineLevel="0" collapsed="false">
      <c r="E279" s="179"/>
    </row>
    <row r="280" customFormat="false" ht="12.75" hidden="false" customHeight="false" outlineLevel="0" collapsed="false">
      <c r="E280" s="179"/>
    </row>
    <row r="281" customFormat="false" ht="12.75" hidden="false" customHeight="false" outlineLevel="0" collapsed="false">
      <c r="E281" s="179"/>
    </row>
    <row r="282" customFormat="false" ht="12.75" hidden="false" customHeight="false" outlineLevel="0" collapsed="false">
      <c r="E282" s="179"/>
    </row>
    <row r="283" customFormat="false" ht="12.75" hidden="false" customHeight="false" outlineLevel="0" collapsed="false">
      <c r="E283" s="179"/>
    </row>
    <row r="284" customFormat="false" ht="12.75" hidden="false" customHeight="false" outlineLevel="0" collapsed="false">
      <c r="E284" s="179"/>
    </row>
    <row r="285" customFormat="false" ht="12.75" hidden="false" customHeight="false" outlineLevel="0" collapsed="false">
      <c r="E285" s="179"/>
    </row>
    <row r="286" customFormat="false" ht="12.75" hidden="false" customHeight="false" outlineLevel="0" collapsed="false">
      <c r="E286" s="179"/>
    </row>
    <row r="287" customFormat="false" ht="12.75" hidden="false" customHeight="false" outlineLevel="0" collapsed="false">
      <c r="E287" s="179"/>
    </row>
    <row r="288" customFormat="false" ht="12.75" hidden="false" customHeight="false" outlineLevel="0" collapsed="false">
      <c r="E288" s="179"/>
    </row>
    <row r="289" customFormat="false" ht="12.75" hidden="false" customHeight="false" outlineLevel="0" collapsed="false">
      <c r="E289" s="179"/>
    </row>
    <row r="290" customFormat="false" ht="12.75" hidden="false" customHeight="false" outlineLevel="0" collapsed="false">
      <c r="E290" s="179"/>
    </row>
    <row r="291" customFormat="false" ht="12.75" hidden="false" customHeight="false" outlineLevel="0" collapsed="false">
      <c r="E291" s="179"/>
    </row>
    <row r="292" customFormat="false" ht="12.75" hidden="false" customHeight="false" outlineLevel="0" collapsed="false">
      <c r="E292" s="179"/>
    </row>
    <row r="293" customFormat="false" ht="12.75" hidden="false" customHeight="false" outlineLevel="0" collapsed="false">
      <c r="E293" s="179"/>
    </row>
    <row r="294" customFormat="false" ht="12.75" hidden="false" customHeight="false" outlineLevel="0" collapsed="false">
      <c r="E294" s="179"/>
    </row>
    <row r="295" customFormat="false" ht="12.75" hidden="false" customHeight="false" outlineLevel="0" collapsed="false">
      <c r="E295" s="179"/>
    </row>
    <row r="296" customFormat="false" ht="12.75" hidden="false" customHeight="false" outlineLevel="0" collapsed="false">
      <c r="E296" s="179"/>
    </row>
    <row r="297" customFormat="false" ht="12.75" hidden="false" customHeight="false" outlineLevel="0" collapsed="false">
      <c r="E297" s="179"/>
    </row>
    <row r="298" customFormat="false" ht="12.75" hidden="false" customHeight="false" outlineLevel="0" collapsed="false">
      <c r="E298" s="179"/>
    </row>
    <row r="299" customFormat="false" ht="12.75" hidden="false" customHeight="false" outlineLevel="0" collapsed="false">
      <c r="E299" s="179"/>
    </row>
    <row r="300" customFormat="false" ht="12.75" hidden="false" customHeight="false" outlineLevel="0" collapsed="false">
      <c r="E300" s="179"/>
    </row>
    <row r="301" customFormat="false" ht="12.75" hidden="false" customHeight="false" outlineLevel="0" collapsed="false">
      <c r="E301" s="179"/>
    </row>
    <row r="302" customFormat="false" ht="12.75" hidden="false" customHeight="false" outlineLevel="0" collapsed="false">
      <c r="E302" s="179"/>
    </row>
    <row r="303" customFormat="false" ht="12.75" hidden="false" customHeight="false" outlineLevel="0" collapsed="false">
      <c r="E303" s="179"/>
    </row>
    <row r="304" customFormat="false" ht="12.75" hidden="false" customHeight="false" outlineLevel="0" collapsed="false">
      <c r="E304" s="179"/>
    </row>
    <row r="305" customFormat="false" ht="12.75" hidden="false" customHeight="false" outlineLevel="0" collapsed="false">
      <c r="E305" s="179"/>
    </row>
    <row r="306" customFormat="false" ht="12.75" hidden="false" customHeight="false" outlineLevel="0" collapsed="false">
      <c r="E306" s="179"/>
    </row>
    <row r="307" customFormat="false" ht="12.75" hidden="false" customHeight="false" outlineLevel="0" collapsed="false">
      <c r="E307" s="179"/>
    </row>
    <row r="308" customFormat="false" ht="12.75" hidden="false" customHeight="false" outlineLevel="0" collapsed="false">
      <c r="E308" s="179"/>
    </row>
    <row r="309" customFormat="false" ht="12.75" hidden="false" customHeight="false" outlineLevel="0" collapsed="false">
      <c r="E309" s="179"/>
    </row>
    <row r="310" customFormat="false" ht="12.75" hidden="false" customHeight="false" outlineLevel="0" collapsed="false">
      <c r="E310" s="179"/>
    </row>
    <row r="311" customFormat="false" ht="12.75" hidden="false" customHeight="false" outlineLevel="0" collapsed="false">
      <c r="E311" s="179"/>
    </row>
    <row r="312" customFormat="false" ht="12.75" hidden="false" customHeight="false" outlineLevel="0" collapsed="false">
      <c r="E312" s="179"/>
    </row>
    <row r="313" customFormat="false" ht="12.75" hidden="false" customHeight="false" outlineLevel="0" collapsed="false">
      <c r="E313" s="179"/>
    </row>
    <row r="314" customFormat="false" ht="12.75" hidden="false" customHeight="false" outlineLevel="0" collapsed="false">
      <c r="E314" s="179"/>
    </row>
    <row r="315" customFormat="false" ht="12.75" hidden="false" customHeight="false" outlineLevel="0" collapsed="false">
      <c r="E315" s="179"/>
    </row>
    <row r="316" customFormat="false" ht="12.75" hidden="false" customHeight="false" outlineLevel="0" collapsed="false">
      <c r="E316" s="179"/>
    </row>
    <row r="317" customFormat="false" ht="12.75" hidden="false" customHeight="false" outlineLevel="0" collapsed="false">
      <c r="E317" s="179"/>
    </row>
    <row r="318" customFormat="false" ht="12.75" hidden="false" customHeight="false" outlineLevel="0" collapsed="false">
      <c r="E318" s="179"/>
    </row>
    <row r="319" customFormat="false" ht="12.75" hidden="false" customHeight="false" outlineLevel="0" collapsed="false">
      <c r="E319" s="179"/>
    </row>
    <row r="320" customFormat="false" ht="12.75" hidden="false" customHeight="false" outlineLevel="0" collapsed="false">
      <c r="E320" s="179"/>
    </row>
    <row r="321" customFormat="false" ht="12.75" hidden="false" customHeight="false" outlineLevel="0" collapsed="false">
      <c r="E321" s="179"/>
    </row>
    <row r="322" customFormat="false" ht="12.75" hidden="false" customHeight="false" outlineLevel="0" collapsed="false">
      <c r="E322" s="179"/>
    </row>
    <row r="323" customFormat="false" ht="12.75" hidden="false" customHeight="false" outlineLevel="0" collapsed="false">
      <c r="E323" s="179"/>
    </row>
    <row r="324" customFormat="false" ht="12.75" hidden="false" customHeight="false" outlineLevel="0" collapsed="false">
      <c r="E324" s="179"/>
    </row>
    <row r="325" customFormat="false" ht="12.75" hidden="false" customHeight="false" outlineLevel="0" collapsed="false">
      <c r="E325" s="179"/>
    </row>
    <row r="326" customFormat="false" ht="12.75" hidden="false" customHeight="false" outlineLevel="0" collapsed="false">
      <c r="E326" s="179"/>
    </row>
    <row r="327" customFormat="false" ht="12.75" hidden="false" customHeight="false" outlineLevel="0" collapsed="false">
      <c r="E327" s="179"/>
    </row>
    <row r="328" customFormat="false" ht="12.75" hidden="false" customHeight="false" outlineLevel="0" collapsed="false">
      <c r="E328" s="179"/>
    </row>
    <row r="329" customFormat="false" ht="12.75" hidden="false" customHeight="false" outlineLevel="0" collapsed="false">
      <c r="E329" s="179"/>
    </row>
    <row r="330" customFormat="false" ht="12.75" hidden="false" customHeight="false" outlineLevel="0" collapsed="false">
      <c r="E330" s="179"/>
    </row>
    <row r="331" customFormat="false" ht="12.75" hidden="false" customHeight="false" outlineLevel="0" collapsed="false">
      <c r="E331" s="179"/>
    </row>
    <row r="332" customFormat="false" ht="12.75" hidden="false" customHeight="false" outlineLevel="0" collapsed="false">
      <c r="E332" s="179"/>
    </row>
    <row r="333" customFormat="false" ht="12.75" hidden="false" customHeight="false" outlineLevel="0" collapsed="false">
      <c r="E333" s="179"/>
    </row>
    <row r="334" customFormat="false" ht="12.75" hidden="false" customHeight="false" outlineLevel="0" collapsed="false">
      <c r="E334" s="179"/>
    </row>
    <row r="335" customFormat="false" ht="12.75" hidden="false" customHeight="false" outlineLevel="0" collapsed="false">
      <c r="E335" s="179"/>
    </row>
    <row r="336" customFormat="false" ht="12.75" hidden="false" customHeight="false" outlineLevel="0" collapsed="false">
      <c r="E336" s="179"/>
    </row>
    <row r="337" customFormat="false" ht="12.75" hidden="false" customHeight="false" outlineLevel="0" collapsed="false">
      <c r="E337" s="179"/>
    </row>
    <row r="338" customFormat="false" ht="12.75" hidden="false" customHeight="false" outlineLevel="0" collapsed="false">
      <c r="E338" s="179"/>
    </row>
    <row r="339" customFormat="false" ht="12.75" hidden="false" customHeight="false" outlineLevel="0" collapsed="false">
      <c r="E339" s="179"/>
    </row>
    <row r="340" customFormat="false" ht="12.75" hidden="false" customHeight="false" outlineLevel="0" collapsed="false">
      <c r="E340" s="179"/>
    </row>
    <row r="341" customFormat="false" ht="12.75" hidden="false" customHeight="false" outlineLevel="0" collapsed="false">
      <c r="E341" s="179"/>
    </row>
    <row r="342" customFormat="false" ht="12.75" hidden="false" customHeight="false" outlineLevel="0" collapsed="false">
      <c r="E342" s="179"/>
    </row>
    <row r="343" customFormat="false" ht="12.75" hidden="false" customHeight="false" outlineLevel="0" collapsed="false">
      <c r="E343" s="179"/>
    </row>
    <row r="344" customFormat="false" ht="12.75" hidden="false" customHeight="false" outlineLevel="0" collapsed="false">
      <c r="E344" s="179"/>
    </row>
    <row r="345" customFormat="false" ht="12.75" hidden="false" customHeight="false" outlineLevel="0" collapsed="false">
      <c r="E345" s="179"/>
    </row>
    <row r="346" customFormat="false" ht="12.75" hidden="false" customHeight="false" outlineLevel="0" collapsed="false">
      <c r="E346" s="179"/>
    </row>
    <row r="347" customFormat="false" ht="12.75" hidden="false" customHeight="false" outlineLevel="0" collapsed="false">
      <c r="E347" s="179"/>
    </row>
    <row r="348" customFormat="false" ht="12.75" hidden="false" customHeight="false" outlineLevel="0" collapsed="false">
      <c r="E348" s="179"/>
    </row>
    <row r="349" customFormat="false" ht="12.75" hidden="false" customHeight="false" outlineLevel="0" collapsed="false">
      <c r="E349" s="179"/>
    </row>
    <row r="350" customFormat="false" ht="12.75" hidden="false" customHeight="false" outlineLevel="0" collapsed="false">
      <c r="E350" s="179"/>
    </row>
    <row r="351" customFormat="false" ht="12.75" hidden="false" customHeight="false" outlineLevel="0" collapsed="false">
      <c r="E351" s="179"/>
    </row>
    <row r="352" customFormat="false" ht="12.75" hidden="false" customHeight="false" outlineLevel="0" collapsed="false">
      <c r="E352" s="179"/>
    </row>
    <row r="353" customFormat="false" ht="12.75" hidden="false" customHeight="false" outlineLevel="0" collapsed="false">
      <c r="E353" s="179"/>
    </row>
    <row r="354" customFormat="false" ht="12.75" hidden="false" customHeight="false" outlineLevel="0" collapsed="false">
      <c r="E354" s="179"/>
    </row>
    <row r="355" customFormat="false" ht="12.75" hidden="false" customHeight="false" outlineLevel="0" collapsed="false">
      <c r="E355" s="179"/>
    </row>
    <row r="356" customFormat="false" ht="12.75" hidden="false" customHeight="false" outlineLevel="0" collapsed="false">
      <c r="E356" s="179"/>
    </row>
    <row r="357" customFormat="false" ht="12.75" hidden="false" customHeight="false" outlineLevel="0" collapsed="false">
      <c r="E357" s="179"/>
    </row>
    <row r="358" customFormat="false" ht="12.75" hidden="false" customHeight="false" outlineLevel="0" collapsed="false">
      <c r="E358" s="179"/>
    </row>
    <row r="359" customFormat="false" ht="12.75" hidden="false" customHeight="false" outlineLevel="0" collapsed="false">
      <c r="E359" s="179"/>
    </row>
    <row r="360" customFormat="false" ht="12.75" hidden="false" customHeight="false" outlineLevel="0" collapsed="false">
      <c r="E360" s="179"/>
    </row>
    <row r="361" customFormat="false" ht="12.75" hidden="false" customHeight="false" outlineLevel="0" collapsed="false">
      <c r="E361" s="179"/>
    </row>
    <row r="362" customFormat="false" ht="12.75" hidden="false" customHeight="false" outlineLevel="0" collapsed="false">
      <c r="E362" s="179"/>
    </row>
    <row r="363" customFormat="false" ht="12.75" hidden="false" customHeight="false" outlineLevel="0" collapsed="false">
      <c r="E363" s="179"/>
    </row>
    <row r="364" customFormat="false" ht="12.75" hidden="false" customHeight="false" outlineLevel="0" collapsed="false">
      <c r="E364" s="179"/>
    </row>
    <row r="365" customFormat="false" ht="12.75" hidden="false" customHeight="false" outlineLevel="0" collapsed="false">
      <c r="E365" s="179"/>
    </row>
    <row r="366" customFormat="false" ht="12.75" hidden="false" customHeight="false" outlineLevel="0" collapsed="false">
      <c r="E366" s="179"/>
    </row>
    <row r="367" customFormat="false" ht="12.75" hidden="false" customHeight="false" outlineLevel="0" collapsed="false">
      <c r="E367" s="179"/>
    </row>
    <row r="368" customFormat="false" ht="12.75" hidden="false" customHeight="false" outlineLevel="0" collapsed="false">
      <c r="E368" s="179"/>
    </row>
    <row r="369" customFormat="false" ht="12.75" hidden="false" customHeight="false" outlineLevel="0" collapsed="false">
      <c r="E369" s="179"/>
    </row>
    <row r="370" customFormat="false" ht="12.75" hidden="false" customHeight="false" outlineLevel="0" collapsed="false">
      <c r="E370" s="179"/>
    </row>
    <row r="371" customFormat="false" ht="12.75" hidden="false" customHeight="false" outlineLevel="0" collapsed="false">
      <c r="E371" s="179"/>
    </row>
    <row r="372" customFormat="false" ht="12.75" hidden="false" customHeight="false" outlineLevel="0" collapsed="false">
      <c r="E372" s="179"/>
    </row>
    <row r="373" customFormat="false" ht="12.75" hidden="false" customHeight="false" outlineLevel="0" collapsed="false">
      <c r="E373" s="179"/>
    </row>
    <row r="374" customFormat="false" ht="12.75" hidden="false" customHeight="false" outlineLevel="0" collapsed="false">
      <c r="E374" s="179"/>
    </row>
    <row r="375" customFormat="false" ht="12.75" hidden="false" customHeight="false" outlineLevel="0" collapsed="false">
      <c r="E375" s="179"/>
    </row>
    <row r="376" customFormat="false" ht="12.75" hidden="false" customHeight="false" outlineLevel="0" collapsed="false">
      <c r="E376" s="179"/>
    </row>
    <row r="377" customFormat="false" ht="12.75" hidden="false" customHeight="false" outlineLevel="0" collapsed="false">
      <c r="E377" s="179"/>
    </row>
    <row r="378" customFormat="false" ht="12.75" hidden="false" customHeight="false" outlineLevel="0" collapsed="false">
      <c r="E378" s="179"/>
    </row>
    <row r="379" customFormat="false" ht="12.75" hidden="false" customHeight="false" outlineLevel="0" collapsed="false">
      <c r="E379" s="179"/>
    </row>
    <row r="380" customFormat="false" ht="12.75" hidden="false" customHeight="false" outlineLevel="0" collapsed="false">
      <c r="E380" s="179"/>
    </row>
    <row r="381" customFormat="false" ht="12.75" hidden="false" customHeight="false" outlineLevel="0" collapsed="false">
      <c r="E381" s="179"/>
    </row>
    <row r="382" customFormat="false" ht="12.75" hidden="false" customHeight="false" outlineLevel="0" collapsed="false">
      <c r="E382" s="179"/>
    </row>
    <row r="383" customFormat="false" ht="12.75" hidden="false" customHeight="false" outlineLevel="0" collapsed="false">
      <c r="E383" s="179"/>
    </row>
    <row r="384" customFormat="false" ht="12.75" hidden="false" customHeight="false" outlineLevel="0" collapsed="false">
      <c r="E384" s="179"/>
    </row>
    <row r="385" customFormat="false" ht="12.75" hidden="false" customHeight="false" outlineLevel="0" collapsed="false">
      <c r="E385" s="179"/>
    </row>
    <row r="386" customFormat="false" ht="12.75" hidden="false" customHeight="false" outlineLevel="0" collapsed="false">
      <c r="E386" s="179"/>
    </row>
    <row r="387" customFormat="false" ht="12.75" hidden="false" customHeight="false" outlineLevel="0" collapsed="false">
      <c r="E387" s="179"/>
    </row>
    <row r="388" customFormat="false" ht="12.75" hidden="false" customHeight="false" outlineLevel="0" collapsed="false">
      <c r="E388" s="179"/>
    </row>
    <row r="389" customFormat="false" ht="12.75" hidden="false" customHeight="false" outlineLevel="0" collapsed="false">
      <c r="E389" s="179"/>
    </row>
    <row r="390" customFormat="false" ht="12.75" hidden="false" customHeight="false" outlineLevel="0" collapsed="false">
      <c r="E390" s="179"/>
    </row>
    <row r="391" customFormat="false" ht="12.75" hidden="false" customHeight="false" outlineLevel="0" collapsed="false">
      <c r="E391" s="179"/>
    </row>
    <row r="392" customFormat="false" ht="12.75" hidden="false" customHeight="false" outlineLevel="0" collapsed="false">
      <c r="E392" s="179"/>
    </row>
    <row r="393" customFormat="false" ht="12.75" hidden="false" customHeight="false" outlineLevel="0" collapsed="false">
      <c r="E393" s="179"/>
    </row>
    <row r="394" customFormat="false" ht="12.75" hidden="false" customHeight="false" outlineLevel="0" collapsed="false">
      <c r="E394" s="179"/>
    </row>
    <row r="395" customFormat="false" ht="12.75" hidden="false" customHeight="false" outlineLevel="0" collapsed="false">
      <c r="E395" s="179"/>
    </row>
    <row r="396" customFormat="false" ht="12.75" hidden="false" customHeight="false" outlineLevel="0" collapsed="false">
      <c r="E396" s="179"/>
    </row>
    <row r="397" customFormat="false" ht="12.75" hidden="false" customHeight="false" outlineLevel="0" collapsed="false">
      <c r="E397" s="179"/>
    </row>
    <row r="398" customFormat="false" ht="12.75" hidden="false" customHeight="false" outlineLevel="0" collapsed="false">
      <c r="E398" s="179"/>
    </row>
    <row r="399" customFormat="false" ht="12.75" hidden="false" customHeight="false" outlineLevel="0" collapsed="false">
      <c r="E399" s="179"/>
    </row>
    <row r="400" customFormat="false" ht="12.75" hidden="false" customHeight="false" outlineLevel="0" collapsed="false">
      <c r="E400" s="179"/>
    </row>
    <row r="401" customFormat="false" ht="12.75" hidden="false" customHeight="false" outlineLevel="0" collapsed="false">
      <c r="E401" s="179"/>
    </row>
    <row r="402" customFormat="false" ht="12.75" hidden="false" customHeight="false" outlineLevel="0" collapsed="false">
      <c r="E402" s="179"/>
    </row>
    <row r="403" customFormat="false" ht="12.75" hidden="false" customHeight="false" outlineLevel="0" collapsed="false">
      <c r="E403" s="179"/>
    </row>
    <row r="404" customFormat="false" ht="12.75" hidden="false" customHeight="false" outlineLevel="0" collapsed="false">
      <c r="E404" s="179"/>
    </row>
    <row r="405" customFormat="false" ht="12.75" hidden="false" customHeight="false" outlineLevel="0" collapsed="false">
      <c r="E405" s="179"/>
    </row>
    <row r="406" customFormat="false" ht="12.75" hidden="false" customHeight="false" outlineLevel="0" collapsed="false">
      <c r="E406" s="179"/>
    </row>
    <row r="407" customFormat="false" ht="12.75" hidden="false" customHeight="false" outlineLevel="0" collapsed="false">
      <c r="E407" s="179"/>
    </row>
    <row r="408" customFormat="false" ht="12.75" hidden="false" customHeight="false" outlineLevel="0" collapsed="false">
      <c r="E408" s="179"/>
    </row>
    <row r="409" customFormat="false" ht="12.75" hidden="false" customHeight="false" outlineLevel="0" collapsed="false">
      <c r="E409" s="179"/>
    </row>
    <row r="410" customFormat="false" ht="12.75" hidden="false" customHeight="false" outlineLevel="0" collapsed="false">
      <c r="E410" s="179"/>
    </row>
    <row r="411" customFormat="false" ht="12.75" hidden="false" customHeight="false" outlineLevel="0" collapsed="false">
      <c r="E411" s="179"/>
    </row>
    <row r="412" customFormat="false" ht="12.75" hidden="false" customHeight="false" outlineLevel="0" collapsed="false">
      <c r="E412" s="179"/>
    </row>
    <row r="413" customFormat="false" ht="12.75" hidden="false" customHeight="false" outlineLevel="0" collapsed="false">
      <c r="E413" s="179"/>
    </row>
    <row r="414" customFormat="false" ht="12.75" hidden="false" customHeight="false" outlineLevel="0" collapsed="false">
      <c r="E414" s="179"/>
    </row>
    <row r="415" customFormat="false" ht="12.75" hidden="false" customHeight="false" outlineLevel="0" collapsed="false">
      <c r="E415" s="179"/>
    </row>
    <row r="416" customFormat="false" ht="12.75" hidden="false" customHeight="false" outlineLevel="0" collapsed="false">
      <c r="E416" s="179"/>
    </row>
    <row r="417" customFormat="false" ht="12.75" hidden="false" customHeight="false" outlineLevel="0" collapsed="false">
      <c r="E417" s="179"/>
    </row>
    <row r="418" customFormat="false" ht="12.75" hidden="false" customHeight="false" outlineLevel="0" collapsed="false">
      <c r="E418" s="179"/>
    </row>
    <row r="419" customFormat="false" ht="12.75" hidden="false" customHeight="false" outlineLevel="0" collapsed="false">
      <c r="E419" s="179"/>
    </row>
    <row r="420" customFormat="false" ht="12.75" hidden="false" customHeight="false" outlineLevel="0" collapsed="false">
      <c r="E420" s="179"/>
    </row>
    <row r="421" customFormat="false" ht="12.75" hidden="false" customHeight="false" outlineLevel="0" collapsed="false">
      <c r="E421" s="179"/>
    </row>
    <row r="422" customFormat="false" ht="12.75" hidden="false" customHeight="false" outlineLevel="0" collapsed="false">
      <c r="E422" s="179"/>
    </row>
    <row r="423" customFormat="false" ht="12.75" hidden="false" customHeight="false" outlineLevel="0" collapsed="false">
      <c r="E423" s="179"/>
    </row>
    <row r="424" customFormat="false" ht="12.75" hidden="false" customHeight="false" outlineLevel="0" collapsed="false">
      <c r="E424" s="179"/>
    </row>
    <row r="425" customFormat="false" ht="12.75" hidden="false" customHeight="false" outlineLevel="0" collapsed="false">
      <c r="E425" s="179"/>
    </row>
    <row r="426" customFormat="false" ht="12.75" hidden="false" customHeight="false" outlineLevel="0" collapsed="false">
      <c r="E426" s="179"/>
    </row>
    <row r="427" customFormat="false" ht="12.75" hidden="false" customHeight="false" outlineLevel="0" collapsed="false">
      <c r="E427" s="179"/>
    </row>
    <row r="428" customFormat="false" ht="12.75" hidden="false" customHeight="false" outlineLevel="0" collapsed="false">
      <c r="E428" s="179"/>
    </row>
    <row r="429" customFormat="false" ht="12.75" hidden="false" customHeight="false" outlineLevel="0" collapsed="false">
      <c r="E429" s="179"/>
    </row>
    <row r="430" customFormat="false" ht="12.75" hidden="false" customHeight="false" outlineLevel="0" collapsed="false">
      <c r="E430" s="179"/>
    </row>
    <row r="431" customFormat="false" ht="12.75" hidden="false" customHeight="false" outlineLevel="0" collapsed="false">
      <c r="E431" s="179"/>
    </row>
    <row r="432" customFormat="false" ht="12.75" hidden="false" customHeight="false" outlineLevel="0" collapsed="false">
      <c r="E432" s="179"/>
    </row>
    <row r="433" customFormat="false" ht="12.75" hidden="false" customHeight="false" outlineLevel="0" collapsed="false">
      <c r="E433" s="179"/>
    </row>
    <row r="434" customFormat="false" ht="12.75" hidden="false" customHeight="false" outlineLevel="0" collapsed="false">
      <c r="E434" s="179"/>
    </row>
    <row r="435" customFormat="false" ht="12.75" hidden="false" customHeight="false" outlineLevel="0" collapsed="false">
      <c r="E435" s="179"/>
    </row>
    <row r="436" customFormat="false" ht="12.75" hidden="false" customHeight="false" outlineLevel="0" collapsed="false">
      <c r="E436" s="179"/>
    </row>
    <row r="437" customFormat="false" ht="12.75" hidden="false" customHeight="false" outlineLevel="0" collapsed="false">
      <c r="E437" s="179"/>
    </row>
    <row r="438" customFormat="false" ht="12.75" hidden="false" customHeight="false" outlineLevel="0" collapsed="false">
      <c r="E438" s="179"/>
    </row>
    <row r="439" customFormat="false" ht="12.75" hidden="false" customHeight="false" outlineLevel="0" collapsed="false">
      <c r="E439" s="179"/>
    </row>
    <row r="440" customFormat="false" ht="12.75" hidden="false" customHeight="false" outlineLevel="0" collapsed="false">
      <c r="E440" s="179"/>
    </row>
    <row r="441" customFormat="false" ht="12.75" hidden="false" customHeight="false" outlineLevel="0" collapsed="false">
      <c r="E441" s="179"/>
    </row>
    <row r="442" customFormat="false" ht="12.75" hidden="false" customHeight="false" outlineLevel="0" collapsed="false">
      <c r="E442" s="179"/>
    </row>
    <row r="443" customFormat="false" ht="12.75" hidden="false" customHeight="false" outlineLevel="0" collapsed="false">
      <c r="E443" s="179"/>
    </row>
    <row r="444" customFormat="false" ht="12.75" hidden="false" customHeight="false" outlineLevel="0" collapsed="false">
      <c r="E444" s="179"/>
    </row>
    <row r="445" customFormat="false" ht="12.75" hidden="false" customHeight="false" outlineLevel="0" collapsed="false">
      <c r="E445" s="179"/>
    </row>
    <row r="446" customFormat="false" ht="12.75" hidden="false" customHeight="false" outlineLevel="0" collapsed="false">
      <c r="E446" s="179"/>
      <c r="F446" s="179"/>
      <c r="G446" s="179"/>
    </row>
    <row r="447" customFormat="false" ht="12.75" hidden="false" customHeight="false" outlineLevel="0" collapsed="false">
      <c r="E447" s="179"/>
      <c r="F447" s="179"/>
      <c r="G447" s="179"/>
    </row>
    <row r="448" customFormat="false" ht="12.75" hidden="false" customHeight="false" outlineLevel="0" collapsed="false">
      <c r="E448" s="179"/>
      <c r="F448" s="179"/>
      <c r="G448" s="179"/>
    </row>
    <row r="449" customFormat="false" ht="12.75" hidden="false" customHeight="false" outlineLevel="0" collapsed="false">
      <c r="E449" s="179"/>
      <c r="F449" s="179"/>
      <c r="G449" s="179"/>
    </row>
    <row r="450" customFormat="false" ht="12.75" hidden="false" customHeight="false" outlineLevel="0" collapsed="false">
      <c r="E450" s="179"/>
      <c r="F450" s="179"/>
      <c r="G450" s="179"/>
    </row>
    <row r="451" customFormat="false" ht="12.75" hidden="false" customHeight="false" outlineLevel="0" collapsed="false">
      <c r="E451" s="179"/>
      <c r="F451" s="179"/>
      <c r="G451" s="179"/>
    </row>
    <row r="452" customFormat="false" ht="12.75" hidden="false" customHeight="false" outlineLevel="0" collapsed="false">
      <c r="E452" s="179"/>
      <c r="F452" s="179"/>
      <c r="G452" s="179"/>
    </row>
    <row r="453" customFormat="false" ht="12.75" hidden="false" customHeight="false" outlineLevel="0" collapsed="false">
      <c r="E453" s="179"/>
      <c r="F453" s="179"/>
      <c r="G453" s="179"/>
    </row>
    <row r="454" customFormat="false" ht="12.75" hidden="false" customHeight="false" outlineLevel="0" collapsed="false">
      <c r="E454" s="179"/>
      <c r="F454" s="179"/>
      <c r="G454" s="179"/>
    </row>
  </sheetData>
  <printOptions headings="false" gridLines="false" gridLinesSet="true" horizontalCentered="tru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226</v>
      </c>
    </row>
    <row r="5" customFormat="false" ht="15.75" hidden="false" customHeight="false" outlineLevel="0" collapsed="false">
      <c r="B5" s="268" t="s">
        <v>227</v>
      </c>
      <c r="C5" s="268"/>
      <c r="D5" s="268"/>
      <c r="E5" s="268"/>
      <c r="F5" s="268"/>
      <c r="K5" s="269" t="s">
        <v>228</v>
      </c>
      <c r="L5" s="269"/>
      <c r="M5" s="269"/>
      <c r="N5" s="269"/>
      <c r="P5" s="270" t="s">
        <v>229</v>
      </c>
      <c r="Q5" s="270"/>
      <c r="R5" s="270"/>
      <c r="S5" s="270"/>
    </row>
    <row r="6" customFormat="false" ht="13.5" hidden="false" customHeight="false" outlineLevel="0" collapsed="false">
      <c r="S6" s="271" t="n">
        <f aca="false">+IRR(S8:S38)</f>
        <v>0.0497833427007069</v>
      </c>
    </row>
    <row r="7" customFormat="false" ht="13.5" hidden="false" customHeight="false" outlineLevel="0" collapsed="false">
      <c r="B7" s="272" t="s">
        <v>230</v>
      </c>
      <c r="C7" s="26"/>
      <c r="D7" s="273" t="n">
        <v>2.25</v>
      </c>
      <c r="E7" s="274" t="s">
        <v>231</v>
      </c>
      <c r="F7" s="275" t="n">
        <f aca="false">(IF(SUMMARY!$B$5,('OPERATIONAL CHARACTERISTICS'!$E$14),('OPERATIONAL CHARACTERISTICS'!$H$14))*D7/1000)+SUMMARY!I7</f>
        <v>23.7581581446994</v>
      </c>
      <c r="K7" s="276" t="s">
        <v>232</v>
      </c>
      <c r="L7" s="277" t="s">
        <v>233</v>
      </c>
      <c r="M7" s="277" t="s">
        <v>234</v>
      </c>
      <c r="N7" s="278" t="s">
        <v>235</v>
      </c>
      <c r="P7" s="276" t="s">
        <v>236</v>
      </c>
      <c r="Q7" s="277" t="s">
        <v>237</v>
      </c>
      <c r="R7" s="277" t="s">
        <v>238</v>
      </c>
      <c r="S7" s="278" t="s">
        <v>239</v>
      </c>
    </row>
    <row r="8" customFormat="false" ht="13.5" hidden="false" customHeight="false" outlineLevel="0" collapsed="false">
      <c r="B8" s="279"/>
      <c r="C8" s="68"/>
      <c r="D8" s="68"/>
      <c r="E8" s="270"/>
      <c r="F8" s="280"/>
      <c r="K8" s="281"/>
      <c r="L8" s="282"/>
      <c r="M8" s="282"/>
      <c r="N8" s="283"/>
      <c r="P8" s="281"/>
      <c r="Q8" s="282"/>
      <c r="R8" s="282"/>
      <c r="S8" s="284" t="n">
        <f aca="false">-SUMMARY!D19</f>
        <v>-15245.9557235365</v>
      </c>
    </row>
    <row r="9" customFormat="false" ht="12.75" hidden="false" customHeight="false" outlineLevel="0" collapsed="false">
      <c r="B9" s="285"/>
      <c r="C9" s="142" t="s">
        <v>240</v>
      </c>
      <c r="D9" s="142" t="s">
        <v>241</v>
      </c>
      <c r="E9" s="142" t="s">
        <v>61</v>
      </c>
      <c r="F9" s="286"/>
      <c r="G9" s="287"/>
      <c r="K9" s="288" t="n">
        <v>1</v>
      </c>
      <c r="L9" s="289" t="n">
        <f aca="false">-IF(SUMMARY!$D$21*12&gt;=K9,IPMT(SUMMARY!$D$22/12,K9,SUMMARY!$D$21*12,SUMMARY!$D$20),0)</f>
        <v>222.336854301573</v>
      </c>
      <c r="M9" s="289" t="n">
        <f aca="false">IF(SUMMARY!$D$21*12&gt;=K9,-PPMT(SUMMARY!$D$22/12,K9,SUMMARY!$D$21*12,SUMMARY!$D$20),0)</f>
        <v>40.5511038233896</v>
      </c>
      <c r="N9" s="290" t="n">
        <f aca="false">+M9+L9</f>
        <v>262.887958124963</v>
      </c>
      <c r="P9" s="288" t="n">
        <v>1</v>
      </c>
      <c r="Q9" s="291" t="n">
        <f aca="false">IF(SUMMARY!$D$21&gt;=K9,(SUMMARY!$D$24+SUMMARY!$I$18)*12*SUMMARY!$D$6,0)</f>
        <v>5478.1980932547</v>
      </c>
      <c r="R9" s="291" t="n">
        <f aca="false">IF(SUMMARY!$D$21&gt;=K9,SUMMARY!$D$28*12*SUMMARY!$D$6,0)+IF(P9=SUMMARY!$D$21,SUMMARY!$D$29*SUMMARY!$D$15,0)</f>
        <v>6290.592</v>
      </c>
      <c r="S9" s="292" t="n">
        <f aca="false">+R9-Q9</f>
        <v>812.3939067453</v>
      </c>
    </row>
    <row r="10" customFormat="false" ht="12.75" hidden="false" customHeight="false" outlineLevel="0" collapsed="false">
      <c r="B10" s="81"/>
      <c r="C10" s="270" t="s">
        <v>242</v>
      </c>
      <c r="D10" s="270" t="s">
        <v>119</v>
      </c>
      <c r="E10" s="270" t="s">
        <v>243</v>
      </c>
      <c r="F10" s="293"/>
      <c r="G10" s="287"/>
      <c r="K10" s="288" t="n">
        <v>2</v>
      </c>
      <c r="L10" s="289" t="n">
        <f aca="false">-IF(SUMMARY!$D$21*12&gt;=K10,IPMT(SUMMARY!$D$22/12,K10,SUMMARY!$D$21*12,SUMMARY!$D$20),0)</f>
        <v>222.083409902677</v>
      </c>
      <c r="M10" s="289" t="n">
        <f aca="false">IF(SUMMARY!$D$21*12&gt;=K10,-PPMT(SUMMARY!$D$22/12,K10,SUMMARY!$D$21*12,SUMMARY!$D$20),0)</f>
        <v>40.8045482222857</v>
      </c>
      <c r="N10" s="290" t="n">
        <f aca="false">+M10+L10</f>
        <v>262.887958124963</v>
      </c>
      <c r="P10" s="288" t="n">
        <v>2</v>
      </c>
      <c r="Q10" s="291" t="n">
        <f aca="false">IF(SUMMARY!$D$21&gt;=K10,(SUMMARY!$D$24+SUMMARY!$I$18)*12*SUMMARY!$D$6,0)</f>
        <v>5478.1980932547</v>
      </c>
      <c r="R10" s="291" t="n">
        <f aca="false">IF(SUMMARY!$D$21&gt;=K10,SUMMARY!$D$28*12*SUMMARY!$D$6,0)+IF(P10=SUMMARY!$D$21,SUMMARY!$D$29*SUMMARY!$D$15,0)</f>
        <v>6290.592</v>
      </c>
      <c r="S10" s="292" t="n">
        <f aca="false">+R10-Q10</f>
        <v>812.3939067453</v>
      </c>
    </row>
    <row r="11" customFormat="false" ht="13.5" hidden="false" customHeight="false" outlineLevel="0" collapsed="false">
      <c r="B11" s="168"/>
      <c r="C11" s="294" t="s">
        <v>244</v>
      </c>
      <c r="D11" s="294" t="s">
        <v>245</v>
      </c>
      <c r="E11" s="294" t="s">
        <v>245</v>
      </c>
      <c r="F11" s="295"/>
      <c r="G11" s="287"/>
      <c r="K11" s="288" t="n">
        <v>3</v>
      </c>
      <c r="L11" s="289" t="n">
        <f aca="false">-IF(SUMMARY!$D$21*12&gt;=K11,IPMT(SUMMARY!$D$22/12,K11,SUMMARY!$D$21*12,SUMMARY!$D$20),0)</f>
        <v>221.828381476288</v>
      </c>
      <c r="M11" s="289" t="n">
        <f aca="false">IF(SUMMARY!$D$21*12&gt;=K11,-PPMT(SUMMARY!$D$22/12,K11,SUMMARY!$D$21*12,SUMMARY!$D$20),0)</f>
        <v>41.059576648675</v>
      </c>
      <c r="N11" s="290" t="n">
        <f aca="false">+M11+L11</f>
        <v>262.887958124963</v>
      </c>
      <c r="P11" s="288" t="n">
        <v>3</v>
      </c>
      <c r="Q11" s="291" t="n">
        <f aca="false">IF(SUMMARY!$D$21&gt;=K11,(SUMMARY!$D$24+SUMMARY!$I$18)*12*SUMMARY!$D$6,0)</f>
        <v>5478.1980932547</v>
      </c>
      <c r="R11" s="291" t="n">
        <f aca="false">IF(SUMMARY!$D$21&gt;=K11,SUMMARY!$D$28*12*SUMMARY!$D$6,0)+IF(P11=SUMMARY!$D$21,SUMMARY!$D$29*SUMMARY!$D$15,0)</f>
        <v>6290.592</v>
      </c>
      <c r="S11" s="292" t="n">
        <f aca="false">+R11-Q11</f>
        <v>812.3939067453</v>
      </c>
      <c r="T11" s="296"/>
    </row>
    <row r="12" customFormat="false" ht="12.75" hidden="false" customHeight="false" outlineLevel="0" collapsed="false">
      <c r="B12" s="81"/>
      <c r="C12" s="68"/>
      <c r="D12" s="68"/>
      <c r="E12" s="68"/>
      <c r="F12" s="293"/>
      <c r="G12" s="287"/>
      <c r="K12" s="288" t="n">
        <v>4</v>
      </c>
      <c r="L12" s="289" t="n">
        <f aca="false">-IF(SUMMARY!$D$21*12&gt;=K12,IPMT(SUMMARY!$D$22/12,K12,SUMMARY!$D$21*12,SUMMARY!$D$20),0)</f>
        <v>221.571759122234</v>
      </c>
      <c r="M12" s="289" t="n">
        <f aca="false">IF(SUMMARY!$D$21*12&gt;=K12,-PPMT(SUMMARY!$D$22/12,K12,SUMMARY!$D$21*12,SUMMARY!$D$20),0)</f>
        <v>41.3161990027292</v>
      </c>
      <c r="N12" s="290" t="n">
        <f aca="false">+M12+L12</f>
        <v>262.887958124963</v>
      </c>
      <c r="P12" s="288" t="n">
        <v>4</v>
      </c>
      <c r="Q12" s="291" t="n">
        <f aca="false">IF(SUMMARY!$D$21&gt;=K12,(SUMMARY!$D$24+SUMMARY!$I$18)*12*SUMMARY!$D$6,0)</f>
        <v>5478.1980932547</v>
      </c>
      <c r="R12" s="291" t="n">
        <f aca="false">IF(SUMMARY!$D$21&gt;=K12,SUMMARY!$D$28*12*SUMMARY!$D$6,0)+IF(P12=SUMMARY!$D$21,SUMMARY!$D$29*SUMMARY!$D$15,0)</f>
        <v>6290.592</v>
      </c>
      <c r="S12" s="292" t="n">
        <f aca="false">+R12-Q12</f>
        <v>812.3939067453</v>
      </c>
    </row>
    <row r="13" customFormat="false" ht="12.75" hidden="false" customHeight="false" outlineLevel="0" collapsed="false">
      <c r="B13" s="211"/>
      <c r="C13" s="297" t="n">
        <v>500</v>
      </c>
      <c r="D13" s="298" t="n">
        <f aca="false">((SUMMARY!$D$24+SUMMARY!$I$18)*12*1000*IF(SUMMARY!$B$5,('OPERATIONAL CHARACTERISTICS'!$E$12*PROJECTCONFIGURATION!$B$65),('OPERATIONAL CHARACTERISTICS'!$H$12*PROJECTCONFIGURATION!$B$65)))/($C13*IF(SUMMARY!$B$5,('OPERATIONAL CHARACTERISTICS'!$E$12*PROJECTCONFIGURATION!$B$65),('OPERATIONAL CHARACTERISTICS'!$H$12*PROJECTCONFIGURATION!$B$65)))</f>
        <v>120.178090848866</v>
      </c>
      <c r="E13" s="298" t="n">
        <f aca="false">+D13+$F$7</f>
        <v>143.936248993565</v>
      </c>
      <c r="F13" s="299" t="n">
        <f aca="false">+$F$7</f>
        <v>23.7581581446994</v>
      </c>
      <c r="G13" s="287"/>
      <c r="K13" s="288" t="n">
        <v>5</v>
      </c>
      <c r="L13" s="289" t="n">
        <f aca="false">-IF(SUMMARY!$D$21*12&gt;=K13,IPMT(SUMMARY!$D$22/12,K13,SUMMARY!$D$21*12,SUMMARY!$D$20),0)</f>
        <v>221.313532878467</v>
      </c>
      <c r="M13" s="289" t="n">
        <f aca="false">IF(SUMMARY!$D$21*12&gt;=K13,-PPMT(SUMMARY!$D$22/12,K13,SUMMARY!$D$21*12,SUMMARY!$D$20),0)</f>
        <v>41.5744252464963</v>
      </c>
      <c r="N13" s="290" t="n">
        <f aca="false">+M13+L13</f>
        <v>262.887958124963</v>
      </c>
      <c r="P13" s="288" t="n">
        <v>5</v>
      </c>
      <c r="Q13" s="291" t="n">
        <f aca="false">IF(SUMMARY!$D$21&gt;=K13,(SUMMARY!$D$24+SUMMARY!$I$18)*12*SUMMARY!$D$6,0)</f>
        <v>5478.1980932547</v>
      </c>
      <c r="R13" s="291" t="n">
        <f aca="false">IF(SUMMARY!$D$21&gt;=K13,SUMMARY!$D$28*12*SUMMARY!$D$6,0)+IF(P13=SUMMARY!$D$21,SUMMARY!$D$29*SUMMARY!$D$15,0)</f>
        <v>6290.592</v>
      </c>
      <c r="S13" s="292" t="n">
        <f aca="false">+R13-Q13</f>
        <v>812.3939067453</v>
      </c>
      <c r="T13" s="300"/>
    </row>
    <row r="14" customFormat="false" ht="12.75" hidden="false" customHeight="false" outlineLevel="0" collapsed="false">
      <c r="B14" s="211"/>
      <c r="C14" s="297" t="n">
        <f aca="false">+C13+100</f>
        <v>600</v>
      </c>
      <c r="D14" s="298" t="n">
        <f aca="false">((SUMMARY!$D$24+SUMMARY!$I$18)*12*1000*IF(SUMMARY!$B$5,('OPERATIONAL CHARACTERISTICS'!$E$12*PROJECTCONFIGURATION!$B$65),('OPERATIONAL CHARACTERISTICS'!$H$12*PROJECTCONFIGURATION!$B$65)))/($C14*IF(SUMMARY!$B$5,('OPERATIONAL CHARACTERISTICS'!$E$12*PROJECTCONFIGURATION!$B$65),('OPERATIONAL CHARACTERISTICS'!$H$12*PROJECTCONFIGURATION!$B$65)))</f>
        <v>100.148409040722</v>
      </c>
      <c r="E14" s="298" t="n">
        <f aca="false">+D14+$F$7</f>
        <v>123.906567185421</v>
      </c>
      <c r="F14" s="299" t="n">
        <f aca="false">+$F$7</f>
        <v>23.7581581446994</v>
      </c>
      <c r="G14" s="287"/>
      <c r="K14" s="288" t="n">
        <v>6</v>
      </c>
      <c r="L14" s="289" t="n">
        <f aca="false">-IF(SUMMARY!$D$21*12&gt;=K14,IPMT(SUMMARY!$D$22/12,K14,SUMMARY!$D$21*12,SUMMARY!$D$20),0)</f>
        <v>221.053692720676</v>
      </c>
      <c r="M14" s="289" t="n">
        <f aca="false">IF(SUMMARY!$D$21*12&gt;=K14,-PPMT(SUMMARY!$D$22/12,K14,SUMMARY!$D$21*12,SUMMARY!$D$20),0)</f>
        <v>41.8342654042869</v>
      </c>
      <c r="N14" s="290" t="n">
        <f aca="false">+M14+L14</f>
        <v>262.887958124963</v>
      </c>
      <c r="P14" s="288" t="n">
        <v>6</v>
      </c>
      <c r="Q14" s="291" t="n">
        <f aca="false">IF(SUMMARY!$D$21&gt;=K14,(SUMMARY!$D$24+SUMMARY!$I$18)*12*SUMMARY!$D$6,0)</f>
        <v>5478.1980932547</v>
      </c>
      <c r="R14" s="291" t="n">
        <f aca="false">IF(SUMMARY!$D$21&gt;=K14,SUMMARY!$D$28*12*SUMMARY!$D$6,0)+IF(P14=SUMMARY!$D$21,SUMMARY!$D$29*SUMMARY!$D$15,0)</f>
        <v>6290.592</v>
      </c>
      <c r="S14" s="292" t="n">
        <f aca="false">+R14-Q14</f>
        <v>812.3939067453</v>
      </c>
      <c r="T14" s="300"/>
    </row>
    <row r="15" customFormat="false" ht="12.75" hidden="false" customHeight="false" outlineLevel="0" collapsed="false">
      <c r="B15" s="211"/>
      <c r="C15" s="297" t="n">
        <f aca="false">+C14+100</f>
        <v>700</v>
      </c>
      <c r="D15" s="298" t="n">
        <f aca="false">((SUMMARY!$D$24+SUMMARY!$I$18)*12*1000*IF(SUMMARY!$B$5,('OPERATIONAL CHARACTERISTICS'!$E$12*PROJECTCONFIGURATION!$B$65),('OPERATIONAL CHARACTERISTICS'!$H$12*PROJECTCONFIGURATION!$B$65)))/($C15*IF(SUMMARY!$B$5,('OPERATIONAL CHARACTERISTICS'!$E$12*PROJECTCONFIGURATION!$B$65),('OPERATIONAL CHARACTERISTICS'!$H$12*PROJECTCONFIGURATION!$B$65)))</f>
        <v>85.8414934634756</v>
      </c>
      <c r="E15" s="298" t="n">
        <f aca="false">+D15+$F$7</f>
        <v>109.599651608175</v>
      </c>
      <c r="F15" s="299" t="n">
        <f aca="false">+$F$7</f>
        <v>23.7581581446994</v>
      </c>
      <c r="G15" s="287"/>
      <c r="K15" s="288" t="n">
        <v>7</v>
      </c>
      <c r="L15" s="289" t="n">
        <f aca="false">-IF(SUMMARY!$D$21*12&gt;=K15,IPMT(SUMMARY!$D$22/12,K15,SUMMARY!$D$21*12,SUMMARY!$D$20),0)</f>
        <v>220.792228561899</v>
      </c>
      <c r="M15" s="289" t="n">
        <f aca="false">IF(SUMMARY!$D$21*12&gt;=K15,-PPMT(SUMMARY!$D$22/12,K15,SUMMARY!$D$21*12,SUMMARY!$D$20),0)</f>
        <v>42.0957295630637</v>
      </c>
      <c r="N15" s="290" t="n">
        <f aca="false">+M15+L15</f>
        <v>262.887958124963</v>
      </c>
      <c r="P15" s="288" t="n">
        <v>7</v>
      </c>
      <c r="Q15" s="291" t="n">
        <f aca="false">IF(SUMMARY!$D$21&gt;=K15,(SUMMARY!$D$24+SUMMARY!$I$18)*12*SUMMARY!$D$6,0)</f>
        <v>5478.1980932547</v>
      </c>
      <c r="R15" s="291" t="n">
        <f aca="false">IF(SUMMARY!$D$21&gt;=K15,SUMMARY!$D$28*12*SUMMARY!$D$6,0)+IF(P15=SUMMARY!$D$21,SUMMARY!$D$29*SUMMARY!$D$15,0)</f>
        <v>6290.592</v>
      </c>
      <c r="S15" s="292" t="n">
        <f aca="false">+R15-Q15</f>
        <v>812.3939067453</v>
      </c>
      <c r="T15" s="300"/>
    </row>
    <row r="16" customFormat="false" ht="12.75" hidden="false" customHeight="false" outlineLevel="0" collapsed="false">
      <c r="B16" s="211"/>
      <c r="C16" s="297" t="n">
        <f aca="false">+C15+100</f>
        <v>800</v>
      </c>
      <c r="D16" s="298" t="n">
        <f aca="false">((SUMMARY!$D$24+SUMMARY!$I$18)*12*1000*IF(SUMMARY!$B$5,('OPERATIONAL CHARACTERISTICS'!$E$12*PROJECTCONFIGURATION!$B$65),('OPERATIONAL CHARACTERISTICS'!$H$12*PROJECTCONFIGURATION!$B$65)))/($C16*IF(SUMMARY!$B$5,('OPERATIONAL CHARACTERISTICS'!$E$12*PROJECTCONFIGURATION!$B$65),('OPERATIONAL CHARACTERISTICS'!$H$12*PROJECTCONFIGURATION!$B$65)))</f>
        <v>75.1113067805411</v>
      </c>
      <c r="E16" s="298" t="n">
        <f aca="false">+D16+$F$7</f>
        <v>98.8694649252406</v>
      </c>
      <c r="F16" s="299" t="n">
        <f aca="false">+$F$7</f>
        <v>23.7581581446994</v>
      </c>
      <c r="G16" s="287"/>
      <c r="K16" s="288" t="n">
        <v>8</v>
      </c>
      <c r="L16" s="289" t="n">
        <f aca="false">-IF(SUMMARY!$D$21*12&gt;=K16,IPMT(SUMMARY!$D$22/12,K16,SUMMARY!$D$21*12,SUMMARY!$D$20),0)</f>
        <v>220.52913025213</v>
      </c>
      <c r="M16" s="289" t="n">
        <f aca="false">IF(SUMMARY!$D$21*12&gt;=K16,-PPMT(SUMMARY!$D$22/12,K16,SUMMARY!$D$21*12,SUMMARY!$D$20),0)</f>
        <v>42.3588278728329</v>
      </c>
      <c r="N16" s="290" t="n">
        <f aca="false">+M16+L16</f>
        <v>262.887958124963</v>
      </c>
      <c r="P16" s="288" t="n">
        <v>8</v>
      </c>
      <c r="Q16" s="291" t="n">
        <f aca="false">IF(SUMMARY!$D$21&gt;=K16,(SUMMARY!$D$24+SUMMARY!$I$18)*12*SUMMARY!$D$6,0)</f>
        <v>5478.1980932547</v>
      </c>
      <c r="R16" s="291" t="n">
        <f aca="false">IF(SUMMARY!$D$21&gt;=K16,SUMMARY!$D$28*12*SUMMARY!$D$6,0)+IF(P16=SUMMARY!$D$21,SUMMARY!$D$29*SUMMARY!$D$15,0)</f>
        <v>6290.592</v>
      </c>
      <c r="S16" s="292" t="n">
        <f aca="false">+R16-Q16</f>
        <v>812.3939067453</v>
      </c>
      <c r="T16" s="300"/>
    </row>
    <row r="17" customFormat="false" ht="12.75" hidden="false" customHeight="false" outlineLevel="0" collapsed="false">
      <c r="B17" s="211"/>
      <c r="C17" s="297" t="n">
        <f aca="false">+C16+100</f>
        <v>900</v>
      </c>
      <c r="D17" s="298" t="n">
        <f aca="false">((SUMMARY!$D$24+SUMMARY!$I$18)*12*1000*IF(SUMMARY!$B$5,('OPERATIONAL CHARACTERISTICS'!$E$12*PROJECTCONFIGURATION!$B$65),('OPERATIONAL CHARACTERISTICS'!$H$12*PROJECTCONFIGURATION!$B$65)))/($C17*IF(SUMMARY!$B$5,('OPERATIONAL CHARACTERISTICS'!$E$12*PROJECTCONFIGURATION!$B$65),('OPERATIONAL CHARACTERISTICS'!$H$12*PROJECTCONFIGURATION!$B$65)))</f>
        <v>66.7656060271477</v>
      </c>
      <c r="E17" s="298" t="n">
        <f aca="false">+D17+$F$7</f>
        <v>90.5237641718471</v>
      </c>
      <c r="F17" s="299" t="n">
        <f aca="false">+$F$7</f>
        <v>23.7581581446994</v>
      </c>
      <c r="G17" s="287"/>
      <c r="K17" s="288" t="n">
        <v>9</v>
      </c>
      <c r="L17" s="289" t="n">
        <f aca="false">-IF(SUMMARY!$D$21*12&gt;=K17,IPMT(SUMMARY!$D$22/12,K17,SUMMARY!$D$21*12,SUMMARY!$D$20),0)</f>
        <v>220.264387577925</v>
      </c>
      <c r="M17" s="289" t="n">
        <f aca="false">IF(SUMMARY!$D$21*12&gt;=K17,-PPMT(SUMMARY!$D$22/12,K17,SUMMARY!$D$21*12,SUMMARY!$D$20),0)</f>
        <v>42.6235705470381</v>
      </c>
      <c r="N17" s="290" t="n">
        <f aca="false">+M17+L17</f>
        <v>262.887958124963</v>
      </c>
      <c r="P17" s="288" t="n">
        <v>9</v>
      </c>
      <c r="Q17" s="291" t="n">
        <f aca="false">IF(SUMMARY!$D$21&gt;=K17,(SUMMARY!$D$24+SUMMARY!$I$18)*12*SUMMARY!$D$6,0)</f>
        <v>5478.1980932547</v>
      </c>
      <c r="R17" s="291" t="n">
        <f aca="false">IF(SUMMARY!$D$21&gt;=K17,SUMMARY!$D$28*12*SUMMARY!$D$6,0)+IF(P17=SUMMARY!$D$21,SUMMARY!$D$29*SUMMARY!$D$15,0)</f>
        <v>6290.592</v>
      </c>
      <c r="S17" s="292" t="n">
        <f aca="false">+R17-Q17</f>
        <v>812.3939067453</v>
      </c>
      <c r="T17" s="300"/>
    </row>
    <row r="18" customFormat="false" ht="12.75" hidden="false" customHeight="false" outlineLevel="0" collapsed="false">
      <c r="B18" s="211"/>
      <c r="C18" s="297" t="n">
        <f aca="false">+C17+100</f>
        <v>1000</v>
      </c>
      <c r="D18" s="298" t="n">
        <f aca="false">((SUMMARY!$D$24+SUMMARY!$I$18)*12*1000*IF(SUMMARY!$B$5,('OPERATIONAL CHARACTERISTICS'!$E$12*PROJECTCONFIGURATION!$B$65),('OPERATIONAL CHARACTERISTICS'!$H$12*PROJECTCONFIGURATION!$B$65)))/($C18*IF(SUMMARY!$B$5,('OPERATIONAL CHARACTERISTICS'!$E$12*PROJECTCONFIGURATION!$B$65),('OPERATIONAL CHARACTERISTICS'!$H$12*PROJECTCONFIGURATION!$B$65)))</f>
        <v>60.0890454244329</v>
      </c>
      <c r="E18" s="298" t="n">
        <f aca="false">+D18+$F$7</f>
        <v>83.8472035691324</v>
      </c>
      <c r="F18" s="299" t="n">
        <f aca="false">+$F$7</f>
        <v>23.7581581446994</v>
      </c>
      <c r="G18" s="287"/>
      <c r="K18" s="288" t="n">
        <v>10</v>
      </c>
      <c r="L18" s="289" t="n">
        <f aca="false">-IF(SUMMARY!$D$21*12&gt;=K18,IPMT(SUMMARY!$D$22/12,K18,SUMMARY!$D$21*12,SUMMARY!$D$20),0)</f>
        <v>219.997990262006</v>
      </c>
      <c r="M18" s="289" t="n">
        <f aca="false">IF(SUMMARY!$D$21*12&gt;=K18,-PPMT(SUMMARY!$D$22/12,K18,SUMMARY!$D$21*12,SUMMARY!$D$20),0)</f>
        <v>42.8899678629571</v>
      </c>
      <c r="N18" s="290" t="n">
        <f aca="false">+M18+L18</f>
        <v>262.887958124963</v>
      </c>
      <c r="P18" s="288" t="n">
        <v>10</v>
      </c>
      <c r="Q18" s="291" t="n">
        <f aca="false">IF(SUMMARY!$D$21&gt;=K18,(SUMMARY!$D$24+SUMMARY!$I$18)*12*SUMMARY!$D$6,0)</f>
        <v>5478.1980932547</v>
      </c>
      <c r="R18" s="291" t="n">
        <f aca="false">IF(SUMMARY!$D$21&gt;=K18,SUMMARY!$D$28*12*SUMMARY!$D$6,0)+IF(P18=SUMMARY!$D$21,SUMMARY!$D$29*SUMMARY!$D$15,0)</f>
        <v>6290.592</v>
      </c>
      <c r="S18" s="292" t="n">
        <f aca="false">+R18-Q18</f>
        <v>812.3939067453</v>
      </c>
      <c r="T18" s="300"/>
    </row>
    <row r="19" customFormat="false" ht="12.75" hidden="false" customHeight="false" outlineLevel="0" collapsed="false">
      <c r="B19" s="211"/>
      <c r="C19" s="297" t="n">
        <f aca="false">+C18+100</f>
        <v>1100</v>
      </c>
      <c r="D19" s="298" t="n">
        <f aca="false">((SUMMARY!$D$24+SUMMARY!$I$18)*12*1000*IF(SUMMARY!$B$5,('OPERATIONAL CHARACTERISTICS'!$E$12*PROJECTCONFIGURATION!$B$65),('OPERATIONAL CHARACTERISTICS'!$H$12*PROJECTCONFIGURATION!$B$65)))/($C19*IF(SUMMARY!$B$5,('OPERATIONAL CHARACTERISTICS'!$E$12*PROJECTCONFIGURATION!$B$65),('OPERATIONAL CHARACTERISTICS'!$H$12*PROJECTCONFIGURATION!$B$65)))</f>
        <v>54.6264049313027</v>
      </c>
      <c r="E19" s="298" t="n">
        <f aca="false">+D19+$F$7</f>
        <v>78.3845630760021</v>
      </c>
      <c r="F19" s="299" t="n">
        <f aca="false">+$F$7</f>
        <v>23.7581581446994</v>
      </c>
      <c r="G19" s="287"/>
      <c r="K19" s="288" t="n">
        <v>11</v>
      </c>
      <c r="L19" s="289" t="n">
        <f aca="false">-IF(SUMMARY!$D$21*12&gt;=K19,IPMT(SUMMARY!$D$22/12,K19,SUMMARY!$D$21*12,SUMMARY!$D$20),0)</f>
        <v>219.729927962862</v>
      </c>
      <c r="M19" s="289" t="n">
        <f aca="false">IF(SUMMARY!$D$21*12&gt;=K19,-PPMT(SUMMARY!$D$22/12,K19,SUMMARY!$D$21*12,SUMMARY!$D$20),0)</f>
        <v>43.1580301621005</v>
      </c>
      <c r="N19" s="290" t="n">
        <f aca="false">+M19+L19</f>
        <v>262.887958124963</v>
      </c>
      <c r="P19" s="288" t="n">
        <v>11</v>
      </c>
      <c r="Q19" s="291" t="n">
        <f aca="false">IF(SUMMARY!$D$21&gt;=K19,(SUMMARY!$D$24+SUMMARY!$I$18)*12*SUMMARY!$D$6,0)</f>
        <v>5478.1980932547</v>
      </c>
      <c r="R19" s="291" t="n">
        <f aca="false">IF(SUMMARY!$D$21&gt;=K19,SUMMARY!$D$28*12*SUMMARY!$D$6,0)+IF(P19=SUMMARY!$D$21,SUMMARY!$D$29*SUMMARY!$D$15,0)</f>
        <v>6290.592</v>
      </c>
      <c r="S19" s="292" t="n">
        <f aca="false">+R19-Q19</f>
        <v>812.3939067453</v>
      </c>
      <c r="T19" s="300"/>
    </row>
    <row r="20" customFormat="false" ht="12.75" hidden="false" customHeight="false" outlineLevel="0" collapsed="false">
      <c r="B20" s="211"/>
      <c r="C20" s="297" t="n">
        <f aca="false">+C19+100</f>
        <v>1200</v>
      </c>
      <c r="D20" s="298" t="n">
        <f aca="false">((SUMMARY!$D$24+SUMMARY!$I$18)*12*1000*IF(SUMMARY!$B$5,('OPERATIONAL CHARACTERISTICS'!$E$12*PROJECTCONFIGURATION!$B$65),('OPERATIONAL CHARACTERISTICS'!$H$12*PROJECTCONFIGURATION!$B$65)))/($C20*IF(SUMMARY!$B$5,('OPERATIONAL CHARACTERISTICS'!$E$12*PROJECTCONFIGURATION!$B$65),('OPERATIONAL CHARACTERISTICS'!$H$12*PROJECTCONFIGURATION!$B$65)))</f>
        <v>50.0742045203608</v>
      </c>
      <c r="E20" s="298" t="n">
        <f aca="false">+D20+$F$7</f>
        <v>73.8323626650602</v>
      </c>
      <c r="F20" s="299" t="n">
        <f aca="false">+$F$7</f>
        <v>23.7581581446994</v>
      </c>
      <c r="G20" s="287"/>
      <c r="K20" s="288" t="n">
        <v>12</v>
      </c>
      <c r="L20" s="289" t="n">
        <f aca="false">-IF(SUMMARY!$D$21*12&gt;=K20,IPMT(SUMMARY!$D$22/12,K20,SUMMARY!$D$21*12,SUMMARY!$D$20),0)</f>
        <v>219.460190274349</v>
      </c>
      <c r="M20" s="289" t="n">
        <f aca="false">IF(SUMMARY!$D$21*12&gt;=K20,-PPMT(SUMMARY!$D$22/12,K20,SUMMARY!$D$21*12,SUMMARY!$D$20),0)</f>
        <v>43.4277678506137</v>
      </c>
      <c r="N20" s="290" t="n">
        <f aca="false">+M20+L20</f>
        <v>262.887958124963</v>
      </c>
      <c r="P20" s="288" t="n">
        <v>12</v>
      </c>
      <c r="Q20" s="291" t="n">
        <f aca="false">IF(SUMMARY!$D$21&gt;=K20,(SUMMARY!$D$24+SUMMARY!$I$18)*12*SUMMARY!$D$6,0)</f>
        <v>5478.1980932547</v>
      </c>
      <c r="R20" s="291" t="n">
        <f aca="false">IF(SUMMARY!$D$21&gt;=K20,SUMMARY!$D$28*12*SUMMARY!$D$6,0)+IF(P20=SUMMARY!$D$21,SUMMARY!$D$29*SUMMARY!$D$15,0)</f>
        <v>6290.592</v>
      </c>
      <c r="S20" s="292" t="n">
        <f aca="false">+R20-Q20</f>
        <v>812.3939067453</v>
      </c>
      <c r="T20" s="300"/>
    </row>
    <row r="21" customFormat="false" ht="12.75" hidden="false" customHeight="false" outlineLevel="0" collapsed="false">
      <c r="B21" s="211"/>
      <c r="C21" s="297" t="n">
        <f aca="false">+C20+100</f>
        <v>1300</v>
      </c>
      <c r="D21" s="298" t="n">
        <f aca="false">((SUMMARY!$D$24+SUMMARY!$I$18)*12*1000*IF(SUMMARY!$B$5,('OPERATIONAL CHARACTERISTICS'!$E$12*PROJECTCONFIGURATION!$B$65),('OPERATIONAL CHARACTERISTICS'!$H$12*PROJECTCONFIGURATION!$B$65)))/($C21*IF(SUMMARY!$B$5,('OPERATIONAL CHARACTERISTICS'!$E$12*PROJECTCONFIGURATION!$B$65),('OPERATIONAL CHARACTERISTICS'!$H$12*PROJECTCONFIGURATION!$B$65)))</f>
        <v>46.2223426341792</v>
      </c>
      <c r="E21" s="298" t="n">
        <f aca="false">+D21+$F$7</f>
        <v>69.9805007788786</v>
      </c>
      <c r="F21" s="299" t="n">
        <f aca="false">+$F$7</f>
        <v>23.7581581446994</v>
      </c>
      <c r="G21" s="287"/>
      <c r="K21" s="288" t="n">
        <v>13</v>
      </c>
      <c r="L21" s="289" t="n">
        <f aca="false">-IF(SUMMARY!$D$21*12&gt;=K21,IPMT(SUMMARY!$D$22/12,K21,SUMMARY!$D$21*12,SUMMARY!$D$20),0)</f>
        <v>219.188766725283</v>
      </c>
      <c r="M21" s="289" t="n">
        <f aca="false">IF(SUMMARY!$D$21*12&gt;=K21,-PPMT(SUMMARY!$D$22/12,K21,SUMMARY!$D$21*12,SUMMARY!$D$20),0)</f>
        <v>43.69919139968</v>
      </c>
      <c r="N21" s="290" t="n">
        <f aca="false">+M21+L21</f>
        <v>262.887958124963</v>
      </c>
      <c r="P21" s="288" t="n">
        <v>13</v>
      </c>
      <c r="Q21" s="291" t="n">
        <f aca="false">IF(SUMMARY!$D$21&gt;=K21,(SUMMARY!$D$24+SUMMARY!$I$18)*12*SUMMARY!$D$6,0)</f>
        <v>5478.1980932547</v>
      </c>
      <c r="R21" s="291" t="n">
        <f aca="false">IF(SUMMARY!$D$21&gt;=K21,SUMMARY!$D$28*12*SUMMARY!$D$6,0)+IF(P21=SUMMARY!$D$21,SUMMARY!$D$29*SUMMARY!$D$15,0)</f>
        <v>6290.592</v>
      </c>
      <c r="S21" s="292" t="n">
        <f aca="false">+R21-Q21</f>
        <v>812.3939067453</v>
      </c>
      <c r="T21" s="300"/>
    </row>
    <row r="22" customFormat="false" ht="12.75" hidden="false" customHeight="false" outlineLevel="0" collapsed="false">
      <c r="B22" s="211"/>
      <c r="C22" s="297" t="n">
        <f aca="false">+C21+100</f>
        <v>1400</v>
      </c>
      <c r="D22" s="298" t="n">
        <f aca="false">((SUMMARY!$D$24+SUMMARY!$I$18)*12*1000*IF(SUMMARY!$B$5,('OPERATIONAL CHARACTERISTICS'!$E$12*PROJECTCONFIGURATION!$B$65),('OPERATIONAL CHARACTERISTICS'!$H$12*PROJECTCONFIGURATION!$B$65)))/($C22*IF(SUMMARY!$B$5,('OPERATIONAL CHARACTERISTICS'!$E$12*PROJECTCONFIGURATION!$B$65),('OPERATIONAL CHARACTERISTICS'!$H$12*PROJECTCONFIGURATION!$B$65)))</f>
        <v>42.9207467317378</v>
      </c>
      <c r="E22" s="298" t="n">
        <f aca="false">+D22+$F$7</f>
        <v>66.6789048764372</v>
      </c>
      <c r="F22" s="299" t="n">
        <f aca="false">+$F$7</f>
        <v>23.7581581446994</v>
      </c>
      <c r="G22" s="287"/>
      <c r="K22" s="288" t="n">
        <v>14</v>
      </c>
      <c r="L22" s="289" t="n">
        <f aca="false">-IF(SUMMARY!$D$21*12&gt;=K22,IPMT(SUMMARY!$D$22/12,K22,SUMMARY!$D$21*12,SUMMARY!$D$20),0)</f>
        <v>218.915646779035</v>
      </c>
      <c r="M22" s="289" t="n">
        <f aca="false">IF(SUMMARY!$D$21*12&gt;=K22,-PPMT(SUMMARY!$D$22/12,K22,SUMMARY!$D$21*12,SUMMARY!$D$20),0)</f>
        <v>43.9723113459281</v>
      </c>
      <c r="N22" s="290" t="n">
        <f aca="false">+M22+L22</f>
        <v>262.887958124963</v>
      </c>
      <c r="P22" s="288" t="n">
        <v>14</v>
      </c>
      <c r="Q22" s="291" t="n">
        <f aca="false">IF(SUMMARY!$D$21&gt;=K22,(SUMMARY!$D$24+SUMMARY!$I$18)*12*SUMMARY!$D$6,0)</f>
        <v>5478.1980932547</v>
      </c>
      <c r="R22" s="291" t="n">
        <f aca="false">IF(SUMMARY!$D$21&gt;=K22,SUMMARY!$D$28*12*SUMMARY!$D$6,0)+IF(P22=SUMMARY!$D$21,SUMMARY!$D$29*SUMMARY!$D$15,0)</f>
        <v>6290.592</v>
      </c>
      <c r="S22" s="292" t="n">
        <f aca="false">+R22-Q22</f>
        <v>812.3939067453</v>
      </c>
      <c r="T22" s="300"/>
    </row>
    <row r="23" customFormat="false" ht="12.75" hidden="false" customHeight="false" outlineLevel="0" collapsed="false">
      <c r="B23" s="211"/>
      <c r="C23" s="297" t="n">
        <f aca="false">+C22+100</f>
        <v>1500</v>
      </c>
      <c r="D23" s="298" t="n">
        <f aca="false">((SUMMARY!$D$24+SUMMARY!$I$18)*12*1000*IF(SUMMARY!$B$5,('OPERATIONAL CHARACTERISTICS'!$E$12*PROJECTCONFIGURATION!$B$65),('OPERATIONAL CHARACTERISTICS'!$H$12*PROJECTCONFIGURATION!$B$65)))/($C23*IF(SUMMARY!$B$5,('OPERATIONAL CHARACTERISTICS'!$E$12*PROJECTCONFIGURATION!$B$65),('OPERATIONAL CHARACTERISTICS'!$H$12*PROJECTCONFIGURATION!$B$65)))</f>
        <v>40.0593636162886</v>
      </c>
      <c r="E23" s="298" t="n">
        <f aca="false">+D23+$F$7</f>
        <v>63.817521760988</v>
      </c>
      <c r="F23" s="299" t="n">
        <f aca="false">+$F$7</f>
        <v>23.7581581446994</v>
      </c>
      <c r="G23" s="287"/>
      <c r="K23" s="288" t="n">
        <v>15</v>
      </c>
      <c r="L23" s="289" t="n">
        <f aca="false">-IF(SUMMARY!$D$21*12&gt;=K23,IPMT(SUMMARY!$D$22/12,K23,SUMMARY!$D$21*12,SUMMARY!$D$20),0)</f>
        <v>218.640819833123</v>
      </c>
      <c r="M23" s="289" t="n">
        <f aca="false">IF(SUMMARY!$D$21*12&gt;=K23,-PPMT(SUMMARY!$D$22/12,K23,SUMMARY!$D$21*12,SUMMARY!$D$20),0)</f>
        <v>44.2471382918401</v>
      </c>
      <c r="N23" s="290" t="n">
        <f aca="false">+M23+L23</f>
        <v>262.887958124963</v>
      </c>
      <c r="P23" s="288" t="n">
        <v>15</v>
      </c>
      <c r="Q23" s="291" t="n">
        <f aca="false">IF(SUMMARY!$D$21&gt;=K23,(SUMMARY!$D$24+SUMMARY!$I$18)*12*SUMMARY!$D$6,0)</f>
        <v>5478.1980932547</v>
      </c>
      <c r="R23" s="291" t="n">
        <f aca="false">IF(SUMMARY!$D$21&gt;=K23,SUMMARY!$D$28*12*SUMMARY!$D$6,0)+IF(P23=SUMMARY!$D$21,SUMMARY!$D$29*SUMMARY!$D$15,0)</f>
        <v>6290.592</v>
      </c>
      <c r="S23" s="292" t="n">
        <f aca="false">+R23-Q23</f>
        <v>812.3939067453</v>
      </c>
      <c r="T23" s="300"/>
    </row>
    <row r="24" customFormat="false" ht="12.75" hidden="false" customHeight="false" outlineLevel="0" collapsed="false">
      <c r="B24" s="211"/>
      <c r="C24" s="297" t="n">
        <f aca="false">+C23+500</f>
        <v>2000</v>
      </c>
      <c r="D24" s="298" t="n">
        <f aca="false">((SUMMARY!$D$24+SUMMARY!$I$18)*12*1000*IF(SUMMARY!$B$5,('OPERATIONAL CHARACTERISTICS'!$E$12*PROJECTCONFIGURATION!$B$65),('OPERATIONAL CHARACTERISTICS'!$H$12*PROJECTCONFIGURATION!$B$65)))/($C24*IF(SUMMARY!$B$5,('OPERATIONAL CHARACTERISTICS'!$E$12*PROJECTCONFIGURATION!$B$65),('OPERATIONAL CHARACTERISTICS'!$H$12*PROJECTCONFIGURATION!$B$65)))</f>
        <v>30.0445227122165</v>
      </c>
      <c r="E24" s="298" t="n">
        <f aca="false">+D24+$F$7</f>
        <v>53.8026808569159</v>
      </c>
      <c r="F24" s="299" t="n">
        <f aca="false">+$F$7</f>
        <v>23.7581581446994</v>
      </c>
      <c r="G24" s="287"/>
      <c r="K24" s="288" t="n">
        <v>16</v>
      </c>
      <c r="L24" s="289" t="n">
        <f aca="false">-IF(SUMMARY!$D$21*12&gt;=K24,IPMT(SUMMARY!$D$22/12,K24,SUMMARY!$D$21*12,SUMMARY!$D$20),0)</f>
        <v>218.364275218799</v>
      </c>
      <c r="M24" s="289" t="n">
        <f aca="false">IF(SUMMARY!$D$21*12&gt;=K24,-PPMT(SUMMARY!$D$22/12,K24,SUMMARY!$D$21*12,SUMMARY!$D$20),0)</f>
        <v>44.5236829061641</v>
      </c>
      <c r="N24" s="290" t="n">
        <f aca="false">+M24+L24</f>
        <v>262.887958124963</v>
      </c>
      <c r="P24" s="288" t="n">
        <v>16</v>
      </c>
      <c r="Q24" s="291" t="n">
        <f aca="false">IF(SUMMARY!$D$21&gt;=K24,(SUMMARY!$D$24+SUMMARY!$I$18)*12*SUMMARY!$D$6,0)</f>
        <v>5478.1980932547</v>
      </c>
      <c r="R24" s="291" t="n">
        <f aca="false">IF(SUMMARY!$D$21&gt;=K24,SUMMARY!$D$28*12*SUMMARY!$D$6,0)+IF(P24=SUMMARY!$D$21,SUMMARY!$D$29*SUMMARY!$D$15,0)</f>
        <v>6290.592</v>
      </c>
      <c r="S24" s="292" t="n">
        <f aca="false">+R24-Q24</f>
        <v>812.3939067453</v>
      </c>
      <c r="T24" s="300"/>
    </row>
    <row r="25" customFormat="false" ht="12.75" hidden="false" customHeight="false" outlineLevel="0" collapsed="false">
      <c r="B25" s="211"/>
      <c r="C25" s="297" t="n">
        <f aca="false">+C24+500</f>
        <v>2500</v>
      </c>
      <c r="D25" s="298" t="n">
        <f aca="false">((SUMMARY!$D$24+SUMMARY!$I$18)*12*1000*IF(SUMMARY!$B$5,('OPERATIONAL CHARACTERISTICS'!$E$12*PROJECTCONFIGURATION!$B$65),('OPERATIONAL CHARACTERISTICS'!$H$12*PROJECTCONFIGURATION!$B$65)))/($C25*IF(SUMMARY!$B$5,('OPERATIONAL CHARACTERISTICS'!$E$12*PROJECTCONFIGURATION!$B$65),('OPERATIONAL CHARACTERISTICS'!$H$12*PROJECTCONFIGURATION!$B$65)))</f>
        <v>24.0356181697732</v>
      </c>
      <c r="E25" s="298" t="n">
        <f aca="false">+D25+$F$7</f>
        <v>47.7937763144726</v>
      </c>
      <c r="F25" s="301" t="n">
        <f aca="false">+$F$7</f>
        <v>23.7581581446994</v>
      </c>
      <c r="K25" s="288" t="n">
        <v>17</v>
      </c>
      <c r="L25" s="289" t="n">
        <f aca="false">-IF(SUMMARY!$D$21*12&gt;=K25,IPMT(SUMMARY!$D$22/12,K25,SUMMARY!$D$21*12,SUMMARY!$D$20),0)</f>
        <v>218.086002200635</v>
      </c>
      <c r="M25" s="289" t="n">
        <f aca="false">IF(SUMMARY!$D$21*12&gt;=K25,-PPMT(SUMMARY!$D$22/12,K25,SUMMARY!$D$21*12,SUMMARY!$D$20),0)</f>
        <v>44.8019559243276</v>
      </c>
      <c r="N25" s="290" t="n">
        <f aca="false">+M25+L25</f>
        <v>262.887958124963</v>
      </c>
      <c r="P25" s="288" t="n">
        <v>17</v>
      </c>
      <c r="Q25" s="291" t="n">
        <f aca="false">IF(SUMMARY!$D$21&gt;=K25,(SUMMARY!$D$24+SUMMARY!$I$18)*12*SUMMARY!$D$6,0)</f>
        <v>5478.1980932547</v>
      </c>
      <c r="R25" s="291" t="n">
        <f aca="false">IF(SUMMARY!$D$21&gt;=K25,SUMMARY!$D$28*12*SUMMARY!$D$6,0)+IF(P25=SUMMARY!$D$21,SUMMARY!$D$29*SUMMARY!$D$15,0)</f>
        <v>6290.592</v>
      </c>
      <c r="S25" s="292" t="n">
        <f aca="false">+R25-Q25</f>
        <v>812.3939067453</v>
      </c>
      <c r="T25" s="300"/>
    </row>
    <row r="26" customFormat="false" ht="12.75" hidden="false" customHeight="false" outlineLevel="0" collapsed="false">
      <c r="B26" s="211"/>
      <c r="C26" s="297" t="n">
        <f aca="false">+C25+500</f>
        <v>3000</v>
      </c>
      <c r="D26" s="298" t="n">
        <f aca="false">((SUMMARY!$D$24+SUMMARY!$I$18)*12*1000*IF(SUMMARY!$B$5,('OPERATIONAL CHARACTERISTICS'!$E$12*PROJECTCONFIGURATION!$B$65),('OPERATIONAL CHARACTERISTICS'!$H$12*PROJECTCONFIGURATION!$B$65)))/($C26*IF(SUMMARY!$B$5,('OPERATIONAL CHARACTERISTICS'!$E$12*PROJECTCONFIGURATION!$B$65),('OPERATIONAL CHARACTERISTICS'!$H$12*PROJECTCONFIGURATION!$B$65)))</f>
        <v>20.0296818081443</v>
      </c>
      <c r="E26" s="298" t="n">
        <f aca="false">+D26+$F$7</f>
        <v>43.7878399528437</v>
      </c>
      <c r="F26" s="301" t="n">
        <f aca="false">+$F$7</f>
        <v>23.7581581446994</v>
      </c>
      <c r="K26" s="288" t="n">
        <v>18</v>
      </c>
      <c r="L26" s="289" t="n">
        <f aca="false">-IF(SUMMARY!$D$21*12&gt;=K26,IPMT(SUMMARY!$D$22/12,K26,SUMMARY!$D$21*12,SUMMARY!$D$20),0)</f>
        <v>217.805989976108</v>
      </c>
      <c r="M26" s="289" t="n">
        <f aca="false">IF(SUMMARY!$D$21*12&gt;=K26,-PPMT(SUMMARY!$D$22/12,K26,SUMMARY!$D$21*12,SUMMARY!$D$20),0)</f>
        <v>45.0819681488547</v>
      </c>
      <c r="N26" s="290" t="n">
        <f aca="false">+M26+L26</f>
        <v>262.887958124963</v>
      </c>
      <c r="P26" s="288" t="n">
        <v>18</v>
      </c>
      <c r="Q26" s="291" t="n">
        <f aca="false">IF(SUMMARY!$D$21&gt;=K26,(SUMMARY!$D$24+SUMMARY!$I$18)*12*SUMMARY!$D$6,0)</f>
        <v>5478.1980932547</v>
      </c>
      <c r="R26" s="291" t="n">
        <f aca="false">IF(SUMMARY!$D$21&gt;=K26,SUMMARY!$D$28*12*SUMMARY!$D$6,0)+IF(P26=SUMMARY!$D$21,SUMMARY!$D$29*SUMMARY!$D$15,0)</f>
        <v>6290.592</v>
      </c>
      <c r="S26" s="292" t="n">
        <f aca="false">+R26-Q26</f>
        <v>812.3939067453</v>
      </c>
      <c r="T26" s="300"/>
    </row>
    <row r="27" customFormat="false" ht="12.75" hidden="false" customHeight="false" outlineLevel="0" collapsed="false">
      <c r="B27" s="211"/>
      <c r="C27" s="297" t="n">
        <f aca="false">+C26+500</f>
        <v>3500</v>
      </c>
      <c r="D27" s="298" t="n">
        <f aca="false">((SUMMARY!$D$24+SUMMARY!$I$18)*12*1000*IF(SUMMARY!$B$5,('OPERATIONAL CHARACTERISTICS'!$E$12*PROJECTCONFIGURATION!$B$65),('OPERATIONAL CHARACTERISTICS'!$H$12*PROJECTCONFIGURATION!$B$65)))/($C27*IF(SUMMARY!$B$5,('OPERATIONAL CHARACTERISTICS'!$E$12*PROJECTCONFIGURATION!$B$65),('OPERATIONAL CHARACTERISTICS'!$H$12*PROJECTCONFIGURATION!$B$65)))</f>
        <v>17.1682986926951</v>
      </c>
      <c r="E27" s="298" t="n">
        <f aca="false">+D27+$F$7</f>
        <v>40.9264568373946</v>
      </c>
      <c r="F27" s="301" t="n">
        <f aca="false">+$F$7</f>
        <v>23.7581581446994</v>
      </c>
      <c r="K27" s="288" t="n">
        <v>19</v>
      </c>
      <c r="L27" s="289" t="n">
        <f aca="false">-IF(SUMMARY!$D$21*12&gt;=K27,IPMT(SUMMARY!$D$22/12,K27,SUMMARY!$D$21*12,SUMMARY!$D$20),0)</f>
        <v>217.524227675178</v>
      </c>
      <c r="M27" s="289" t="n">
        <f aca="false">IF(SUMMARY!$D$21*12&gt;=K27,-PPMT(SUMMARY!$D$22/12,K27,SUMMARY!$D$21*12,SUMMARY!$D$20),0)</f>
        <v>45.363730449785</v>
      </c>
      <c r="N27" s="290" t="n">
        <f aca="false">+M27+L27</f>
        <v>262.887958124963</v>
      </c>
      <c r="P27" s="288" t="n">
        <v>19</v>
      </c>
      <c r="Q27" s="291" t="n">
        <f aca="false">IF(SUMMARY!$D$21&gt;=K27,(SUMMARY!$D$24+SUMMARY!$I$18)*12*SUMMARY!$D$6,0)</f>
        <v>5478.1980932547</v>
      </c>
      <c r="R27" s="291" t="n">
        <f aca="false">IF(SUMMARY!$D$21&gt;=K27,SUMMARY!$D$28*12*SUMMARY!$D$6,0)+IF(P27=SUMMARY!$D$21,SUMMARY!$D$29*SUMMARY!$D$15,0)</f>
        <v>6290.592</v>
      </c>
      <c r="S27" s="292" t="n">
        <f aca="false">+R27-Q27</f>
        <v>812.3939067453</v>
      </c>
      <c r="T27" s="300"/>
    </row>
    <row r="28" customFormat="false" ht="13.5" hidden="false" customHeight="false" outlineLevel="0" collapsed="false">
      <c r="B28" s="168"/>
      <c r="C28" s="302" t="n">
        <f aca="false">+C27+500</f>
        <v>4000</v>
      </c>
      <c r="D28" s="303" t="n">
        <f aca="false">((SUMMARY!$D$24+SUMMARY!$I$18)*12*1000*IF(SUMMARY!$B$5,('OPERATIONAL CHARACTERISTICS'!$E$12*PROJECTCONFIGURATION!$B$65),('OPERATIONAL CHARACTERISTICS'!$H$12*PROJECTCONFIGURATION!$B$65)))/($C28*IF(SUMMARY!$B$5,('OPERATIONAL CHARACTERISTICS'!$E$12*PROJECTCONFIGURATION!$B$65),('OPERATIONAL CHARACTERISTICS'!$H$12*PROJECTCONFIGURATION!$B$65)))</f>
        <v>15.0222613561082</v>
      </c>
      <c r="E28" s="303" t="n">
        <f aca="false">+D28+$F$7</f>
        <v>38.7804195008077</v>
      </c>
      <c r="F28" s="304" t="n">
        <f aca="false">+$F$7</f>
        <v>23.7581581446994</v>
      </c>
      <c r="K28" s="288" t="n">
        <v>20</v>
      </c>
      <c r="L28" s="289" t="n">
        <f aca="false">-IF(SUMMARY!$D$21*12&gt;=K28,IPMT(SUMMARY!$D$22/12,K28,SUMMARY!$D$21*12,SUMMARY!$D$20),0)</f>
        <v>217.240704359867</v>
      </c>
      <c r="M28" s="289" t="n">
        <f aca="false">IF(SUMMARY!$D$21*12&gt;=K28,-PPMT(SUMMARY!$D$22/12,K28,SUMMARY!$D$21*12,SUMMARY!$D$20),0)</f>
        <v>45.6472537650962</v>
      </c>
      <c r="N28" s="290" t="n">
        <f aca="false">+M28+L28</f>
        <v>262.887958124963</v>
      </c>
      <c r="P28" s="288" t="n">
        <v>20</v>
      </c>
      <c r="Q28" s="291" t="n">
        <f aca="false">IF(SUMMARY!$D$21&gt;=K28,(SUMMARY!$D$24+SUMMARY!$I$18)*12*SUMMARY!$D$6,0)</f>
        <v>5478.1980932547</v>
      </c>
      <c r="R28" s="291" t="n">
        <f aca="false">IF(SUMMARY!$D$21&gt;=K28,SUMMARY!$D$28*12*SUMMARY!$D$6,0)+IF(P28=SUMMARY!$D$21,SUMMARY!$D$29*SUMMARY!$D$15,0)</f>
        <v>6290.592</v>
      </c>
      <c r="S28" s="292" t="n">
        <f aca="false">+R28-Q28</f>
        <v>812.3939067453</v>
      </c>
      <c r="T28" s="300"/>
    </row>
    <row r="29" customFormat="false" ht="12.75" hidden="false" customHeight="false" outlineLevel="0" collapsed="false">
      <c r="B29" s="285"/>
      <c r="C29" s="79"/>
      <c r="D29" s="79"/>
      <c r="E29" s="79"/>
      <c r="F29" s="80"/>
      <c r="K29" s="288" t="n">
        <v>21</v>
      </c>
      <c r="L29" s="289" t="n">
        <f aca="false">-IF(SUMMARY!$D$21*12&gt;=K29,IPMT(SUMMARY!$D$22/12,K29,SUMMARY!$D$21*12,SUMMARY!$D$20),0)</f>
        <v>216.955409023835</v>
      </c>
      <c r="M29" s="289" t="n">
        <f aca="false">IF(SUMMARY!$D$21*12&gt;=K29,-PPMT(SUMMARY!$D$22/12,K29,SUMMARY!$D$21*12,SUMMARY!$D$20),0)</f>
        <v>45.932549101128</v>
      </c>
      <c r="N29" s="290" t="n">
        <f aca="false">+M29+L29</f>
        <v>262.887958124963</v>
      </c>
      <c r="P29" s="288" t="n">
        <v>21</v>
      </c>
      <c r="Q29" s="291" t="n">
        <f aca="false">IF(SUMMARY!$D$21&gt;=K29,(SUMMARY!$D$24+SUMMARY!$I$18)*12*SUMMARY!$D$6,0)</f>
        <v>5478.1980932547</v>
      </c>
      <c r="R29" s="291" t="n">
        <f aca="false">IF(SUMMARY!$D$21&gt;=K29,SUMMARY!$D$28*12*SUMMARY!$D$6,0)+IF(P29=SUMMARY!$D$21,SUMMARY!$D$29*SUMMARY!$D$15,0)</f>
        <v>6290.592</v>
      </c>
      <c r="S29" s="292" t="n">
        <f aca="false">+R29-Q29</f>
        <v>812.3939067453</v>
      </c>
      <c r="T29" s="300"/>
    </row>
    <row r="30" customFormat="false" ht="12.75" hidden="false" customHeight="false" outlineLevel="0" collapsed="false">
      <c r="B30" s="81"/>
      <c r="C30" s="68"/>
      <c r="D30" s="68"/>
      <c r="E30" s="68"/>
      <c r="F30" s="149"/>
      <c r="K30" s="288" t="n">
        <v>22</v>
      </c>
      <c r="L30" s="289" t="n">
        <f aca="false">-IF(SUMMARY!$D$21*12&gt;=K30,IPMT(SUMMARY!$D$22/12,K30,SUMMARY!$D$21*12,SUMMARY!$D$20),0)</f>
        <v>216.668330591953</v>
      </c>
      <c r="M30" s="289" t="n">
        <f aca="false">IF(SUMMARY!$D$21*12&gt;=K30,-PPMT(SUMMARY!$D$22/12,K30,SUMMARY!$D$21*12,SUMMARY!$D$20),0)</f>
        <v>46.2196275330101</v>
      </c>
      <c r="N30" s="290" t="n">
        <f aca="false">+M30+L30</f>
        <v>262.887958124963</v>
      </c>
      <c r="P30" s="288" t="n">
        <v>22</v>
      </c>
      <c r="Q30" s="291" t="n">
        <f aca="false">IF(SUMMARY!$D$21&gt;=K30,(SUMMARY!$D$24+SUMMARY!$I$18)*12*SUMMARY!$D$6,0)</f>
        <v>5478.1980932547</v>
      </c>
      <c r="R30" s="291" t="n">
        <f aca="false">IF(SUMMARY!$D$21&gt;=K30,SUMMARY!$D$28*12*SUMMARY!$D$6,0)+IF(P30=SUMMARY!$D$21,SUMMARY!$D$29*SUMMARY!$D$15,0)</f>
        <v>6290.592</v>
      </c>
      <c r="S30" s="292" t="n">
        <f aca="false">+R30-Q30</f>
        <v>812.3939067453</v>
      </c>
      <c r="T30" s="300"/>
    </row>
    <row r="31" customFormat="false" ht="12.75" hidden="false" customHeight="false" outlineLevel="0" collapsed="false">
      <c r="B31" s="81"/>
      <c r="C31" s="68"/>
      <c r="D31" s="68"/>
      <c r="E31" s="68"/>
      <c r="F31" s="149"/>
      <c r="K31" s="288" t="n">
        <v>23</v>
      </c>
      <c r="L31" s="289" t="n">
        <f aca="false">-IF(SUMMARY!$D$21*12&gt;=K31,IPMT(SUMMARY!$D$22/12,K31,SUMMARY!$D$21*12,SUMMARY!$D$20),0)</f>
        <v>216.379457919871</v>
      </c>
      <c r="M31" s="289" t="n">
        <f aca="false">IF(SUMMARY!$D$21*12&gt;=K31,-PPMT(SUMMARY!$D$22/12,K31,SUMMARY!$D$21*12,SUMMARY!$D$20),0)</f>
        <v>46.5085002050914</v>
      </c>
      <c r="N31" s="290" t="n">
        <f aca="false">+M31+L31</f>
        <v>262.887958124963</v>
      </c>
      <c r="P31" s="288" t="n">
        <v>23</v>
      </c>
      <c r="Q31" s="291" t="n">
        <f aca="false">IF(SUMMARY!$D$21&gt;=K31,(SUMMARY!$D$24+SUMMARY!$I$18)*12*SUMMARY!$D$6,0)</f>
        <v>5478.1980932547</v>
      </c>
      <c r="R31" s="291" t="n">
        <f aca="false">IF(SUMMARY!$D$21&gt;=K31,SUMMARY!$D$28*12*SUMMARY!$D$6,0)+IF(P31=SUMMARY!$D$21,SUMMARY!$D$29*SUMMARY!$D$15,0)</f>
        <v>6290.592</v>
      </c>
      <c r="S31" s="292" t="n">
        <f aca="false">+R31-Q31</f>
        <v>812.3939067453</v>
      </c>
      <c r="T31" s="300"/>
    </row>
    <row r="32" customFormat="false" ht="12.75" hidden="false" customHeight="false" outlineLevel="0" collapsed="false">
      <c r="B32" s="81"/>
      <c r="C32" s="68"/>
      <c r="D32" s="68"/>
      <c r="E32" s="68"/>
      <c r="F32" s="149"/>
      <c r="K32" s="288" t="n">
        <v>24</v>
      </c>
      <c r="L32" s="289" t="n">
        <f aca="false">-IF(SUMMARY!$D$21*12&gt;=K32,IPMT(SUMMARY!$D$22/12,K32,SUMMARY!$D$21*12,SUMMARY!$D$20),0)</f>
        <v>216.08877979359</v>
      </c>
      <c r="M32" s="289" t="n">
        <f aca="false">IF(SUMMARY!$D$21*12&gt;=K32,-PPMT(SUMMARY!$D$22/12,K32,SUMMARY!$D$21*12,SUMMARY!$D$20),0)</f>
        <v>46.7991783313732</v>
      </c>
      <c r="N32" s="290" t="n">
        <f aca="false">+M32+L32</f>
        <v>262.887958124963</v>
      </c>
      <c r="P32" s="288" t="n">
        <v>24</v>
      </c>
      <c r="Q32" s="291" t="n">
        <f aca="false">IF(SUMMARY!$D$21&gt;=K32,(SUMMARY!$D$24+SUMMARY!$I$18)*12*SUMMARY!$D$6,0)</f>
        <v>5478.1980932547</v>
      </c>
      <c r="R32" s="291" t="n">
        <f aca="false">IF(SUMMARY!$D$21&gt;=K32,SUMMARY!$D$28*12*SUMMARY!$D$6,0)+IF(P32=SUMMARY!$D$21,SUMMARY!$D$29*SUMMARY!$D$15,0)</f>
        <v>6290.592</v>
      </c>
      <c r="S32" s="292" t="n">
        <f aca="false">+R32-Q32</f>
        <v>812.3939067453</v>
      </c>
      <c r="T32" s="300"/>
    </row>
    <row r="33" customFormat="false" ht="12.75" hidden="false" customHeight="false" outlineLevel="0" collapsed="false">
      <c r="B33" s="81"/>
      <c r="C33" s="68"/>
      <c r="D33" s="68"/>
      <c r="E33" s="68"/>
      <c r="F33" s="149"/>
      <c r="K33" s="288" t="n">
        <v>25</v>
      </c>
      <c r="L33" s="289" t="n">
        <f aca="false">-IF(SUMMARY!$D$21*12&gt;=K33,IPMT(SUMMARY!$D$22/12,K33,SUMMARY!$D$21*12,SUMMARY!$D$20),0)</f>
        <v>215.796284929019</v>
      </c>
      <c r="M33" s="289" t="n">
        <f aca="false">IF(SUMMARY!$D$21*12&gt;=K33,-PPMT(SUMMARY!$D$22/12,K33,SUMMARY!$D$21*12,SUMMARY!$D$20),0)</f>
        <v>47.0916731959443</v>
      </c>
      <c r="N33" s="290" t="n">
        <f aca="false">+M33+L33</f>
        <v>262.887958124963</v>
      </c>
      <c r="P33" s="288" t="n">
        <v>25</v>
      </c>
      <c r="Q33" s="291" t="n">
        <f aca="false">IF(SUMMARY!$D$21&gt;=K33,(SUMMARY!$D$24+SUMMARY!$I$18)*12*SUMMARY!$D$6,0)</f>
        <v>5478.1980932547</v>
      </c>
      <c r="R33" s="291" t="n">
        <f aca="false">IF(SUMMARY!$D$21&gt;=K33,SUMMARY!$D$28*12*SUMMARY!$D$6,0)+IF(P33=SUMMARY!$D$21,SUMMARY!$D$29*SUMMARY!$D$15,0)</f>
        <v>18995.555102947</v>
      </c>
      <c r="S33" s="292" t="n">
        <f aca="false">+R33-Q33</f>
        <v>13517.3570096923</v>
      </c>
      <c r="T33" s="300"/>
    </row>
    <row r="34" customFormat="false" ht="12.75" hidden="false" customHeight="false" outlineLevel="0" collapsed="false">
      <c r="B34" s="81"/>
      <c r="C34" s="68"/>
      <c r="D34" s="68"/>
      <c r="E34" s="68"/>
      <c r="F34" s="149"/>
      <c r="K34" s="288" t="n">
        <v>26</v>
      </c>
      <c r="L34" s="289" t="n">
        <f aca="false">-IF(SUMMARY!$D$21*12&gt;=K34,IPMT(SUMMARY!$D$22/12,K34,SUMMARY!$D$21*12,SUMMARY!$D$20),0)</f>
        <v>215.501961971544</v>
      </c>
      <c r="M34" s="289" t="n">
        <f aca="false">IF(SUMMARY!$D$21*12&gt;=K34,-PPMT(SUMMARY!$D$22/12,K34,SUMMARY!$D$21*12,SUMMARY!$D$20),0)</f>
        <v>47.385996153419</v>
      </c>
      <c r="N34" s="290" t="n">
        <f aca="false">+M34+L34</f>
        <v>262.887958124963</v>
      </c>
      <c r="P34" s="288" t="n">
        <v>26</v>
      </c>
      <c r="Q34" s="291" t="n">
        <f aca="false">IF(SUMMARY!$D$21&gt;=K34,(SUMMARY!$D$24+SUMMARY!$I$18)*12*SUMMARY!$D$6,0)</f>
        <v>0</v>
      </c>
      <c r="R34" s="291" t="n">
        <f aca="false">IF(SUMMARY!$D$21&gt;=K34,SUMMARY!$D$28*12*SUMMARY!$D$6,0)+IF(P34=SUMMARY!$D$21,SUMMARY!$D$29*SUMMARY!$D$15,0)</f>
        <v>0</v>
      </c>
      <c r="S34" s="292" t="n">
        <f aca="false">+R34-Q34</f>
        <v>0</v>
      </c>
      <c r="T34" s="300"/>
    </row>
    <row r="35" customFormat="false" ht="12.75" hidden="false" customHeight="false" outlineLevel="0" collapsed="false">
      <c r="B35" s="81"/>
      <c r="C35" s="68"/>
      <c r="D35" s="68"/>
      <c r="E35" s="68"/>
      <c r="F35" s="149"/>
      <c r="K35" s="288" t="n">
        <v>27</v>
      </c>
      <c r="L35" s="289" t="n">
        <f aca="false">-IF(SUMMARY!$D$21*12&gt;=K35,IPMT(SUMMARY!$D$22/12,K35,SUMMARY!$D$21*12,SUMMARY!$D$20),0)</f>
        <v>215.205799495585</v>
      </c>
      <c r="M35" s="289" t="n">
        <f aca="false">IF(SUMMARY!$D$21*12&gt;=K35,-PPMT(SUMMARY!$D$22/12,K35,SUMMARY!$D$21*12,SUMMARY!$D$20),0)</f>
        <v>47.6821586293779</v>
      </c>
      <c r="N35" s="290" t="n">
        <f aca="false">+M35+L35</f>
        <v>262.887958124963</v>
      </c>
      <c r="P35" s="288" t="n">
        <v>27</v>
      </c>
      <c r="Q35" s="291" t="n">
        <f aca="false">IF(SUMMARY!$D$21&gt;=K35,(SUMMARY!$D$24+SUMMARY!$I$18)*12*SUMMARY!$D$6,0)</f>
        <v>0</v>
      </c>
      <c r="R35" s="291" t="n">
        <f aca="false">IF(SUMMARY!$D$21&gt;=K35,SUMMARY!$D$28*12*SUMMARY!$D$6,0)+IF(P35=SUMMARY!$D$21,SUMMARY!$D$29*SUMMARY!$D$15,0)</f>
        <v>0</v>
      </c>
      <c r="S35" s="292" t="n">
        <f aca="false">+R35-Q35</f>
        <v>0</v>
      </c>
      <c r="T35" s="300"/>
    </row>
    <row r="36" customFormat="false" ht="12.75" hidden="false" customHeight="false" outlineLevel="0" collapsed="false">
      <c r="B36" s="81"/>
      <c r="C36" s="68"/>
      <c r="D36" s="68"/>
      <c r="E36" s="68"/>
      <c r="F36" s="149"/>
      <c r="K36" s="288" t="n">
        <v>28</v>
      </c>
      <c r="L36" s="289" t="n">
        <f aca="false">-IF(SUMMARY!$D$21*12&gt;=K36,IPMT(SUMMARY!$D$22/12,K36,SUMMARY!$D$21*12,SUMMARY!$D$20),0)</f>
        <v>214.907786004151</v>
      </c>
      <c r="M36" s="289" t="n">
        <f aca="false">IF(SUMMARY!$D$21*12&gt;=K36,-PPMT(SUMMARY!$D$22/12,K36,SUMMARY!$D$21*12,SUMMARY!$D$20),0)</f>
        <v>47.9801721208115</v>
      </c>
      <c r="N36" s="290" t="n">
        <f aca="false">+M36+L36</f>
        <v>262.887958124963</v>
      </c>
      <c r="P36" s="288" t="n">
        <v>28</v>
      </c>
      <c r="Q36" s="291" t="n">
        <f aca="false">IF(SUMMARY!$D$21&gt;=K36,(SUMMARY!$D$24+SUMMARY!$I$18)*12*SUMMARY!$D$6,0)</f>
        <v>0</v>
      </c>
      <c r="R36" s="291" t="n">
        <f aca="false">IF(SUMMARY!$D$21&gt;=K36,SUMMARY!$D$28*12*SUMMARY!$D$6,0)+IF(P36=SUMMARY!$D$21,SUMMARY!$D$29*SUMMARY!$D$15,0)</f>
        <v>0</v>
      </c>
      <c r="S36" s="292" t="n">
        <f aca="false">+R36-Q36</f>
        <v>0</v>
      </c>
      <c r="T36" s="300"/>
    </row>
    <row r="37" customFormat="false" ht="12.75" hidden="false" customHeight="false" outlineLevel="0" collapsed="false">
      <c r="B37" s="81"/>
      <c r="C37" s="68"/>
      <c r="D37" s="68"/>
      <c r="E37" s="68"/>
      <c r="F37" s="149"/>
      <c r="K37" s="288" t="n">
        <v>29</v>
      </c>
      <c r="L37" s="289" t="n">
        <f aca="false">-IF(SUMMARY!$D$21*12&gt;=K37,IPMT(SUMMARY!$D$22/12,K37,SUMMARY!$D$21*12,SUMMARY!$D$20),0)</f>
        <v>214.607909928396</v>
      </c>
      <c r="M37" s="289" t="n">
        <f aca="false">IF(SUMMARY!$D$21*12&gt;=K37,-PPMT(SUMMARY!$D$22/12,K37,SUMMARY!$D$21*12,SUMMARY!$D$20),0)</f>
        <v>48.2800481965665</v>
      </c>
      <c r="N37" s="290" t="n">
        <f aca="false">+M37+L37</f>
        <v>262.887958124963</v>
      </c>
      <c r="P37" s="288" t="n">
        <v>29</v>
      </c>
      <c r="Q37" s="291" t="n">
        <f aca="false">IF(SUMMARY!$D$21&gt;=K37,(SUMMARY!$D$24+SUMMARY!$I$18)*12*SUMMARY!$D$6,0)</f>
        <v>0</v>
      </c>
      <c r="R37" s="291" t="n">
        <f aca="false">IF(SUMMARY!$D$21&gt;=K37,SUMMARY!$D$28*12*SUMMARY!$D$6,0)+IF(P37=SUMMARY!$D$21,SUMMARY!$D$29*SUMMARY!$D$15,0)</f>
        <v>0</v>
      </c>
      <c r="S37" s="292" t="n">
        <f aca="false">+R37-Q37</f>
        <v>0</v>
      </c>
      <c r="T37" s="300"/>
    </row>
    <row r="38" customFormat="false" ht="13.5" hidden="false" customHeight="false" outlineLevel="0" collapsed="false">
      <c r="B38" s="81"/>
      <c r="C38" s="68"/>
      <c r="D38" s="68"/>
      <c r="E38" s="68"/>
      <c r="F38" s="149"/>
      <c r="K38" s="288" t="n">
        <v>30</v>
      </c>
      <c r="L38" s="289" t="n">
        <f aca="false">-IF(SUMMARY!$D$21*12&gt;=K38,IPMT(SUMMARY!$D$22/12,K38,SUMMARY!$D$21*12,SUMMARY!$D$20),0)</f>
        <v>214.306159627168</v>
      </c>
      <c r="M38" s="289" t="n">
        <f aca="false">IF(SUMMARY!$D$21*12&gt;=K38,-PPMT(SUMMARY!$D$22/12,K38,SUMMARY!$D$21*12,SUMMARY!$D$20),0)</f>
        <v>48.5817984977951</v>
      </c>
      <c r="N38" s="290" t="n">
        <f aca="false">+M38+L38</f>
        <v>262.887958124963</v>
      </c>
      <c r="P38" s="305" t="n">
        <v>30</v>
      </c>
      <c r="Q38" s="306" t="n">
        <f aca="false">IF(SUMMARY!$D$21&gt;=K38,(SUMMARY!$D$24+SUMMARY!$I$18)*12*SUMMARY!$D$6,0)</f>
        <v>0</v>
      </c>
      <c r="R38" s="306" t="n">
        <f aca="false">IF(SUMMARY!$D$21&gt;=K38,SUMMARY!$D$28*12*SUMMARY!$D$6,0)+IF(P38=SUMMARY!$D$21,SUMMARY!$D$29*SUMMARY!$D$15,0)</f>
        <v>0</v>
      </c>
      <c r="S38" s="307" t="n">
        <f aca="false">+R38-Q38</f>
        <v>0</v>
      </c>
      <c r="T38" s="300"/>
    </row>
    <row r="39" customFormat="false" ht="12.75" hidden="false" customHeight="false" outlineLevel="0" collapsed="false">
      <c r="B39" s="81"/>
      <c r="C39" s="68"/>
      <c r="D39" s="68"/>
      <c r="E39" s="68"/>
      <c r="F39" s="149"/>
      <c r="K39" s="288" t="n">
        <v>31</v>
      </c>
      <c r="L39" s="289" t="n">
        <f aca="false">-IF(SUMMARY!$D$21*12&gt;=K39,IPMT(SUMMARY!$D$22/12,K39,SUMMARY!$D$21*12,SUMMARY!$D$20),0)</f>
        <v>214.002523386557</v>
      </c>
      <c r="M39" s="289" t="n">
        <f aca="false">IF(SUMMARY!$D$21*12&gt;=K39,-PPMT(SUMMARY!$D$22/12,K39,SUMMARY!$D$21*12,SUMMARY!$D$20),0)</f>
        <v>48.8854347384063</v>
      </c>
      <c r="N39" s="290" t="n">
        <f aca="false">+M39+L39</f>
        <v>262.887958124963</v>
      </c>
      <c r="P39" s="308"/>
      <c r="Q39" s="309"/>
      <c r="R39" s="309"/>
      <c r="S39" s="309"/>
      <c r="T39" s="300"/>
    </row>
    <row r="40" customFormat="false" ht="12.75" hidden="false" customHeight="false" outlineLevel="0" collapsed="false">
      <c r="B40" s="81"/>
      <c r="C40" s="68"/>
      <c r="D40" s="68"/>
      <c r="E40" s="68"/>
      <c r="F40" s="149"/>
      <c r="K40" s="288" t="n">
        <v>32</v>
      </c>
      <c r="L40" s="289" t="n">
        <f aca="false">-IF(SUMMARY!$D$21*12&gt;=K40,IPMT(SUMMARY!$D$22/12,K40,SUMMARY!$D$21*12,SUMMARY!$D$20),0)</f>
        <v>213.696989419441</v>
      </c>
      <c r="M40" s="289" t="n">
        <f aca="false">IF(SUMMARY!$D$21*12&gt;=K40,-PPMT(SUMMARY!$D$22/12,K40,SUMMARY!$D$21*12,SUMMARY!$D$20),0)</f>
        <v>49.1909687055214</v>
      </c>
      <c r="N40" s="290" t="n">
        <f aca="false">+M40+L40</f>
        <v>262.887958124963</v>
      </c>
      <c r="P40" s="308"/>
      <c r="Q40" s="309"/>
      <c r="R40" s="309"/>
      <c r="S40" s="309"/>
      <c r="T40" s="300"/>
    </row>
    <row r="41" customFormat="false" ht="12.75" hidden="false" customHeight="false" outlineLevel="0" collapsed="false">
      <c r="B41" s="81"/>
      <c r="C41" s="68"/>
      <c r="D41" s="68"/>
      <c r="E41" s="68"/>
      <c r="F41" s="149"/>
      <c r="K41" s="288" t="n">
        <v>33</v>
      </c>
      <c r="L41" s="289" t="n">
        <f aca="false">-IF(SUMMARY!$D$21*12&gt;=K41,IPMT(SUMMARY!$D$22/12,K41,SUMMARY!$D$21*12,SUMMARY!$D$20),0)</f>
        <v>213.389545865032</v>
      </c>
      <c r="M41" s="289" t="n">
        <f aca="false">IF(SUMMARY!$D$21*12&gt;=K41,-PPMT(SUMMARY!$D$22/12,K41,SUMMARY!$D$21*12,SUMMARY!$D$20),0)</f>
        <v>49.4984122599309</v>
      </c>
      <c r="N41" s="290" t="n">
        <f aca="false">+M41+L41</f>
        <v>262.887958124963</v>
      </c>
      <c r="P41" s="308"/>
      <c r="Q41" s="309"/>
      <c r="R41" s="309"/>
      <c r="S41" s="309"/>
      <c r="T41" s="300"/>
    </row>
    <row r="42" customFormat="false" ht="12.75" hidden="false" customHeight="false" outlineLevel="0" collapsed="false">
      <c r="B42" s="81"/>
      <c r="C42" s="68"/>
      <c r="D42" s="68"/>
      <c r="E42" s="68"/>
      <c r="F42" s="149"/>
      <c r="K42" s="288" t="n">
        <v>34</v>
      </c>
      <c r="L42" s="289" t="n">
        <f aca="false">-IF(SUMMARY!$D$21*12&gt;=K42,IPMT(SUMMARY!$D$22/12,K42,SUMMARY!$D$21*12,SUMMARY!$D$20),0)</f>
        <v>213.080180788407</v>
      </c>
      <c r="M42" s="289" t="n">
        <f aca="false">IF(SUMMARY!$D$21*12&gt;=K42,-PPMT(SUMMARY!$D$22/12,K42,SUMMARY!$D$21*12,SUMMARY!$D$20),0)</f>
        <v>49.8077773365554</v>
      </c>
      <c r="N42" s="290" t="n">
        <f aca="false">+M42+L42</f>
        <v>262.887958124963</v>
      </c>
      <c r="P42" s="308"/>
      <c r="Q42" s="309"/>
      <c r="R42" s="309"/>
      <c r="S42" s="309"/>
      <c r="T42" s="300"/>
    </row>
    <row r="43" customFormat="false" ht="12.75" hidden="false" customHeight="false" outlineLevel="0" collapsed="false">
      <c r="B43" s="81"/>
      <c r="C43" s="68"/>
      <c r="D43" s="68"/>
      <c r="E43" s="68"/>
      <c r="F43" s="149"/>
      <c r="K43" s="288" t="n">
        <v>35</v>
      </c>
      <c r="L43" s="289" t="n">
        <f aca="false">-IF(SUMMARY!$D$21*12&gt;=K43,IPMT(SUMMARY!$D$22/12,K43,SUMMARY!$D$21*12,SUMMARY!$D$20),0)</f>
        <v>212.768882180054</v>
      </c>
      <c r="M43" s="289" t="n">
        <f aca="false">IF(SUMMARY!$D$21*12&gt;=K43,-PPMT(SUMMARY!$D$22/12,K43,SUMMARY!$D$21*12,SUMMARY!$D$20),0)</f>
        <v>50.1190759449089</v>
      </c>
      <c r="N43" s="290" t="n">
        <f aca="false">+M43+L43</f>
        <v>262.887958124963</v>
      </c>
      <c r="P43" s="308"/>
      <c r="Q43" s="309"/>
      <c r="R43" s="309"/>
      <c r="S43" s="309"/>
      <c r="T43" s="300"/>
    </row>
    <row r="44" customFormat="false" ht="13.5" hidden="false" customHeight="false" outlineLevel="0" collapsed="false">
      <c r="B44" s="168"/>
      <c r="C44" s="110"/>
      <c r="D44" s="110"/>
      <c r="E44" s="110"/>
      <c r="F44" s="164"/>
      <c r="K44" s="288" t="n">
        <v>36</v>
      </c>
      <c r="L44" s="289" t="n">
        <f aca="false">-IF(SUMMARY!$D$21*12&gt;=K44,IPMT(SUMMARY!$D$22/12,K44,SUMMARY!$D$21*12,SUMMARY!$D$20),0)</f>
        <v>212.455637955398</v>
      </c>
      <c r="M44" s="289" t="n">
        <f aca="false">IF(SUMMARY!$D$21*12&gt;=K44,-PPMT(SUMMARY!$D$22/12,K44,SUMMARY!$D$21*12,SUMMARY!$D$20),0)</f>
        <v>50.4323201695646</v>
      </c>
      <c r="N44" s="290" t="n">
        <f aca="false">+M44+L44</f>
        <v>262.887958124963</v>
      </c>
      <c r="P44" s="308"/>
      <c r="Q44" s="309"/>
      <c r="R44" s="309"/>
      <c r="S44" s="309"/>
      <c r="T44" s="300"/>
    </row>
    <row r="45" customFormat="false" ht="12.75" hidden="false" customHeight="false" outlineLevel="0" collapsed="false">
      <c r="K45" s="288" t="n">
        <v>37</v>
      </c>
      <c r="L45" s="289" t="n">
        <f aca="false">-IF(SUMMARY!$D$21*12&gt;=K45,IPMT(SUMMARY!$D$22/12,K45,SUMMARY!$D$21*12,SUMMARY!$D$20),0)</f>
        <v>212.140435954338</v>
      </c>
      <c r="M45" s="289" t="n">
        <f aca="false">IF(SUMMARY!$D$21*12&gt;=K45,-PPMT(SUMMARY!$D$22/12,K45,SUMMARY!$D$21*12,SUMMARY!$D$20),0)</f>
        <v>50.7475221706244</v>
      </c>
      <c r="N45" s="290" t="n">
        <f aca="false">+M45+L45</f>
        <v>262.887958124963</v>
      </c>
      <c r="P45" s="308"/>
      <c r="Q45" s="309"/>
      <c r="R45" s="309"/>
      <c r="S45" s="309"/>
      <c r="T45" s="300"/>
    </row>
    <row r="46" customFormat="false" ht="12.75" hidden="false" customHeight="false" outlineLevel="0" collapsed="false">
      <c r="K46" s="288" t="n">
        <v>38</v>
      </c>
      <c r="L46" s="289" t="n">
        <f aca="false">-IF(SUMMARY!$D$21*12&gt;=K46,IPMT(SUMMARY!$D$22/12,K46,SUMMARY!$D$21*12,SUMMARY!$D$20),0)</f>
        <v>211.823263940772</v>
      </c>
      <c r="M46" s="289" t="n">
        <f aca="false">IF(SUMMARY!$D$21*12&gt;=K46,-PPMT(SUMMARY!$D$22/12,K46,SUMMARY!$D$21*12,SUMMARY!$D$20),0)</f>
        <v>51.0646941841908</v>
      </c>
      <c r="N46" s="290" t="n">
        <f aca="false">+M46+L46</f>
        <v>262.887958124963</v>
      </c>
      <c r="P46" s="308"/>
      <c r="Q46" s="309"/>
      <c r="R46" s="309"/>
      <c r="S46" s="309"/>
      <c r="T46" s="300"/>
    </row>
    <row r="47" customFormat="false" ht="12.75" hidden="false" customHeight="false" outlineLevel="0" collapsed="false">
      <c r="K47" s="288" t="n">
        <v>39</v>
      </c>
      <c r="L47" s="289" t="n">
        <f aca="false">-IF(SUMMARY!$D$21*12&gt;=K47,IPMT(SUMMARY!$D$22/12,K47,SUMMARY!$D$21*12,SUMMARY!$D$20),0)</f>
        <v>211.504109602121</v>
      </c>
      <c r="M47" s="289" t="n">
        <f aca="false">IF(SUMMARY!$D$21*12&gt;=K47,-PPMT(SUMMARY!$D$22/12,K47,SUMMARY!$D$21*12,SUMMARY!$D$20),0)</f>
        <v>51.383848522842</v>
      </c>
      <c r="N47" s="290" t="n">
        <f aca="false">+M47+L47</f>
        <v>262.887958124963</v>
      </c>
      <c r="P47" s="308"/>
      <c r="Q47" s="309"/>
      <c r="R47" s="309"/>
      <c r="S47" s="309"/>
      <c r="T47" s="300"/>
    </row>
    <row r="48" customFormat="false" ht="12.75" hidden="false" customHeight="false" outlineLevel="0" collapsed="false">
      <c r="K48" s="288" t="n">
        <v>40</v>
      </c>
      <c r="L48" s="289" t="n">
        <f aca="false">-IF(SUMMARY!$D$21*12&gt;=K48,IPMT(SUMMARY!$D$22/12,K48,SUMMARY!$D$21*12,SUMMARY!$D$20),0)</f>
        <v>211.182960548853</v>
      </c>
      <c r="M48" s="289" t="n">
        <f aca="false">IF(SUMMARY!$D$21*12&gt;=K48,-PPMT(SUMMARY!$D$22/12,K48,SUMMARY!$D$21*12,SUMMARY!$D$20),0)</f>
        <v>51.7049975761098</v>
      </c>
      <c r="N48" s="290" t="n">
        <f aca="false">+M48+L48</f>
        <v>262.887958124963</v>
      </c>
      <c r="P48" s="308"/>
      <c r="Q48" s="309"/>
      <c r="R48" s="309"/>
      <c r="S48" s="309"/>
      <c r="T48" s="300"/>
    </row>
    <row r="49" customFormat="false" ht="12.75" hidden="false" customHeight="false" outlineLevel="0" collapsed="false">
      <c r="K49" s="288" t="n">
        <v>41</v>
      </c>
      <c r="L49" s="289" t="n">
        <f aca="false">-IF(SUMMARY!$D$21*12&gt;=K49,IPMT(SUMMARY!$D$22/12,K49,SUMMARY!$D$21*12,SUMMARY!$D$20),0)</f>
        <v>210.859804314002</v>
      </c>
      <c r="M49" s="289" t="n">
        <f aca="false">IF(SUMMARY!$D$21*12&gt;=K49,-PPMT(SUMMARY!$D$22/12,K49,SUMMARY!$D$21*12,SUMMARY!$D$20),0)</f>
        <v>52.0281538109605</v>
      </c>
      <c r="N49" s="290" t="n">
        <f aca="false">+M49+L49</f>
        <v>262.887958124963</v>
      </c>
      <c r="P49" s="308"/>
      <c r="Q49" s="309"/>
      <c r="R49" s="309"/>
      <c r="S49" s="309"/>
      <c r="T49" s="300"/>
    </row>
    <row r="50" customFormat="false" ht="12.75" hidden="false" customHeight="false" outlineLevel="0" collapsed="false">
      <c r="K50" s="288" t="n">
        <v>42</v>
      </c>
      <c r="L50" s="289" t="n">
        <f aca="false">-IF(SUMMARY!$D$21*12&gt;=K50,IPMT(SUMMARY!$D$22/12,K50,SUMMARY!$D$21*12,SUMMARY!$D$20),0)</f>
        <v>210.534628352684</v>
      </c>
      <c r="M50" s="289" t="n">
        <f aca="false">IF(SUMMARY!$D$21*12&gt;=K50,-PPMT(SUMMARY!$D$22/12,K50,SUMMARY!$D$21*12,SUMMARY!$D$20),0)</f>
        <v>52.3533297722789</v>
      </c>
      <c r="N50" s="290" t="n">
        <f aca="false">+M50+L50</f>
        <v>262.887958124963</v>
      </c>
      <c r="P50" s="308"/>
      <c r="Q50" s="309"/>
      <c r="R50" s="309"/>
      <c r="S50" s="309"/>
      <c r="T50" s="300"/>
    </row>
    <row r="51" customFormat="false" ht="12.75" hidden="false" customHeight="false" outlineLevel="0" collapsed="false">
      <c r="K51" s="288" t="n">
        <v>43</v>
      </c>
      <c r="L51" s="289" t="n">
        <f aca="false">-IF(SUMMARY!$D$21*12&gt;=K51,IPMT(SUMMARY!$D$22/12,K51,SUMMARY!$D$21*12,SUMMARY!$D$20),0)</f>
        <v>210.207420041607</v>
      </c>
      <c r="M51" s="289" t="n">
        <f aca="false">IF(SUMMARY!$D$21*12&gt;=K51,-PPMT(SUMMARY!$D$22/12,K51,SUMMARY!$D$21*12,SUMMARY!$D$20),0)</f>
        <v>52.6805380833557</v>
      </c>
      <c r="N51" s="290" t="n">
        <f aca="false">+M51+L51</f>
        <v>262.887958124963</v>
      </c>
      <c r="P51" s="308"/>
      <c r="Q51" s="309"/>
      <c r="R51" s="309"/>
      <c r="S51" s="309"/>
      <c r="T51" s="300"/>
    </row>
    <row r="52" customFormat="false" ht="12.75" hidden="false" customHeight="false" outlineLevel="0" collapsed="false">
      <c r="K52" s="288" t="n">
        <v>44</v>
      </c>
      <c r="L52" s="289" t="n">
        <f aca="false">-IF(SUMMARY!$D$21*12&gt;=K52,IPMT(SUMMARY!$D$22/12,K52,SUMMARY!$D$21*12,SUMMARY!$D$20),0)</f>
        <v>209.878166678586</v>
      </c>
      <c r="M52" s="289" t="n">
        <f aca="false">IF(SUMMARY!$D$21*12&gt;=K52,-PPMT(SUMMARY!$D$22/12,K52,SUMMARY!$D$21*12,SUMMARY!$D$20),0)</f>
        <v>53.0097914463767</v>
      </c>
      <c r="N52" s="290" t="n">
        <f aca="false">+M52+L52</f>
        <v>262.887958124963</v>
      </c>
      <c r="P52" s="308"/>
      <c r="Q52" s="309"/>
      <c r="R52" s="309"/>
      <c r="S52" s="309"/>
      <c r="T52" s="300"/>
    </row>
    <row r="53" customFormat="false" ht="12.75" hidden="false" customHeight="false" outlineLevel="0" collapsed="false">
      <c r="K53" s="288" t="n">
        <v>45</v>
      </c>
      <c r="L53" s="289" t="n">
        <f aca="false">-IF(SUMMARY!$D$21*12&gt;=K53,IPMT(SUMMARY!$D$22/12,K53,SUMMARY!$D$21*12,SUMMARY!$D$20),0)</f>
        <v>209.546855482046</v>
      </c>
      <c r="M53" s="289" t="n">
        <f aca="false">IF(SUMMARY!$D$21*12&gt;=K53,-PPMT(SUMMARY!$D$22/12,K53,SUMMARY!$D$21*12,SUMMARY!$D$20),0)</f>
        <v>53.3411026429166</v>
      </c>
      <c r="N53" s="290" t="n">
        <f aca="false">+M53+L53</f>
        <v>262.887958124963</v>
      </c>
      <c r="P53" s="308"/>
      <c r="Q53" s="309"/>
      <c r="R53" s="309"/>
      <c r="S53" s="309"/>
      <c r="T53" s="300"/>
    </row>
    <row r="54" customFormat="false" ht="12.75" hidden="false" customHeight="false" outlineLevel="0" collapsed="false">
      <c r="K54" s="288" t="n">
        <v>46</v>
      </c>
      <c r="L54" s="289" t="n">
        <f aca="false">-IF(SUMMARY!$D$21*12&gt;=K54,IPMT(SUMMARY!$D$22/12,K54,SUMMARY!$D$21*12,SUMMARY!$D$20),0)</f>
        <v>209.213473590528</v>
      </c>
      <c r="M54" s="289" t="n">
        <f aca="false">IF(SUMMARY!$D$21*12&gt;=K54,-PPMT(SUMMARY!$D$22/12,K54,SUMMARY!$D$21*12,SUMMARY!$D$20),0)</f>
        <v>53.6744845344348</v>
      </c>
      <c r="N54" s="290" t="n">
        <f aca="false">+M54+L54</f>
        <v>262.887958124963</v>
      </c>
      <c r="P54" s="308"/>
      <c r="Q54" s="309"/>
      <c r="R54" s="309"/>
      <c r="S54" s="309"/>
      <c r="T54" s="300"/>
    </row>
    <row r="55" customFormat="false" ht="12.75" hidden="false" customHeight="false" outlineLevel="0" collapsed="false">
      <c r="K55" s="288" t="n">
        <v>47</v>
      </c>
      <c r="L55" s="289" t="n">
        <f aca="false">-IF(SUMMARY!$D$21*12&gt;=K55,IPMT(SUMMARY!$D$22/12,K55,SUMMARY!$D$21*12,SUMMARY!$D$20),0)</f>
        <v>208.878008062188</v>
      </c>
      <c r="M55" s="289" t="n">
        <f aca="false">IF(SUMMARY!$D$21*12&gt;=K55,-PPMT(SUMMARY!$D$22/12,K55,SUMMARY!$D$21*12,SUMMARY!$D$20),0)</f>
        <v>54.009950062775</v>
      </c>
      <c r="N55" s="290" t="n">
        <f aca="false">+M55+L55</f>
        <v>262.887958124963</v>
      </c>
      <c r="P55" s="308"/>
      <c r="Q55" s="309"/>
      <c r="R55" s="309"/>
      <c r="S55" s="309"/>
      <c r="T55" s="300"/>
    </row>
    <row r="56" customFormat="false" ht="12.75" hidden="false" customHeight="false" outlineLevel="0" collapsed="false">
      <c r="K56" s="288" t="n">
        <v>48</v>
      </c>
      <c r="L56" s="289" t="n">
        <f aca="false">-IF(SUMMARY!$D$21*12&gt;=K56,IPMT(SUMMARY!$D$22/12,K56,SUMMARY!$D$21*12,SUMMARY!$D$20),0)</f>
        <v>208.540445874295</v>
      </c>
      <c r="M56" s="289" t="n">
        <f aca="false">IF(SUMMARY!$D$21*12&gt;=K56,-PPMT(SUMMARY!$D$22/12,K56,SUMMARY!$D$21*12,SUMMARY!$D$20),0)</f>
        <v>54.3475122506674</v>
      </c>
      <c r="N56" s="290" t="n">
        <f aca="false">+M56+L56</f>
        <v>262.887958124963</v>
      </c>
      <c r="P56" s="308"/>
      <c r="Q56" s="309"/>
      <c r="R56" s="309"/>
      <c r="S56" s="309"/>
      <c r="T56" s="300"/>
    </row>
    <row r="57" customFormat="false" ht="12.75" hidden="false" customHeight="false" outlineLevel="0" collapsed="false">
      <c r="K57" s="288" t="n">
        <v>49</v>
      </c>
      <c r="L57" s="289" t="n">
        <f aca="false">-IF(SUMMARY!$D$21*12&gt;=K57,IPMT(SUMMARY!$D$22/12,K57,SUMMARY!$D$21*12,SUMMARY!$D$20),0)</f>
        <v>208.200773922729</v>
      </c>
      <c r="M57" s="289" t="n">
        <f aca="false">IF(SUMMARY!$D$21*12&gt;=K57,-PPMT(SUMMARY!$D$22/12,K57,SUMMARY!$D$21*12,SUMMARY!$D$20),0)</f>
        <v>54.687184202234</v>
      </c>
      <c r="N57" s="290" t="n">
        <f aca="false">+M57+L57</f>
        <v>262.887958124963</v>
      </c>
      <c r="P57" s="308"/>
      <c r="Q57" s="309"/>
      <c r="R57" s="309"/>
      <c r="S57" s="309"/>
      <c r="T57" s="300"/>
    </row>
    <row r="58" customFormat="false" ht="12.75" hidden="false" customHeight="false" outlineLevel="0" collapsed="false">
      <c r="K58" s="288" t="n">
        <v>50</v>
      </c>
      <c r="L58" s="289" t="n">
        <f aca="false">-IF(SUMMARY!$D$21*12&gt;=K58,IPMT(SUMMARY!$D$22/12,K58,SUMMARY!$D$21*12,SUMMARY!$D$20),0)</f>
        <v>207.858979021465</v>
      </c>
      <c r="M58" s="289" t="n">
        <f aca="false">IF(SUMMARY!$D$21*12&gt;=K58,-PPMT(SUMMARY!$D$22/12,K58,SUMMARY!$D$21*12,SUMMARY!$D$20),0)</f>
        <v>55.028979103498</v>
      </c>
      <c r="N58" s="290" t="n">
        <f aca="false">+M58+L58</f>
        <v>262.887958124963</v>
      </c>
      <c r="P58" s="308"/>
      <c r="Q58" s="309"/>
      <c r="R58" s="309"/>
      <c r="S58" s="309"/>
      <c r="T58" s="300"/>
    </row>
    <row r="59" customFormat="false" ht="12.75" hidden="false" customHeight="false" outlineLevel="0" collapsed="false">
      <c r="K59" s="288" t="n">
        <v>51</v>
      </c>
      <c r="L59" s="289" t="n">
        <f aca="false">-IF(SUMMARY!$D$21*12&gt;=K59,IPMT(SUMMARY!$D$22/12,K59,SUMMARY!$D$21*12,SUMMARY!$D$20),0)</f>
        <v>207.515047902068</v>
      </c>
      <c r="M59" s="289" t="n">
        <f aca="false">IF(SUMMARY!$D$21*12&gt;=K59,-PPMT(SUMMARY!$D$22/12,K59,SUMMARY!$D$21*12,SUMMARY!$D$20),0)</f>
        <v>55.3729102228949</v>
      </c>
      <c r="N59" s="290" t="n">
        <f aca="false">+M59+L59</f>
        <v>262.887958124963</v>
      </c>
      <c r="P59" s="308"/>
      <c r="Q59" s="309"/>
      <c r="R59" s="309"/>
      <c r="S59" s="309"/>
      <c r="T59" s="300"/>
    </row>
    <row r="60" customFormat="false" ht="12.75" hidden="false" customHeight="false" outlineLevel="0" collapsed="false">
      <c r="K60" s="288" t="n">
        <v>52</v>
      </c>
      <c r="L60" s="289" t="n">
        <f aca="false">-IF(SUMMARY!$D$21*12&gt;=K60,IPMT(SUMMARY!$D$22/12,K60,SUMMARY!$D$21*12,SUMMARY!$D$20),0)</f>
        <v>207.168967213175</v>
      </c>
      <c r="M60" s="289" t="n">
        <f aca="false">IF(SUMMARY!$D$21*12&gt;=K60,-PPMT(SUMMARY!$D$22/12,K60,SUMMARY!$D$21*12,SUMMARY!$D$20),0)</f>
        <v>55.718990911788</v>
      </c>
      <c r="N60" s="290" t="n">
        <f aca="false">+M60+L60</f>
        <v>262.887958124963</v>
      </c>
      <c r="P60" s="308"/>
      <c r="Q60" s="309"/>
      <c r="R60" s="309"/>
      <c r="S60" s="309"/>
    </row>
    <row r="61" customFormat="false" ht="12.75" hidden="false" customHeight="false" outlineLevel="0" collapsed="false">
      <c r="K61" s="288" t="n">
        <v>53</v>
      </c>
      <c r="L61" s="289" t="n">
        <f aca="false">-IF(SUMMARY!$D$21*12&gt;=K61,IPMT(SUMMARY!$D$22/12,K61,SUMMARY!$D$21*12,SUMMARY!$D$20),0)</f>
        <v>206.820723519976</v>
      </c>
      <c r="M61" s="289" t="n">
        <f aca="false">IF(SUMMARY!$D$21*12&gt;=K61,-PPMT(SUMMARY!$D$22/12,K61,SUMMARY!$D$21*12,SUMMARY!$D$20),0)</f>
        <v>56.0672346049866</v>
      </c>
      <c r="N61" s="290" t="n">
        <f aca="false">+M61+L61</f>
        <v>262.887958124963</v>
      </c>
      <c r="P61" s="308"/>
      <c r="Q61" s="309"/>
      <c r="R61" s="309"/>
      <c r="S61" s="309"/>
    </row>
    <row r="62" customFormat="false" ht="12.75" hidden="false" customHeight="false" outlineLevel="0" collapsed="false">
      <c r="K62" s="288" t="n">
        <v>54</v>
      </c>
      <c r="L62" s="289" t="n">
        <f aca="false">-IF(SUMMARY!$D$21*12&gt;=K62,IPMT(SUMMARY!$D$22/12,K62,SUMMARY!$D$21*12,SUMMARY!$D$20),0)</f>
        <v>206.470303303695</v>
      </c>
      <c r="M62" s="289" t="n">
        <f aca="false">IF(SUMMARY!$D$21*12&gt;=K62,-PPMT(SUMMARY!$D$22/12,K62,SUMMARY!$D$21*12,SUMMARY!$D$20),0)</f>
        <v>56.4176548212678</v>
      </c>
      <c r="N62" s="290" t="n">
        <f aca="false">+M62+L62</f>
        <v>262.887958124963</v>
      </c>
      <c r="P62" s="308"/>
      <c r="Q62" s="309"/>
      <c r="R62" s="309"/>
      <c r="S62" s="309"/>
    </row>
    <row r="63" customFormat="false" ht="12.75" hidden="false" customHeight="false" outlineLevel="0" collapsed="false">
      <c r="K63" s="288" t="n">
        <v>55</v>
      </c>
      <c r="L63" s="289" t="n">
        <f aca="false">-IF(SUMMARY!$D$21*12&gt;=K63,IPMT(SUMMARY!$D$22/12,K63,SUMMARY!$D$21*12,SUMMARY!$D$20),0)</f>
        <v>206.117692961062</v>
      </c>
      <c r="M63" s="289" t="n">
        <f aca="false">IF(SUMMARY!$D$21*12&gt;=K63,-PPMT(SUMMARY!$D$22/12,K63,SUMMARY!$D$21*12,SUMMARY!$D$20),0)</f>
        <v>56.7702651639007</v>
      </c>
      <c r="N63" s="290" t="n">
        <f aca="false">+M63+L63</f>
        <v>262.887958124963</v>
      </c>
      <c r="P63" s="308"/>
      <c r="Q63" s="309"/>
      <c r="R63" s="309"/>
      <c r="S63" s="309"/>
    </row>
    <row r="64" customFormat="false" ht="12.75" hidden="false" customHeight="false" outlineLevel="0" collapsed="false">
      <c r="K64" s="288" t="n">
        <v>56</v>
      </c>
      <c r="L64" s="289" t="n">
        <f aca="false">-IF(SUMMARY!$D$21*12&gt;=K64,IPMT(SUMMARY!$D$22/12,K64,SUMMARY!$D$21*12,SUMMARY!$D$20),0)</f>
        <v>205.762878803788</v>
      </c>
      <c r="M64" s="289" t="n">
        <f aca="false">IF(SUMMARY!$D$21*12&gt;=K64,-PPMT(SUMMARY!$D$22/12,K64,SUMMARY!$D$21*12,SUMMARY!$D$20),0)</f>
        <v>57.1250793211751</v>
      </c>
      <c r="N64" s="290" t="n">
        <f aca="false">+M64+L64</f>
        <v>262.887958124963</v>
      </c>
      <c r="P64" s="308"/>
      <c r="Q64" s="309"/>
      <c r="R64" s="309"/>
      <c r="S64" s="309"/>
    </row>
    <row r="65" customFormat="false" ht="12.75" hidden="false" customHeight="false" outlineLevel="0" collapsed="false">
      <c r="K65" s="288" t="n">
        <v>57</v>
      </c>
      <c r="L65" s="289" t="n">
        <f aca="false">-IF(SUMMARY!$D$21*12&gt;=K65,IPMT(SUMMARY!$D$22/12,K65,SUMMARY!$D$21*12,SUMMARY!$D$20),0)</f>
        <v>205.40584705803</v>
      </c>
      <c r="M65" s="289" t="n">
        <f aca="false">IF(SUMMARY!$D$21*12&gt;=K65,-PPMT(SUMMARY!$D$22/12,K65,SUMMARY!$D$21*12,SUMMARY!$D$20),0)</f>
        <v>57.4821110669325</v>
      </c>
      <c r="N65" s="290" t="n">
        <f aca="false">+M65+L65</f>
        <v>262.887958124963</v>
      </c>
      <c r="P65" s="308"/>
      <c r="Q65" s="309"/>
      <c r="R65" s="309"/>
      <c r="S65" s="309"/>
    </row>
    <row r="66" customFormat="false" ht="12.75" hidden="false" customHeight="false" outlineLevel="0" collapsed="false">
      <c r="K66" s="288" t="n">
        <v>58</v>
      </c>
      <c r="L66" s="289" t="n">
        <f aca="false">-IF(SUMMARY!$D$21*12&gt;=K66,IPMT(SUMMARY!$D$22/12,K66,SUMMARY!$D$21*12,SUMMARY!$D$20),0)</f>
        <v>205.046583863862</v>
      </c>
      <c r="M66" s="289" t="n">
        <f aca="false">IF(SUMMARY!$D$21*12&gt;=K66,-PPMT(SUMMARY!$D$22/12,K66,SUMMARY!$D$21*12,SUMMARY!$D$20),0)</f>
        <v>57.8413742611008</v>
      </c>
      <c r="N66" s="290" t="n">
        <f aca="false">+M66+L66</f>
        <v>262.887958124963</v>
      </c>
      <c r="P66" s="308"/>
      <c r="Q66" s="309"/>
      <c r="R66" s="309"/>
      <c r="S66" s="309"/>
    </row>
    <row r="67" customFormat="false" ht="12.75" hidden="false" customHeight="false" outlineLevel="0" collapsed="false">
      <c r="K67" s="288" t="n">
        <v>59</v>
      </c>
      <c r="L67" s="289" t="n">
        <f aca="false">-IF(SUMMARY!$D$21*12&gt;=K67,IPMT(SUMMARY!$D$22/12,K67,SUMMARY!$D$21*12,SUMMARY!$D$20),0)</f>
        <v>204.68507527473</v>
      </c>
      <c r="M67" s="289" t="n">
        <f aca="false">IF(SUMMARY!$D$21*12&gt;=K67,-PPMT(SUMMARY!$D$22/12,K67,SUMMARY!$D$21*12,SUMMARY!$D$20),0)</f>
        <v>58.2028828502327</v>
      </c>
      <c r="N67" s="290" t="n">
        <f aca="false">+M67+L67</f>
        <v>262.887958124963</v>
      </c>
      <c r="P67" s="308"/>
      <c r="Q67" s="309"/>
      <c r="R67" s="309"/>
      <c r="S67" s="309"/>
    </row>
    <row r="68" customFormat="false" ht="12.75" hidden="false" customHeight="false" outlineLevel="0" collapsed="false">
      <c r="K68" s="288" t="n">
        <v>60</v>
      </c>
      <c r="L68" s="289" t="n">
        <f aca="false">-IF(SUMMARY!$D$21*12&gt;=K68,IPMT(SUMMARY!$D$22/12,K68,SUMMARY!$D$21*12,SUMMARY!$D$20),0)</f>
        <v>204.321307256916</v>
      </c>
      <c r="M68" s="289" t="n">
        <f aca="false">IF(SUMMARY!$D$21*12&gt;=K68,-PPMT(SUMMARY!$D$22/12,K68,SUMMARY!$D$21*12,SUMMARY!$D$20),0)</f>
        <v>58.5666508680466</v>
      </c>
      <c r="N68" s="290" t="n">
        <f aca="false">+M68+L68</f>
        <v>262.887958124963</v>
      </c>
      <c r="P68" s="308"/>
      <c r="Q68" s="309"/>
      <c r="R68" s="309"/>
      <c r="S68" s="309"/>
    </row>
    <row r="69" customFormat="false" ht="12.75" hidden="false" customHeight="false" outlineLevel="0" collapsed="false">
      <c r="K69" s="288" t="n">
        <v>61</v>
      </c>
      <c r="L69" s="289" t="n">
        <f aca="false">-IF(SUMMARY!$D$21*12&gt;=K69,IPMT(SUMMARY!$D$22/12,K69,SUMMARY!$D$21*12,SUMMARY!$D$20),0)</f>
        <v>203.955265688991</v>
      </c>
      <c r="M69" s="289" t="n">
        <f aca="false">IF(SUMMARY!$D$21*12&gt;=K69,-PPMT(SUMMARY!$D$22/12,K69,SUMMARY!$D$21*12,SUMMARY!$D$20),0)</f>
        <v>58.9326924359719</v>
      </c>
      <c r="N69" s="290" t="n">
        <f aca="false">+M69+L69</f>
        <v>262.887958124963</v>
      </c>
      <c r="P69" s="308"/>
      <c r="Q69" s="309"/>
      <c r="R69" s="309"/>
      <c r="S69" s="309"/>
    </row>
    <row r="70" customFormat="false" ht="12.75" hidden="false" customHeight="false" outlineLevel="0" collapsed="false">
      <c r="K70" s="288" t="n">
        <v>62</v>
      </c>
      <c r="L70" s="289" t="n">
        <f aca="false">-IF(SUMMARY!$D$21*12&gt;=K70,IPMT(SUMMARY!$D$22/12,K70,SUMMARY!$D$21*12,SUMMARY!$D$20),0)</f>
        <v>203.586936361266</v>
      </c>
      <c r="M70" s="289" t="n">
        <f aca="false">IF(SUMMARY!$D$21*12&gt;=K70,-PPMT(SUMMARY!$D$22/12,K70,SUMMARY!$D$21*12,SUMMARY!$D$20),0)</f>
        <v>59.3010217636968</v>
      </c>
      <c r="N70" s="290" t="n">
        <f aca="false">+M70+L70</f>
        <v>262.887958124963</v>
      </c>
      <c r="P70" s="308"/>
      <c r="Q70" s="309"/>
      <c r="R70" s="309"/>
      <c r="S70" s="309"/>
    </row>
    <row r="71" customFormat="false" ht="12.75" hidden="false" customHeight="false" outlineLevel="0" collapsed="false">
      <c r="K71" s="288" t="n">
        <v>63</v>
      </c>
      <c r="L71" s="289" t="n">
        <f aca="false">-IF(SUMMARY!$D$21*12&gt;=K71,IPMT(SUMMARY!$D$22/12,K71,SUMMARY!$D$21*12,SUMMARY!$D$20),0)</f>
        <v>203.216304975243</v>
      </c>
      <c r="M71" s="289" t="n">
        <f aca="false">IF(SUMMARY!$D$21*12&gt;=K71,-PPMT(SUMMARY!$D$22/12,K71,SUMMARY!$D$21*12,SUMMARY!$D$20),0)</f>
        <v>59.6716531497199</v>
      </c>
      <c r="N71" s="290" t="n">
        <f aca="false">+M71+L71</f>
        <v>262.887958124963</v>
      </c>
      <c r="P71" s="308"/>
      <c r="Q71" s="309"/>
      <c r="R71" s="309"/>
      <c r="S71" s="309"/>
    </row>
    <row r="72" customFormat="false" ht="12.75" hidden="false" customHeight="false" outlineLevel="0" collapsed="false">
      <c r="K72" s="288" t="n">
        <v>64</v>
      </c>
      <c r="L72" s="289" t="n">
        <f aca="false">-IF(SUMMARY!$D$21*12&gt;=K72,IPMT(SUMMARY!$D$22/12,K72,SUMMARY!$D$21*12,SUMMARY!$D$20),0)</f>
        <v>202.843357143057</v>
      </c>
      <c r="M72" s="289" t="n">
        <f aca="false">IF(SUMMARY!$D$21*12&gt;=K72,-PPMT(SUMMARY!$D$22/12,K72,SUMMARY!$D$21*12,SUMMARY!$D$20),0)</f>
        <v>60.0446009819056</v>
      </c>
      <c r="N72" s="290" t="n">
        <f aca="false">+M72+L72</f>
        <v>262.887958124963</v>
      </c>
      <c r="P72" s="308"/>
      <c r="Q72" s="309"/>
      <c r="R72" s="309"/>
      <c r="S72" s="309"/>
    </row>
    <row r="73" customFormat="false" ht="12.75" hidden="false" customHeight="false" outlineLevel="0" collapsed="false">
      <c r="K73" s="288" t="n">
        <v>65</v>
      </c>
      <c r="L73" s="289" t="n">
        <f aca="false">-IF(SUMMARY!$D$21*12&gt;=K73,IPMT(SUMMARY!$D$22/12,K73,SUMMARY!$D$21*12,SUMMARY!$D$20),0)</f>
        <v>202.46807838692</v>
      </c>
      <c r="M73" s="289" t="n">
        <f aca="false">IF(SUMMARY!$D$21*12&gt;=K73,-PPMT(SUMMARY!$D$22/12,K73,SUMMARY!$D$21*12,SUMMARY!$D$20),0)</f>
        <v>60.4198797380425</v>
      </c>
      <c r="N73" s="290" t="n">
        <f aca="false">+M73+L73</f>
        <v>262.887958124963</v>
      </c>
      <c r="P73" s="308"/>
      <c r="Q73" s="309"/>
      <c r="R73" s="309"/>
      <c r="S73" s="309"/>
    </row>
    <row r="74" customFormat="false" ht="12.75" hidden="false" customHeight="false" outlineLevel="0" collapsed="false">
      <c r="K74" s="288" t="n">
        <v>66</v>
      </c>
      <c r="L74" s="289" t="n">
        <f aca="false">-IF(SUMMARY!$D$21*12&gt;=K74,IPMT(SUMMARY!$D$22/12,K74,SUMMARY!$D$21*12,SUMMARY!$D$20),0)</f>
        <v>202.090454138558</v>
      </c>
      <c r="M74" s="289" t="n">
        <f aca="false">IF(SUMMARY!$D$21*12&gt;=K74,-PPMT(SUMMARY!$D$22/12,K74,SUMMARY!$D$21*12,SUMMARY!$D$20),0)</f>
        <v>60.7975039864053</v>
      </c>
      <c r="N74" s="290" t="n">
        <f aca="false">+M74+L74</f>
        <v>262.887958124963</v>
      </c>
      <c r="P74" s="308"/>
      <c r="Q74" s="309"/>
      <c r="R74" s="309"/>
      <c r="S74" s="309"/>
    </row>
    <row r="75" customFormat="false" ht="12.75" hidden="false" customHeight="false" outlineLevel="0" collapsed="false">
      <c r="K75" s="288" t="n">
        <v>67</v>
      </c>
      <c r="L75" s="289" t="n">
        <f aca="false">-IF(SUMMARY!$D$21*12&gt;=K75,IPMT(SUMMARY!$D$22/12,K75,SUMMARY!$D$21*12,SUMMARY!$D$20),0)</f>
        <v>201.710469738643</v>
      </c>
      <c r="M75" s="289" t="n">
        <f aca="false">IF(SUMMARY!$D$21*12&gt;=K75,-PPMT(SUMMARY!$D$22/12,K75,SUMMARY!$D$21*12,SUMMARY!$D$20),0)</f>
        <v>61.1774883863203</v>
      </c>
      <c r="N75" s="290" t="n">
        <f aca="false">+M75+L75</f>
        <v>262.887958124963</v>
      </c>
      <c r="P75" s="308"/>
      <c r="Q75" s="309"/>
      <c r="R75" s="309"/>
      <c r="S75" s="309"/>
    </row>
    <row r="76" customFormat="false" ht="12.75" hidden="false" customHeight="false" outlineLevel="0" collapsed="false">
      <c r="K76" s="288" t="n">
        <v>68</v>
      </c>
      <c r="L76" s="289" t="n">
        <f aca="false">-IF(SUMMARY!$D$21*12&gt;=K76,IPMT(SUMMARY!$D$22/12,K76,SUMMARY!$D$21*12,SUMMARY!$D$20),0)</f>
        <v>201.328110436228</v>
      </c>
      <c r="M76" s="289" t="n">
        <f aca="false">IF(SUMMARY!$D$21*12&gt;=K76,-PPMT(SUMMARY!$D$22/12,K76,SUMMARY!$D$21*12,SUMMARY!$D$20),0)</f>
        <v>61.5598476887349</v>
      </c>
      <c r="N76" s="290" t="n">
        <f aca="false">+M76+L76</f>
        <v>262.887958124963</v>
      </c>
      <c r="P76" s="308"/>
      <c r="Q76" s="309"/>
      <c r="R76" s="309"/>
      <c r="S76" s="309"/>
    </row>
    <row r="77" customFormat="false" ht="12.75" hidden="false" customHeight="false" outlineLevel="0" collapsed="false">
      <c r="K77" s="288" t="n">
        <v>69</v>
      </c>
      <c r="L77" s="289" t="n">
        <f aca="false">-IF(SUMMARY!$D$21*12&gt;=K77,IPMT(SUMMARY!$D$22/12,K77,SUMMARY!$D$21*12,SUMMARY!$D$20),0)</f>
        <v>200.943361388173</v>
      </c>
      <c r="M77" s="289" t="n">
        <f aca="false">IF(SUMMARY!$D$21*12&gt;=K77,-PPMT(SUMMARY!$D$22/12,K77,SUMMARY!$D$21*12,SUMMARY!$D$20),0)</f>
        <v>61.9445967367895</v>
      </c>
      <c r="N77" s="290" t="n">
        <f aca="false">+M77+L77</f>
        <v>262.887958124963</v>
      </c>
      <c r="P77" s="308"/>
      <c r="Q77" s="309"/>
      <c r="R77" s="309"/>
      <c r="S77" s="309"/>
    </row>
    <row r="78" customFormat="false" ht="12.75" hidden="false" customHeight="false" outlineLevel="0" collapsed="false">
      <c r="K78" s="288" t="n">
        <v>70</v>
      </c>
      <c r="L78" s="289" t="n">
        <f aca="false">-IF(SUMMARY!$D$21*12&gt;=K78,IPMT(SUMMARY!$D$22/12,K78,SUMMARY!$D$21*12,SUMMARY!$D$20),0)</f>
        <v>200.556207658568</v>
      </c>
      <c r="M78" s="289" t="n">
        <f aca="false">IF(SUMMARY!$D$21*12&gt;=K78,-PPMT(SUMMARY!$D$22/12,K78,SUMMARY!$D$21*12,SUMMARY!$D$20),0)</f>
        <v>62.3317504663944</v>
      </c>
      <c r="N78" s="290" t="n">
        <f aca="false">+M78+L78</f>
        <v>262.887958124963</v>
      </c>
      <c r="P78" s="308"/>
      <c r="Q78" s="309"/>
      <c r="R78" s="309"/>
      <c r="S78" s="309"/>
    </row>
    <row r="79" customFormat="false" ht="12.75" hidden="false" customHeight="false" outlineLevel="0" collapsed="false">
      <c r="K79" s="288" t="n">
        <v>71</v>
      </c>
      <c r="L79" s="289" t="n">
        <f aca="false">-IF(SUMMARY!$D$21*12&gt;=K79,IPMT(SUMMARY!$D$22/12,K79,SUMMARY!$D$21*12,SUMMARY!$D$20),0)</f>
        <v>200.166634218153</v>
      </c>
      <c r="M79" s="289" t="n">
        <f aca="false">IF(SUMMARY!$D$21*12&gt;=K79,-PPMT(SUMMARY!$D$22/12,K79,SUMMARY!$D$21*12,SUMMARY!$D$20),0)</f>
        <v>62.7213239068094</v>
      </c>
      <c r="N79" s="290" t="n">
        <f aca="false">+M79+L79</f>
        <v>262.887958124963</v>
      </c>
      <c r="P79" s="308"/>
      <c r="Q79" s="309"/>
      <c r="R79" s="309"/>
      <c r="S79" s="309"/>
    </row>
    <row r="80" customFormat="false" ht="12.75" hidden="false" customHeight="false" outlineLevel="0" collapsed="false">
      <c r="K80" s="288" t="n">
        <v>72</v>
      </c>
      <c r="L80" s="289" t="n">
        <f aca="false">-IF(SUMMARY!$D$21*12&gt;=K80,IPMT(SUMMARY!$D$22/12,K80,SUMMARY!$D$21*12,SUMMARY!$D$20),0)</f>
        <v>199.774625943736</v>
      </c>
      <c r="M80" s="289" t="n">
        <f aca="false">IF(SUMMARY!$D$21*12&gt;=K80,-PPMT(SUMMARY!$D$22/12,K80,SUMMARY!$D$21*12,SUMMARY!$D$20),0)</f>
        <v>63.113332181227</v>
      </c>
      <c r="N80" s="290" t="n">
        <f aca="false">+M80+L80</f>
        <v>262.887958124963</v>
      </c>
      <c r="P80" s="308"/>
      <c r="Q80" s="309"/>
      <c r="R80" s="309"/>
      <c r="S80" s="309"/>
    </row>
    <row r="81" customFormat="false" ht="12.75" hidden="false" customHeight="false" outlineLevel="0" collapsed="false">
      <c r="K81" s="288" t="n">
        <v>73</v>
      </c>
      <c r="L81" s="289" t="n">
        <f aca="false">-IF(SUMMARY!$D$21*12&gt;=K81,IPMT(SUMMARY!$D$22/12,K81,SUMMARY!$D$21*12,SUMMARY!$D$20),0)</f>
        <v>199.380167617603</v>
      </c>
      <c r="M81" s="289" t="n">
        <f aca="false">IF(SUMMARY!$D$21*12&gt;=K81,-PPMT(SUMMARY!$D$22/12,K81,SUMMARY!$D$21*12,SUMMARY!$D$20),0)</f>
        <v>63.5077905073596</v>
      </c>
      <c r="N81" s="290" t="n">
        <f aca="false">+M81+L81</f>
        <v>262.887958124963</v>
      </c>
      <c r="P81" s="308"/>
      <c r="Q81" s="309"/>
      <c r="R81" s="309"/>
      <c r="S81" s="309"/>
    </row>
    <row r="82" customFormat="false" ht="12.75" hidden="false" customHeight="false" outlineLevel="0" collapsed="false">
      <c r="K82" s="288" t="n">
        <v>74</v>
      </c>
      <c r="L82" s="289" t="n">
        <f aca="false">-IF(SUMMARY!$D$21*12&gt;=K82,IPMT(SUMMARY!$D$22/12,K82,SUMMARY!$D$21*12,SUMMARY!$D$20),0)</f>
        <v>198.983243926932</v>
      </c>
      <c r="M82" s="289" t="n">
        <f aca="false">IF(SUMMARY!$D$21*12&gt;=K82,-PPMT(SUMMARY!$D$22/12,K82,SUMMARY!$D$21*12,SUMMARY!$D$20),0)</f>
        <v>63.9047141980306</v>
      </c>
      <c r="N82" s="290" t="n">
        <f aca="false">+M82+L82</f>
        <v>262.887958124963</v>
      </c>
      <c r="P82" s="308"/>
      <c r="Q82" s="309"/>
      <c r="R82" s="309"/>
      <c r="S82" s="309"/>
    </row>
    <row r="83" customFormat="false" ht="12.75" hidden="false" customHeight="false" outlineLevel="0" collapsed="false">
      <c r="K83" s="288" t="n">
        <v>75</v>
      </c>
      <c r="L83" s="289" t="n">
        <f aca="false">-IF(SUMMARY!$D$21*12&gt;=K83,IPMT(SUMMARY!$D$22/12,K83,SUMMARY!$D$21*12,SUMMARY!$D$20),0)</f>
        <v>198.583839463195</v>
      </c>
      <c r="M83" s="289" t="n">
        <f aca="false">IF(SUMMARY!$D$21*12&gt;=K83,-PPMT(SUMMARY!$D$22/12,K83,SUMMARY!$D$21*12,SUMMARY!$D$20),0)</f>
        <v>64.3041186617683</v>
      </c>
      <c r="N83" s="290" t="n">
        <f aca="false">+M83+L83</f>
        <v>262.887958124963</v>
      </c>
      <c r="P83" s="308"/>
      <c r="Q83" s="309"/>
      <c r="R83" s="309"/>
      <c r="S83" s="309"/>
    </row>
    <row r="84" customFormat="false" ht="12.75" hidden="false" customHeight="false" outlineLevel="0" collapsed="false">
      <c r="K84" s="288" t="n">
        <v>76</v>
      </c>
      <c r="L84" s="289" t="n">
        <f aca="false">-IF(SUMMARY!$D$21*12&gt;=K84,IPMT(SUMMARY!$D$22/12,K84,SUMMARY!$D$21*12,SUMMARY!$D$20),0)</f>
        <v>198.181938721558</v>
      </c>
      <c r="M84" s="289" t="n">
        <f aca="false">IF(SUMMARY!$D$21*12&gt;=K84,-PPMT(SUMMARY!$D$22/12,K84,SUMMARY!$D$21*12,SUMMARY!$D$20),0)</f>
        <v>64.7060194034044</v>
      </c>
      <c r="N84" s="290" t="n">
        <f aca="false">+M84+L84</f>
        <v>262.887958124963</v>
      </c>
      <c r="P84" s="308"/>
      <c r="Q84" s="309"/>
      <c r="R84" s="309"/>
      <c r="S84" s="309"/>
    </row>
    <row r="85" customFormat="false" ht="12.75" hidden="false" customHeight="false" outlineLevel="0" collapsed="false">
      <c r="K85" s="288" t="n">
        <v>77</v>
      </c>
      <c r="L85" s="289" t="n">
        <f aca="false">-IF(SUMMARY!$D$21*12&gt;=K85,IPMT(SUMMARY!$D$22/12,K85,SUMMARY!$D$21*12,SUMMARY!$D$20),0)</f>
        <v>197.777526100287</v>
      </c>
      <c r="M85" s="289" t="n">
        <f aca="false">IF(SUMMARY!$D$21*12&gt;=K85,-PPMT(SUMMARY!$D$22/12,K85,SUMMARY!$D$21*12,SUMMARY!$D$20),0)</f>
        <v>65.1104320246757</v>
      </c>
      <c r="N85" s="290" t="n">
        <f aca="false">+M85+L85</f>
        <v>262.887958124963</v>
      </c>
      <c r="P85" s="308"/>
      <c r="Q85" s="309"/>
      <c r="R85" s="309"/>
      <c r="S85" s="309"/>
    </row>
    <row r="86" customFormat="false" ht="12.75" hidden="false" customHeight="false" outlineLevel="0" collapsed="false">
      <c r="K86" s="288" t="n">
        <v>78</v>
      </c>
      <c r="L86" s="289" t="n">
        <f aca="false">-IF(SUMMARY!$D$21*12&gt;=K86,IPMT(SUMMARY!$D$22/12,K86,SUMMARY!$D$21*12,SUMMARY!$D$20),0)</f>
        <v>197.370585900133</v>
      </c>
      <c r="M86" s="289" t="n">
        <f aca="false">IF(SUMMARY!$D$21*12&gt;=K86,-PPMT(SUMMARY!$D$22/12,K86,SUMMARY!$D$21*12,SUMMARY!$D$20),0)</f>
        <v>65.5173722248299</v>
      </c>
      <c r="N86" s="290" t="n">
        <f aca="false">+M86+L86</f>
        <v>262.887958124963</v>
      </c>
      <c r="P86" s="308"/>
      <c r="Q86" s="309"/>
      <c r="R86" s="309"/>
      <c r="S86" s="309"/>
    </row>
    <row r="87" customFormat="false" ht="12.75" hidden="false" customHeight="false" outlineLevel="0" collapsed="false">
      <c r="K87" s="288" t="n">
        <v>79</v>
      </c>
      <c r="L87" s="289" t="n">
        <f aca="false">-IF(SUMMARY!$D$21*12&gt;=K87,IPMT(SUMMARY!$D$22/12,K87,SUMMARY!$D$21*12,SUMMARY!$D$20),0)</f>
        <v>196.961102323728</v>
      </c>
      <c r="M87" s="289" t="n">
        <f aca="false">IF(SUMMARY!$D$21*12&gt;=K87,-PPMT(SUMMARY!$D$22/12,K87,SUMMARY!$D$21*12,SUMMARY!$D$20),0)</f>
        <v>65.9268558012351</v>
      </c>
      <c r="N87" s="290" t="n">
        <f aca="false">+M87+L87</f>
        <v>262.887958124963</v>
      </c>
      <c r="P87" s="308"/>
      <c r="Q87" s="309"/>
      <c r="R87" s="309"/>
      <c r="S87" s="309"/>
    </row>
    <row r="88" customFormat="false" ht="12.75" hidden="false" customHeight="false" outlineLevel="0" collapsed="false">
      <c r="K88" s="288" t="n">
        <v>80</v>
      </c>
      <c r="L88" s="289" t="n">
        <f aca="false">-IF(SUMMARY!$D$21*12&gt;=K88,IPMT(SUMMARY!$D$22/12,K88,SUMMARY!$D$21*12,SUMMARY!$D$20),0)</f>
        <v>196.54905947497</v>
      </c>
      <c r="M88" s="289" t="n">
        <f aca="false">IF(SUMMARY!$D$21*12&gt;=K88,-PPMT(SUMMARY!$D$22/12,K88,SUMMARY!$D$21*12,SUMMARY!$D$20),0)</f>
        <v>66.3388986499928</v>
      </c>
      <c r="N88" s="290" t="n">
        <f aca="false">+M88+L88</f>
        <v>262.887958124963</v>
      </c>
      <c r="P88" s="308"/>
      <c r="Q88" s="309"/>
      <c r="R88" s="309"/>
      <c r="S88" s="309"/>
    </row>
    <row r="89" customFormat="false" ht="12.75" hidden="false" customHeight="false" outlineLevel="0" collapsed="false">
      <c r="K89" s="288" t="n">
        <v>81</v>
      </c>
      <c r="L89" s="289" t="n">
        <f aca="false">-IF(SUMMARY!$D$21*12&gt;=K89,IPMT(SUMMARY!$D$22/12,K89,SUMMARY!$D$21*12,SUMMARY!$D$20),0)</f>
        <v>196.134441358408</v>
      </c>
      <c r="M89" s="289" t="n">
        <f aca="false">IF(SUMMARY!$D$21*12&gt;=K89,-PPMT(SUMMARY!$D$22/12,K89,SUMMARY!$D$21*12,SUMMARY!$D$20),0)</f>
        <v>66.7535167665553</v>
      </c>
      <c r="N89" s="290" t="n">
        <f aca="false">+M89+L89</f>
        <v>262.887958124963</v>
      </c>
      <c r="P89" s="308"/>
      <c r="Q89" s="309"/>
      <c r="R89" s="309"/>
      <c r="S89" s="309"/>
    </row>
    <row r="90" customFormat="false" ht="12.75" hidden="false" customHeight="false" outlineLevel="0" collapsed="false">
      <c r="K90" s="288" t="n">
        <v>82</v>
      </c>
      <c r="L90" s="289" t="n">
        <f aca="false">-IF(SUMMARY!$D$21*12&gt;=K90,IPMT(SUMMARY!$D$22/12,K90,SUMMARY!$D$21*12,SUMMARY!$D$20),0)</f>
        <v>195.717231878617</v>
      </c>
      <c r="M90" s="289" t="n">
        <f aca="false">IF(SUMMARY!$D$21*12&gt;=K90,-PPMT(SUMMARY!$D$22/12,K90,SUMMARY!$D$21*12,SUMMARY!$D$20),0)</f>
        <v>67.1707262463462</v>
      </c>
      <c r="N90" s="290" t="n">
        <f aca="false">+M90+L90</f>
        <v>262.887958124963</v>
      </c>
      <c r="P90" s="308"/>
      <c r="Q90" s="309"/>
      <c r="R90" s="309"/>
      <c r="S90" s="309"/>
    </row>
    <row r="91" customFormat="false" ht="12.75" hidden="false" customHeight="false" outlineLevel="0" collapsed="false">
      <c r="K91" s="288" t="n">
        <v>83</v>
      </c>
      <c r="L91" s="289" t="n">
        <f aca="false">-IF(SUMMARY!$D$21*12&gt;=K91,IPMT(SUMMARY!$D$22/12,K91,SUMMARY!$D$21*12,SUMMARY!$D$20),0)</f>
        <v>195.297414839577</v>
      </c>
      <c r="M91" s="289" t="n">
        <f aca="false">IF(SUMMARY!$D$21*12&gt;=K91,-PPMT(SUMMARY!$D$22/12,K91,SUMMARY!$D$21*12,SUMMARY!$D$20),0)</f>
        <v>67.5905432853859</v>
      </c>
      <c r="N91" s="290" t="n">
        <f aca="false">+M91+L91</f>
        <v>262.887958124963</v>
      </c>
      <c r="P91" s="308"/>
      <c r="Q91" s="309"/>
      <c r="R91" s="309"/>
      <c r="S91" s="309"/>
    </row>
    <row r="92" customFormat="false" ht="12.75" hidden="false" customHeight="false" outlineLevel="0" collapsed="false">
      <c r="K92" s="288" t="n">
        <v>84</v>
      </c>
      <c r="L92" s="289" t="n">
        <f aca="false">-IF(SUMMARY!$D$21*12&gt;=K92,IPMT(SUMMARY!$D$22/12,K92,SUMMARY!$D$21*12,SUMMARY!$D$20),0)</f>
        <v>194.874973944043</v>
      </c>
      <c r="M92" s="289" t="n">
        <f aca="false">IF(SUMMARY!$D$21*12&gt;=K92,-PPMT(SUMMARY!$D$22/12,K92,SUMMARY!$D$21*12,SUMMARY!$D$20),0)</f>
        <v>68.0129841809196</v>
      </c>
      <c r="N92" s="290" t="n">
        <f aca="false">+M92+L92</f>
        <v>262.887958124963</v>
      </c>
      <c r="P92" s="308"/>
      <c r="Q92" s="309"/>
      <c r="R92" s="309"/>
      <c r="S92" s="309"/>
    </row>
    <row r="93" customFormat="false" ht="12.75" hidden="false" customHeight="false" outlineLevel="0" collapsed="false">
      <c r="K93" s="288" t="n">
        <v>85</v>
      </c>
      <c r="L93" s="289" t="n">
        <f aca="false">-IF(SUMMARY!$D$21*12&gt;=K93,IPMT(SUMMARY!$D$22/12,K93,SUMMARY!$D$21*12,SUMMARY!$D$20),0)</f>
        <v>194.449892792913</v>
      </c>
      <c r="M93" s="289" t="n">
        <f aca="false">IF(SUMMARY!$D$21*12&gt;=K93,-PPMT(SUMMARY!$D$22/12,K93,SUMMARY!$D$21*12,SUMMARY!$D$20),0)</f>
        <v>68.4380653320503</v>
      </c>
      <c r="N93" s="290" t="n">
        <f aca="false">+M93+L93</f>
        <v>262.887958124963</v>
      </c>
      <c r="P93" s="308"/>
      <c r="Q93" s="309"/>
      <c r="R93" s="309"/>
      <c r="S93" s="309"/>
    </row>
    <row r="94" customFormat="false" ht="12.75" hidden="false" customHeight="false" outlineLevel="0" collapsed="false">
      <c r="K94" s="288" t="n">
        <v>86</v>
      </c>
      <c r="L94" s="289" t="n">
        <f aca="false">-IF(SUMMARY!$D$21*12&gt;=K94,IPMT(SUMMARY!$D$22/12,K94,SUMMARY!$D$21*12,SUMMARY!$D$20),0)</f>
        <v>194.022154884587</v>
      </c>
      <c r="M94" s="289" t="n">
        <f aca="false">IF(SUMMARY!$D$21*12&gt;=K94,-PPMT(SUMMARY!$D$22/12,K94,SUMMARY!$D$21*12,SUMMARY!$D$20),0)</f>
        <v>68.8658032403756</v>
      </c>
      <c r="N94" s="290" t="n">
        <f aca="false">+M94+L94</f>
        <v>262.887958124963</v>
      </c>
      <c r="P94" s="308"/>
      <c r="Q94" s="309"/>
      <c r="R94" s="309"/>
      <c r="S94" s="309"/>
    </row>
    <row r="95" customFormat="false" ht="12.75" hidden="false" customHeight="false" outlineLevel="0" collapsed="false">
      <c r="K95" s="288" t="n">
        <v>87</v>
      </c>
      <c r="L95" s="289" t="n">
        <f aca="false">-IF(SUMMARY!$D$21*12&gt;=K95,IPMT(SUMMARY!$D$22/12,K95,SUMMARY!$D$21*12,SUMMARY!$D$20),0)</f>
        <v>193.591743614335</v>
      </c>
      <c r="M95" s="289" t="n">
        <f aca="false">IF(SUMMARY!$D$21*12&gt;=K95,-PPMT(SUMMARY!$D$22/12,K95,SUMMARY!$D$21*12,SUMMARY!$D$20),0)</f>
        <v>69.296214510628</v>
      </c>
      <c r="N95" s="290" t="n">
        <f aca="false">+M95+L95</f>
        <v>262.887958124963</v>
      </c>
      <c r="P95" s="308"/>
      <c r="Q95" s="309"/>
      <c r="R95" s="309"/>
      <c r="S95" s="309"/>
    </row>
    <row r="96" customFormat="false" ht="12.75" hidden="false" customHeight="false" outlineLevel="0" collapsed="false">
      <c r="K96" s="288" t="n">
        <v>88</v>
      </c>
      <c r="L96" s="289" t="n">
        <f aca="false">-IF(SUMMARY!$D$21*12&gt;=K96,IPMT(SUMMARY!$D$22/12,K96,SUMMARY!$D$21*12,SUMMARY!$D$20),0)</f>
        <v>193.158642273643</v>
      </c>
      <c r="M96" s="289" t="n">
        <f aca="false">IF(SUMMARY!$D$21*12&gt;=K96,-PPMT(SUMMARY!$D$22/12,K96,SUMMARY!$D$21*12,SUMMARY!$D$20),0)</f>
        <v>69.7293158513195</v>
      </c>
      <c r="N96" s="290" t="n">
        <f aca="false">+M96+L96</f>
        <v>262.887958124963</v>
      </c>
      <c r="P96" s="308"/>
      <c r="Q96" s="309"/>
      <c r="R96" s="309"/>
      <c r="S96" s="309"/>
    </row>
    <row r="97" customFormat="false" ht="12.75" hidden="false" customHeight="false" outlineLevel="0" collapsed="false">
      <c r="K97" s="288" t="n">
        <v>89</v>
      </c>
      <c r="L97" s="289" t="n">
        <f aca="false">-IF(SUMMARY!$D$21*12&gt;=K97,IPMT(SUMMARY!$D$22/12,K97,SUMMARY!$D$21*12,SUMMARY!$D$20),0)</f>
        <v>192.722834049573</v>
      </c>
      <c r="M97" s="289" t="n">
        <f aca="false">IF(SUMMARY!$D$21*12&gt;=K97,-PPMT(SUMMARY!$D$22/12,K97,SUMMARY!$D$21*12,SUMMARY!$D$20),0)</f>
        <v>70.1651240753902</v>
      </c>
      <c r="N97" s="290" t="n">
        <f aca="false">+M97+L97</f>
        <v>262.887958124963</v>
      </c>
      <c r="P97" s="308"/>
      <c r="Q97" s="309"/>
      <c r="R97" s="309"/>
      <c r="S97" s="309"/>
    </row>
    <row r="98" customFormat="false" ht="12.75" hidden="false" customHeight="false" outlineLevel="0" collapsed="false">
      <c r="K98" s="288" t="n">
        <v>90</v>
      </c>
      <c r="L98" s="289" t="n">
        <f aca="false">-IF(SUMMARY!$D$21*12&gt;=K98,IPMT(SUMMARY!$D$22/12,K98,SUMMARY!$D$21*12,SUMMARY!$D$20),0)</f>
        <v>192.284302024101</v>
      </c>
      <c r="M98" s="289" t="n">
        <f aca="false">IF(SUMMARY!$D$21*12&gt;=K98,-PPMT(SUMMARY!$D$22/12,K98,SUMMARY!$D$21*12,SUMMARY!$D$20),0)</f>
        <v>70.6036561008614</v>
      </c>
      <c r="N98" s="290" t="n">
        <f aca="false">+M98+L98</f>
        <v>262.887958124963</v>
      </c>
      <c r="P98" s="308"/>
      <c r="Q98" s="309"/>
      <c r="R98" s="309"/>
      <c r="S98" s="309"/>
    </row>
    <row r="99" customFormat="false" ht="12.75" hidden="false" customHeight="false" outlineLevel="0" collapsed="false">
      <c r="K99" s="288" t="n">
        <v>91</v>
      </c>
      <c r="L99" s="289" t="n">
        <f aca="false">-IF(SUMMARY!$D$21*12&gt;=K99,IPMT(SUMMARY!$D$22/12,K99,SUMMARY!$D$21*12,SUMMARY!$D$20),0)</f>
        <v>191.843029173471</v>
      </c>
      <c r="M99" s="289" t="n">
        <f aca="false">IF(SUMMARY!$D$21*12&gt;=K99,-PPMT(SUMMARY!$D$22/12,K99,SUMMARY!$D$21*12,SUMMARY!$D$20),0)</f>
        <v>71.0449289514918</v>
      </c>
      <c r="N99" s="290" t="n">
        <f aca="false">+M99+L99</f>
        <v>262.887958124963</v>
      </c>
      <c r="P99" s="308"/>
      <c r="Q99" s="309"/>
      <c r="R99" s="309"/>
      <c r="S99" s="309"/>
    </row>
    <row r="100" customFormat="false" ht="12.75" hidden="false" customHeight="false" outlineLevel="0" collapsed="false">
      <c r="K100" s="288" t="n">
        <v>92</v>
      </c>
      <c r="L100" s="289" t="n">
        <f aca="false">-IF(SUMMARY!$D$21*12&gt;=K100,IPMT(SUMMARY!$D$22/12,K100,SUMMARY!$D$21*12,SUMMARY!$D$20),0)</f>
        <v>191.398998367524</v>
      </c>
      <c r="M100" s="289" t="n">
        <f aca="false">IF(SUMMARY!$D$21*12&gt;=K100,-PPMT(SUMMARY!$D$22/12,K100,SUMMARY!$D$21*12,SUMMARY!$D$20),0)</f>
        <v>71.4889597574386</v>
      </c>
      <c r="N100" s="290" t="n">
        <f aca="false">+M100+L100</f>
        <v>262.887958124963</v>
      </c>
      <c r="P100" s="308"/>
      <c r="Q100" s="309"/>
      <c r="R100" s="309"/>
      <c r="S100" s="309"/>
    </row>
    <row r="101" customFormat="false" ht="12.75" hidden="false" customHeight="false" outlineLevel="0" collapsed="false">
      <c r="K101" s="288" t="n">
        <v>93</v>
      </c>
      <c r="L101" s="289" t="n">
        <f aca="false">-IF(SUMMARY!$D$21*12&gt;=K101,IPMT(SUMMARY!$D$22/12,K101,SUMMARY!$D$21*12,SUMMARY!$D$20),0)</f>
        <v>190.95219236904</v>
      </c>
      <c r="M101" s="289" t="n">
        <f aca="false">IF(SUMMARY!$D$21*12&gt;=K101,-PPMT(SUMMARY!$D$22/12,K101,SUMMARY!$D$21*12,SUMMARY!$D$20),0)</f>
        <v>71.9357657559226</v>
      </c>
      <c r="N101" s="290" t="n">
        <f aca="false">+M101+L101</f>
        <v>262.887958124963</v>
      </c>
      <c r="P101" s="308"/>
      <c r="Q101" s="309"/>
      <c r="R101" s="309"/>
      <c r="S101" s="309"/>
    </row>
    <row r="102" customFormat="false" ht="12.75" hidden="false" customHeight="false" outlineLevel="0" collapsed="false">
      <c r="K102" s="288" t="n">
        <v>94</v>
      </c>
      <c r="L102" s="289" t="n">
        <f aca="false">-IF(SUMMARY!$D$21*12&gt;=K102,IPMT(SUMMARY!$D$22/12,K102,SUMMARY!$D$21*12,SUMMARY!$D$20),0)</f>
        <v>190.502593833066</v>
      </c>
      <c r="M102" s="289" t="n">
        <f aca="false">IF(SUMMARY!$D$21*12&gt;=K102,-PPMT(SUMMARY!$D$22/12,K102,SUMMARY!$D$21*12,SUMMARY!$D$20),0)</f>
        <v>72.3853642918972</v>
      </c>
      <c r="N102" s="290" t="n">
        <f aca="false">+M102+L102</f>
        <v>262.887958124963</v>
      </c>
      <c r="P102" s="308"/>
      <c r="Q102" s="309"/>
      <c r="R102" s="309"/>
      <c r="S102" s="309"/>
    </row>
    <row r="103" customFormat="false" ht="12.75" hidden="false" customHeight="false" outlineLevel="0" collapsed="false">
      <c r="K103" s="288" t="n">
        <v>95</v>
      </c>
      <c r="L103" s="289" t="n">
        <f aca="false">-IF(SUMMARY!$D$21*12&gt;=K103,IPMT(SUMMARY!$D$22/12,K103,SUMMARY!$D$21*12,SUMMARY!$D$20),0)</f>
        <v>190.050185306241</v>
      </c>
      <c r="M103" s="289" t="n">
        <f aca="false">IF(SUMMARY!$D$21*12&gt;=K103,-PPMT(SUMMARY!$D$22/12,K103,SUMMARY!$D$21*12,SUMMARY!$D$20),0)</f>
        <v>72.8377728187215</v>
      </c>
      <c r="N103" s="290" t="n">
        <f aca="false">+M103+L103</f>
        <v>262.887958124963</v>
      </c>
      <c r="P103" s="308"/>
      <c r="Q103" s="309"/>
      <c r="R103" s="309"/>
      <c r="S103" s="309"/>
    </row>
    <row r="104" customFormat="false" ht="12.75" hidden="false" customHeight="false" outlineLevel="0" collapsed="false">
      <c r="K104" s="288" t="n">
        <v>96</v>
      </c>
      <c r="L104" s="289" t="n">
        <f aca="false">-IF(SUMMARY!$D$21*12&gt;=K104,IPMT(SUMMARY!$D$22/12,K104,SUMMARY!$D$21*12,SUMMARY!$D$20),0)</f>
        <v>189.594949226124</v>
      </c>
      <c r="M104" s="289" t="n">
        <f aca="false">IF(SUMMARY!$D$21*12&gt;=K104,-PPMT(SUMMARY!$D$22/12,K104,SUMMARY!$D$21*12,SUMMARY!$D$20),0)</f>
        <v>73.2930088988385</v>
      </c>
      <c r="N104" s="290" t="n">
        <f aca="false">+M104+L104</f>
        <v>262.887958124963</v>
      </c>
      <c r="P104" s="308"/>
      <c r="Q104" s="309"/>
      <c r="R104" s="309"/>
      <c r="S104" s="309"/>
    </row>
    <row r="105" customFormat="false" ht="12.75" hidden="false" customHeight="false" outlineLevel="0" collapsed="false">
      <c r="K105" s="288" t="n">
        <v>97</v>
      </c>
      <c r="L105" s="289" t="n">
        <f aca="false">-IF(SUMMARY!$D$21*12&gt;=K105,IPMT(SUMMARY!$D$22/12,K105,SUMMARY!$D$21*12,SUMMARY!$D$20),0)</f>
        <v>189.136867920507</v>
      </c>
      <c r="M105" s="289" t="n">
        <f aca="false">IF(SUMMARY!$D$21*12&gt;=K105,-PPMT(SUMMARY!$D$22/12,K105,SUMMARY!$D$21*12,SUMMARY!$D$20),0)</f>
        <v>73.7510902044563</v>
      </c>
      <c r="N105" s="290" t="n">
        <f aca="false">+M105+L105</f>
        <v>262.887958124963</v>
      </c>
      <c r="P105" s="308"/>
      <c r="Q105" s="309"/>
      <c r="R105" s="309"/>
      <c r="S105" s="309"/>
    </row>
    <row r="106" customFormat="false" ht="12.75" hidden="false" customHeight="false" outlineLevel="0" collapsed="false">
      <c r="K106" s="288" t="n">
        <v>98</v>
      </c>
      <c r="L106" s="289" t="n">
        <f aca="false">-IF(SUMMARY!$D$21*12&gt;=K106,IPMT(SUMMARY!$D$22/12,K106,SUMMARY!$D$21*12,SUMMARY!$D$20),0)</f>
        <v>188.675923606729</v>
      </c>
      <c r="M106" s="289" t="n">
        <f aca="false">IF(SUMMARY!$D$21*12&gt;=K106,-PPMT(SUMMARY!$D$22/12,K106,SUMMARY!$D$21*12,SUMMARY!$D$20),0)</f>
        <v>74.2120345182341</v>
      </c>
      <c r="N106" s="290" t="n">
        <f aca="false">+M106+L106</f>
        <v>262.887958124963</v>
      </c>
      <c r="P106" s="308"/>
      <c r="Q106" s="309"/>
      <c r="R106" s="309"/>
      <c r="S106" s="309"/>
    </row>
    <row r="107" customFormat="false" ht="12.75" hidden="false" customHeight="false" outlineLevel="0" collapsed="false">
      <c r="K107" s="288" t="n">
        <v>99</v>
      </c>
      <c r="L107" s="289" t="n">
        <f aca="false">-IF(SUMMARY!$D$21*12&gt;=K107,IPMT(SUMMARY!$D$22/12,K107,SUMMARY!$D$21*12,SUMMARY!$D$20),0)</f>
        <v>188.21209839099</v>
      </c>
      <c r="M107" s="289" t="n">
        <f aca="false">IF(SUMMARY!$D$21*12&gt;=K107,-PPMT(SUMMARY!$D$22/12,K107,SUMMARY!$D$21*12,SUMMARY!$D$20),0)</f>
        <v>74.6758597339731</v>
      </c>
      <c r="N107" s="290" t="n">
        <f aca="false">+M107+L107</f>
        <v>262.887958124963</v>
      </c>
      <c r="P107" s="308"/>
      <c r="Q107" s="309"/>
      <c r="R107" s="309"/>
      <c r="S107" s="309"/>
    </row>
    <row r="108" customFormat="false" ht="12.75" hidden="false" customHeight="false" outlineLevel="0" collapsed="false">
      <c r="K108" s="288" t="n">
        <v>100</v>
      </c>
      <c r="L108" s="289" t="n">
        <f aca="false">-IF(SUMMARY!$D$21*12&gt;=K108,IPMT(SUMMARY!$D$22/12,K108,SUMMARY!$D$21*12,SUMMARY!$D$20),0)</f>
        <v>187.745374267652</v>
      </c>
      <c r="M108" s="289" t="n">
        <f aca="false">IF(SUMMARY!$D$21*12&gt;=K108,-PPMT(SUMMARY!$D$22/12,K108,SUMMARY!$D$21*12,SUMMARY!$D$20),0)</f>
        <v>75.1425838573104</v>
      </c>
      <c r="N108" s="290" t="n">
        <f aca="false">+M108+L108</f>
        <v>262.887958124963</v>
      </c>
      <c r="P108" s="308"/>
      <c r="Q108" s="309"/>
      <c r="R108" s="309"/>
      <c r="S108" s="309"/>
    </row>
    <row r="109" customFormat="false" ht="12.75" hidden="false" customHeight="false" outlineLevel="0" collapsed="false">
      <c r="K109" s="288" t="n">
        <v>101</v>
      </c>
      <c r="L109" s="289" t="n">
        <f aca="false">-IF(SUMMARY!$D$21*12&gt;=K109,IPMT(SUMMARY!$D$22/12,K109,SUMMARY!$D$21*12,SUMMARY!$D$20),0)</f>
        <v>187.275733118544</v>
      </c>
      <c r="M109" s="289" t="n">
        <f aca="false">IF(SUMMARY!$D$21*12&gt;=K109,-PPMT(SUMMARY!$D$22/12,K109,SUMMARY!$D$21*12,SUMMARY!$D$20),0)</f>
        <v>75.6122250064186</v>
      </c>
      <c r="N109" s="290" t="n">
        <f aca="false">+M109+L109</f>
        <v>262.887958124963</v>
      </c>
      <c r="P109" s="308"/>
      <c r="Q109" s="309"/>
      <c r="R109" s="309"/>
      <c r="S109" s="309"/>
    </row>
    <row r="110" customFormat="false" ht="12.75" hidden="false" customHeight="false" outlineLevel="0" collapsed="false">
      <c r="K110" s="288" t="n">
        <v>102</v>
      </c>
      <c r="L110" s="289" t="n">
        <f aca="false">-IF(SUMMARY!$D$21*12&gt;=K110,IPMT(SUMMARY!$D$22/12,K110,SUMMARY!$D$21*12,SUMMARY!$D$20),0)</f>
        <v>186.803156712254</v>
      </c>
      <c r="M110" s="289" t="n">
        <f aca="false">IF(SUMMARY!$D$21*12&gt;=K110,-PPMT(SUMMARY!$D$22/12,K110,SUMMARY!$D$21*12,SUMMARY!$D$20),0)</f>
        <v>76.0848014127087</v>
      </c>
      <c r="N110" s="290" t="n">
        <f aca="false">+M110+L110</f>
        <v>262.887958124963</v>
      </c>
      <c r="P110" s="308"/>
      <c r="Q110" s="309"/>
      <c r="R110" s="309"/>
      <c r="S110" s="309"/>
    </row>
    <row r="111" customFormat="false" ht="12.75" hidden="false" customHeight="false" outlineLevel="0" collapsed="false">
      <c r="K111" s="288" t="n">
        <v>103</v>
      </c>
      <c r="L111" s="289" t="n">
        <f aca="false">-IF(SUMMARY!$D$21*12&gt;=K111,IPMT(SUMMARY!$D$22/12,K111,SUMMARY!$D$21*12,SUMMARY!$D$20),0)</f>
        <v>186.327626703425</v>
      </c>
      <c r="M111" s="289" t="n">
        <f aca="false">IF(SUMMARY!$D$21*12&gt;=K111,-PPMT(SUMMARY!$D$22/12,K111,SUMMARY!$D$21*12,SUMMARY!$D$20),0)</f>
        <v>76.5603314215382</v>
      </c>
      <c r="N111" s="290" t="n">
        <f aca="false">+M111+L111</f>
        <v>262.887958124963</v>
      </c>
      <c r="P111" s="308"/>
      <c r="Q111" s="309"/>
      <c r="R111" s="309"/>
      <c r="S111" s="309"/>
    </row>
    <row r="112" customFormat="false" ht="12.75" hidden="false" customHeight="false" outlineLevel="0" collapsed="false">
      <c r="K112" s="288" t="n">
        <v>104</v>
      </c>
      <c r="L112" s="289" t="n">
        <f aca="false">-IF(SUMMARY!$D$21*12&gt;=K112,IPMT(SUMMARY!$D$22/12,K112,SUMMARY!$D$21*12,SUMMARY!$D$20),0)</f>
        <v>185.84912463204</v>
      </c>
      <c r="M112" s="289" t="n">
        <f aca="false">IF(SUMMARY!$D$21*12&gt;=K112,-PPMT(SUMMARY!$D$22/12,K112,SUMMARY!$D$21*12,SUMMARY!$D$20),0)</f>
        <v>77.0388334929228</v>
      </c>
      <c r="N112" s="290" t="n">
        <f aca="false">+M112+L112</f>
        <v>262.887958124963</v>
      </c>
      <c r="P112" s="308"/>
      <c r="Q112" s="309"/>
      <c r="R112" s="309"/>
      <c r="S112" s="309"/>
    </row>
    <row r="113" customFormat="false" ht="12.75" hidden="false" customHeight="false" outlineLevel="0" collapsed="false">
      <c r="K113" s="288" t="n">
        <v>105</v>
      </c>
      <c r="L113" s="289" t="n">
        <f aca="false">-IF(SUMMARY!$D$21*12&gt;=K113,IPMT(SUMMARY!$D$22/12,K113,SUMMARY!$D$21*12,SUMMARY!$D$20),0)</f>
        <v>185.367631922709</v>
      </c>
      <c r="M113" s="289" t="n">
        <f aca="false">IF(SUMMARY!$D$21*12&gt;=K113,-PPMT(SUMMARY!$D$22/12,K113,SUMMARY!$D$21*12,SUMMARY!$D$20),0)</f>
        <v>77.5203262022536</v>
      </c>
      <c r="N113" s="290" t="n">
        <f aca="false">+M113+L113</f>
        <v>262.887958124963</v>
      </c>
      <c r="P113" s="308"/>
      <c r="Q113" s="309"/>
      <c r="R113" s="309"/>
      <c r="S113" s="309"/>
    </row>
    <row r="114" customFormat="false" ht="12.75" hidden="false" customHeight="false" outlineLevel="0" collapsed="false">
      <c r="K114" s="288" t="n">
        <v>106</v>
      </c>
      <c r="L114" s="289" t="n">
        <f aca="false">-IF(SUMMARY!$D$21*12&gt;=K114,IPMT(SUMMARY!$D$22/12,K114,SUMMARY!$D$21*12,SUMMARY!$D$20),0)</f>
        <v>184.883129883945</v>
      </c>
      <c r="M114" s="289" t="n">
        <f aca="false">IF(SUMMARY!$D$21*12&gt;=K114,-PPMT(SUMMARY!$D$22/12,K114,SUMMARY!$D$21*12,SUMMARY!$D$20),0)</f>
        <v>78.0048282410177</v>
      </c>
      <c r="N114" s="290" t="n">
        <f aca="false">+M114+L114</f>
        <v>262.887958124963</v>
      </c>
      <c r="P114" s="308"/>
      <c r="Q114" s="309"/>
      <c r="R114" s="309"/>
      <c r="S114" s="309"/>
    </row>
    <row r="115" customFormat="false" ht="12.75" hidden="false" customHeight="false" outlineLevel="0" collapsed="false">
      <c r="K115" s="288" t="n">
        <v>107</v>
      </c>
      <c r="L115" s="289" t="n">
        <f aca="false">-IF(SUMMARY!$D$21*12&gt;=K115,IPMT(SUMMARY!$D$22/12,K115,SUMMARY!$D$21*12,SUMMARY!$D$20),0)</f>
        <v>184.395599707439</v>
      </c>
      <c r="M115" s="289" t="n">
        <f aca="false">IF(SUMMARY!$D$21*12&gt;=K115,-PPMT(SUMMARY!$D$22/12,K115,SUMMARY!$D$21*12,SUMMARY!$D$20),0)</f>
        <v>78.492358417524</v>
      </c>
      <c r="N115" s="290" t="n">
        <f aca="false">+M115+L115</f>
        <v>262.887958124963</v>
      </c>
      <c r="P115" s="308"/>
      <c r="Q115" s="309"/>
      <c r="R115" s="309"/>
      <c r="S115" s="309"/>
    </row>
    <row r="116" customFormat="false" ht="12.75" hidden="false" customHeight="false" outlineLevel="0" collapsed="false">
      <c r="K116" s="288" t="n">
        <v>108</v>
      </c>
      <c r="L116" s="289" t="n">
        <f aca="false">-IF(SUMMARY!$D$21*12&gt;=K116,IPMT(SUMMARY!$D$22/12,K116,SUMMARY!$D$21*12,SUMMARY!$D$20),0)</f>
        <v>183.905022467329</v>
      </c>
      <c r="M116" s="289" t="n">
        <f aca="false">IF(SUMMARY!$D$21*12&gt;=K116,-PPMT(SUMMARY!$D$22/12,K116,SUMMARY!$D$21*12,SUMMARY!$D$20),0)</f>
        <v>78.9829356576336</v>
      </c>
      <c r="N116" s="290" t="n">
        <f aca="false">+M116+L116</f>
        <v>262.887958124963</v>
      </c>
      <c r="P116" s="308"/>
      <c r="Q116" s="309"/>
      <c r="R116" s="309"/>
      <c r="S116" s="309"/>
    </row>
    <row r="117" customFormat="false" ht="12.75" hidden="false" customHeight="false" outlineLevel="0" collapsed="false">
      <c r="K117" s="288" t="n">
        <v>109</v>
      </c>
      <c r="L117" s="289" t="n">
        <f aca="false">-IF(SUMMARY!$D$21*12&gt;=K117,IPMT(SUMMARY!$D$22/12,K117,SUMMARY!$D$21*12,SUMMARY!$D$20),0)</f>
        <v>183.411379119469</v>
      </c>
      <c r="M117" s="289" t="n">
        <f aca="false">IF(SUMMARY!$D$21*12&gt;=K117,-PPMT(SUMMARY!$D$22/12,K117,SUMMARY!$D$21*12,SUMMARY!$D$20),0)</f>
        <v>79.4765790054938</v>
      </c>
      <c r="N117" s="290" t="n">
        <f aca="false">+M117+L117</f>
        <v>262.887958124963</v>
      </c>
      <c r="P117" s="308"/>
      <c r="Q117" s="309"/>
      <c r="R117" s="309"/>
      <c r="S117" s="309"/>
    </row>
    <row r="118" customFormat="false" ht="12.75" hidden="false" customHeight="false" outlineLevel="0" collapsed="false">
      <c r="K118" s="288" t="n">
        <v>110</v>
      </c>
      <c r="L118" s="289" t="n">
        <f aca="false">-IF(SUMMARY!$D$21*12&gt;=K118,IPMT(SUMMARY!$D$22/12,K118,SUMMARY!$D$21*12,SUMMARY!$D$20),0)</f>
        <v>182.914650500685</v>
      </c>
      <c r="M118" s="289" t="n">
        <f aca="false">IF(SUMMARY!$D$21*12&gt;=K118,-PPMT(SUMMARY!$D$22/12,K118,SUMMARY!$D$21*12,SUMMARY!$D$20),0)</f>
        <v>79.9733076242781</v>
      </c>
      <c r="N118" s="290" t="n">
        <f aca="false">+M118+L118</f>
        <v>262.887958124963</v>
      </c>
      <c r="P118" s="308"/>
      <c r="Q118" s="309"/>
      <c r="R118" s="309"/>
      <c r="S118" s="309"/>
    </row>
    <row r="119" customFormat="false" ht="12.75" hidden="false" customHeight="false" outlineLevel="0" collapsed="false">
      <c r="K119" s="288" t="n">
        <v>111</v>
      </c>
      <c r="L119" s="289" t="n">
        <f aca="false">-IF(SUMMARY!$D$21*12&gt;=K119,IPMT(SUMMARY!$D$22/12,K119,SUMMARY!$D$21*12,SUMMARY!$D$20),0)</f>
        <v>182.414817328033</v>
      </c>
      <c r="M119" s="289" t="n">
        <f aca="false">IF(SUMMARY!$D$21*12&gt;=K119,-PPMT(SUMMARY!$D$22/12,K119,SUMMARY!$D$21*12,SUMMARY!$D$20),0)</f>
        <v>80.4731407969299</v>
      </c>
      <c r="N119" s="290" t="n">
        <f aca="false">+M119+L119</f>
        <v>262.887958124963</v>
      </c>
      <c r="P119" s="308"/>
      <c r="Q119" s="309"/>
      <c r="R119" s="309"/>
      <c r="S119" s="309"/>
    </row>
    <row r="120" customFormat="false" ht="12.75" hidden="false" customHeight="false" outlineLevel="0" collapsed="false">
      <c r="K120" s="288" t="n">
        <v>112</v>
      </c>
      <c r="L120" s="289" t="n">
        <f aca="false">-IF(SUMMARY!$D$21*12&gt;=K120,IPMT(SUMMARY!$D$22/12,K120,SUMMARY!$D$21*12,SUMMARY!$D$20),0)</f>
        <v>181.911860198052</v>
      </c>
      <c r="M120" s="289" t="n">
        <f aca="false">IF(SUMMARY!$D$21*12&gt;=K120,-PPMT(SUMMARY!$D$22/12,K120,SUMMARY!$D$21*12,SUMMARY!$D$20),0)</f>
        <v>80.9760979269107</v>
      </c>
      <c r="N120" s="290" t="n">
        <f aca="false">+M120+L120</f>
        <v>262.887958124963</v>
      </c>
      <c r="P120" s="308"/>
      <c r="Q120" s="309"/>
      <c r="R120" s="309"/>
      <c r="S120" s="309"/>
    </row>
    <row r="121" customFormat="false" ht="12.75" hidden="false" customHeight="false" outlineLevel="0" collapsed="false">
      <c r="K121" s="288" t="n">
        <v>113</v>
      </c>
      <c r="L121" s="289" t="n">
        <f aca="false">-IF(SUMMARY!$D$21*12&gt;=K121,IPMT(SUMMARY!$D$22/12,K121,SUMMARY!$D$21*12,SUMMARY!$D$20),0)</f>
        <v>181.405759586009</v>
      </c>
      <c r="M121" s="289" t="n">
        <f aca="false">IF(SUMMARY!$D$21*12&gt;=K121,-PPMT(SUMMARY!$D$22/12,K121,SUMMARY!$D$21*12,SUMMARY!$D$20),0)</f>
        <v>81.4821985389538</v>
      </c>
      <c r="N121" s="290" t="n">
        <f aca="false">+M121+L121</f>
        <v>262.887958124963</v>
      </c>
      <c r="P121" s="308"/>
      <c r="Q121" s="309"/>
      <c r="R121" s="309"/>
      <c r="S121" s="309"/>
    </row>
    <row r="122" customFormat="false" ht="12.75" hidden="false" customHeight="false" outlineLevel="0" collapsed="false">
      <c r="K122" s="288" t="n">
        <v>114</v>
      </c>
      <c r="L122" s="289" t="n">
        <f aca="false">-IF(SUMMARY!$D$21*12&gt;=K122,IPMT(SUMMARY!$D$22/12,K122,SUMMARY!$D$21*12,SUMMARY!$D$20),0)</f>
        <v>180.89649584514</v>
      </c>
      <c r="M122" s="289" t="n">
        <f aca="false">IF(SUMMARY!$D$21*12&gt;=K122,-PPMT(SUMMARY!$D$22/12,K122,SUMMARY!$D$21*12,SUMMARY!$D$20),0)</f>
        <v>81.9914622798224</v>
      </c>
      <c r="N122" s="290" t="n">
        <f aca="false">+M122+L122</f>
        <v>262.887958124963</v>
      </c>
      <c r="P122" s="308"/>
      <c r="Q122" s="309"/>
      <c r="R122" s="309"/>
      <c r="S122" s="309"/>
    </row>
    <row r="123" customFormat="false" ht="12.75" hidden="false" customHeight="false" outlineLevel="0" collapsed="false">
      <c r="K123" s="288" t="n">
        <v>115</v>
      </c>
      <c r="L123" s="289" t="n">
        <f aca="false">-IF(SUMMARY!$D$21*12&gt;=K123,IPMT(SUMMARY!$D$22/12,K123,SUMMARY!$D$21*12,SUMMARY!$D$20),0)</f>
        <v>180.384049205892</v>
      </c>
      <c r="M123" s="289" t="n">
        <f aca="false">IF(SUMMARY!$D$21*12&gt;=K123,-PPMT(SUMMARY!$D$22/12,K123,SUMMARY!$D$21*12,SUMMARY!$D$20),0)</f>
        <v>82.5039089190713</v>
      </c>
      <c r="N123" s="290" t="n">
        <f aca="false">+M123+L123</f>
        <v>262.887958124963</v>
      </c>
      <c r="P123" s="308"/>
      <c r="Q123" s="309"/>
      <c r="R123" s="309"/>
      <c r="S123" s="309"/>
    </row>
    <row r="124" customFormat="false" ht="12.75" hidden="false" customHeight="false" outlineLevel="0" collapsed="false">
      <c r="K124" s="288" t="n">
        <v>116</v>
      </c>
      <c r="L124" s="289" t="n">
        <f aca="false">-IF(SUMMARY!$D$21*12&gt;=K124,IPMT(SUMMARY!$D$22/12,K124,SUMMARY!$D$21*12,SUMMARY!$D$20),0)</f>
        <v>179.868399775147</v>
      </c>
      <c r="M124" s="289" t="n">
        <f aca="false">IF(SUMMARY!$D$21*12&gt;=K124,-PPMT(SUMMARY!$D$22/12,K124,SUMMARY!$D$21*12,SUMMARY!$D$20),0)</f>
        <v>83.0195583498155</v>
      </c>
      <c r="N124" s="290" t="n">
        <f aca="false">+M124+L124</f>
        <v>262.887958124963</v>
      </c>
      <c r="P124" s="308"/>
      <c r="Q124" s="309"/>
      <c r="R124" s="309"/>
      <c r="S124" s="309"/>
    </row>
    <row r="125" customFormat="false" ht="12.75" hidden="false" customHeight="false" outlineLevel="0" collapsed="false">
      <c r="K125" s="288" t="n">
        <v>117</v>
      </c>
      <c r="L125" s="289" t="n">
        <f aca="false">-IF(SUMMARY!$D$21*12&gt;=K125,IPMT(SUMMARY!$D$22/12,K125,SUMMARY!$D$21*12,SUMMARY!$D$20),0)</f>
        <v>179.349527535461</v>
      </c>
      <c r="M125" s="289" t="n">
        <f aca="false">IF(SUMMARY!$D$21*12&gt;=K125,-PPMT(SUMMARY!$D$22/12,K125,SUMMARY!$D$21*12,SUMMARY!$D$20),0)</f>
        <v>83.5384305895018</v>
      </c>
      <c r="N125" s="290" t="n">
        <f aca="false">+M125+L125</f>
        <v>262.887958124963</v>
      </c>
      <c r="P125" s="308"/>
      <c r="Q125" s="309"/>
      <c r="R125" s="309"/>
      <c r="S125" s="309"/>
    </row>
    <row r="126" customFormat="false" ht="12.75" hidden="false" customHeight="false" outlineLevel="0" collapsed="false">
      <c r="K126" s="288" t="n">
        <v>118</v>
      </c>
      <c r="L126" s="289" t="n">
        <f aca="false">-IF(SUMMARY!$D$21*12&gt;=K126,IPMT(SUMMARY!$D$22/12,K126,SUMMARY!$D$21*12,SUMMARY!$D$20),0)</f>
        <v>178.827412344277</v>
      </c>
      <c r="M126" s="289" t="n">
        <f aca="false">IF(SUMMARY!$D$21*12&gt;=K126,-PPMT(SUMMARY!$D$22/12,K126,SUMMARY!$D$21*12,SUMMARY!$D$20),0)</f>
        <v>84.0605457806862</v>
      </c>
      <c r="N126" s="290" t="n">
        <f aca="false">+M126+L126</f>
        <v>262.887958124963</v>
      </c>
      <c r="P126" s="308"/>
      <c r="Q126" s="309"/>
      <c r="R126" s="309"/>
      <c r="S126" s="309"/>
    </row>
    <row r="127" customFormat="false" ht="12.75" hidden="false" customHeight="false" outlineLevel="0" collapsed="false">
      <c r="K127" s="288" t="n">
        <v>119</v>
      </c>
      <c r="L127" s="289" t="n">
        <f aca="false">-IF(SUMMARY!$D$21*12&gt;=K127,IPMT(SUMMARY!$D$22/12,K127,SUMMARY!$D$21*12,SUMMARY!$D$20),0)</f>
        <v>178.302033933147</v>
      </c>
      <c r="M127" s="289" t="n">
        <f aca="false">IF(SUMMARY!$D$21*12&gt;=K127,-PPMT(SUMMARY!$D$22/12,K127,SUMMARY!$D$21*12,SUMMARY!$D$20),0)</f>
        <v>84.5859241918155</v>
      </c>
      <c r="N127" s="290" t="n">
        <f aca="false">+M127+L127</f>
        <v>262.887958124963</v>
      </c>
      <c r="P127" s="308"/>
      <c r="Q127" s="309"/>
      <c r="R127" s="309"/>
      <c r="S127" s="309"/>
    </row>
    <row r="128" customFormat="false" ht="12.75" hidden="false" customHeight="false" outlineLevel="0" collapsed="false">
      <c r="K128" s="288" t="n">
        <v>120</v>
      </c>
      <c r="L128" s="289" t="n">
        <f aca="false">-IF(SUMMARY!$D$21*12&gt;=K128,IPMT(SUMMARY!$D$22/12,K128,SUMMARY!$D$21*12,SUMMARY!$D$20),0)</f>
        <v>177.773371906948</v>
      </c>
      <c r="M128" s="289" t="n">
        <f aca="false">IF(SUMMARY!$D$21*12&gt;=K128,-PPMT(SUMMARY!$D$22/12,K128,SUMMARY!$D$21*12,SUMMARY!$D$20),0)</f>
        <v>85.1145862180144</v>
      </c>
      <c r="N128" s="290" t="n">
        <f aca="false">+M128+L128</f>
        <v>262.887958124963</v>
      </c>
      <c r="P128" s="308"/>
      <c r="Q128" s="309"/>
      <c r="R128" s="309"/>
      <c r="S128" s="309"/>
    </row>
    <row r="129" customFormat="false" ht="12.75" hidden="false" customHeight="false" outlineLevel="0" collapsed="false">
      <c r="K129" s="288" t="n">
        <v>121</v>
      </c>
      <c r="L129" s="289" t="n">
        <f aca="false">-IF(SUMMARY!$D$21*12&gt;=K129,IPMT(SUMMARY!$D$22/12,K129,SUMMARY!$D$21*12,SUMMARY!$D$20),0)</f>
        <v>177.241405743086</v>
      </c>
      <c r="M129" s="289" t="n">
        <f aca="false">IF(SUMMARY!$D$21*12&gt;=K129,-PPMT(SUMMARY!$D$22/12,K129,SUMMARY!$D$21*12,SUMMARY!$D$20),0)</f>
        <v>85.6465523818769</v>
      </c>
      <c r="N129" s="290" t="n">
        <f aca="false">+M129+L129</f>
        <v>262.887958124963</v>
      </c>
      <c r="P129" s="308"/>
      <c r="Q129" s="309"/>
      <c r="R129" s="309"/>
      <c r="S129" s="309"/>
    </row>
    <row r="130" customFormat="false" ht="12.75" hidden="false" customHeight="false" outlineLevel="0" collapsed="false">
      <c r="K130" s="288" t="n">
        <v>122</v>
      </c>
      <c r="L130" s="289" t="n">
        <f aca="false">-IF(SUMMARY!$D$21*12&gt;=K130,IPMT(SUMMARY!$D$22/12,K130,SUMMARY!$D$21*12,SUMMARY!$D$20),0)</f>
        <v>176.706114790699</v>
      </c>
      <c r="M130" s="289" t="n">
        <f aca="false">IF(SUMMARY!$D$21*12&gt;=K130,-PPMT(SUMMARY!$D$22/12,K130,SUMMARY!$D$21*12,SUMMARY!$D$20),0)</f>
        <v>86.1818433342637</v>
      </c>
      <c r="N130" s="290" t="n">
        <f aca="false">+M130+L130</f>
        <v>262.887958124963</v>
      </c>
      <c r="P130" s="308"/>
      <c r="Q130" s="309"/>
      <c r="R130" s="309"/>
      <c r="S130" s="309"/>
    </row>
    <row r="131" customFormat="false" ht="12.75" hidden="false" customHeight="false" outlineLevel="0" collapsed="false">
      <c r="K131" s="288" t="n">
        <v>123</v>
      </c>
      <c r="L131" s="289" t="n">
        <f aca="false">-IF(SUMMARY!$D$21*12&gt;=K131,IPMT(SUMMARY!$D$22/12,K131,SUMMARY!$D$21*12,SUMMARY!$D$20),0)</f>
        <v>176.16747826986</v>
      </c>
      <c r="M131" s="289" t="n">
        <f aca="false">IF(SUMMARY!$D$21*12&gt;=K131,-PPMT(SUMMARY!$D$22/12,K131,SUMMARY!$D$21*12,SUMMARY!$D$20),0)</f>
        <v>86.7204798551028</v>
      </c>
      <c r="N131" s="290" t="n">
        <f aca="false">+M131+L131</f>
        <v>262.887958124963</v>
      </c>
      <c r="P131" s="308"/>
      <c r="Q131" s="309"/>
      <c r="R131" s="309"/>
      <c r="S131" s="309"/>
    </row>
    <row r="132" customFormat="false" ht="12.75" hidden="false" customHeight="false" outlineLevel="0" collapsed="false">
      <c r="K132" s="288" t="n">
        <v>124</v>
      </c>
      <c r="L132" s="289" t="n">
        <f aca="false">-IF(SUMMARY!$D$21*12&gt;=K132,IPMT(SUMMARY!$D$22/12,K132,SUMMARY!$D$21*12,SUMMARY!$D$20),0)</f>
        <v>175.625475270766</v>
      </c>
      <c r="M132" s="289" t="n">
        <f aca="false">IF(SUMMARY!$D$21*12&gt;=K132,-PPMT(SUMMARY!$D$22/12,K132,SUMMARY!$D$21*12,SUMMARY!$D$20),0)</f>
        <v>87.2624828541973</v>
      </c>
      <c r="N132" s="290" t="n">
        <f aca="false">+M132+L132</f>
        <v>262.887958124963</v>
      </c>
      <c r="P132" s="308"/>
      <c r="Q132" s="309"/>
      <c r="R132" s="309"/>
      <c r="S132" s="309"/>
    </row>
    <row r="133" customFormat="false" ht="12.75" hidden="false" customHeight="false" outlineLevel="0" collapsed="false">
      <c r="K133" s="288" t="n">
        <v>125</v>
      </c>
      <c r="L133" s="289" t="n">
        <f aca="false">-IF(SUMMARY!$D$21*12&gt;=K133,IPMT(SUMMARY!$D$22/12,K133,SUMMARY!$D$21*12,SUMMARY!$D$20),0)</f>
        <v>175.080084752927</v>
      </c>
      <c r="M133" s="289" t="n">
        <f aca="false">IF(SUMMARY!$D$21*12&gt;=K133,-PPMT(SUMMARY!$D$22/12,K133,SUMMARY!$D$21*12,SUMMARY!$D$20),0)</f>
        <v>87.807873372036</v>
      </c>
      <c r="N133" s="290" t="n">
        <f aca="false">+M133+L133</f>
        <v>262.887958124963</v>
      </c>
      <c r="P133" s="308"/>
      <c r="Q133" s="309"/>
      <c r="R133" s="309"/>
      <c r="S133" s="309"/>
    </row>
    <row r="134" customFormat="false" ht="12.75" hidden="false" customHeight="false" outlineLevel="0" collapsed="false">
      <c r="K134" s="288" t="n">
        <v>126</v>
      </c>
      <c r="L134" s="289" t="n">
        <f aca="false">-IF(SUMMARY!$D$21*12&gt;=K134,IPMT(SUMMARY!$D$22/12,K134,SUMMARY!$D$21*12,SUMMARY!$D$20),0)</f>
        <v>174.531285544352</v>
      </c>
      <c r="M134" s="289" t="n">
        <f aca="false">IF(SUMMARY!$D$21*12&gt;=K134,-PPMT(SUMMARY!$D$22/12,K134,SUMMARY!$D$21*12,SUMMARY!$D$20),0)</f>
        <v>88.3566725806113</v>
      </c>
      <c r="N134" s="290" t="n">
        <f aca="false">+M134+L134</f>
        <v>262.887958124963</v>
      </c>
      <c r="P134" s="308"/>
      <c r="Q134" s="309"/>
      <c r="R134" s="309"/>
      <c r="S134" s="309"/>
    </row>
    <row r="135" customFormat="false" ht="12.75" hidden="false" customHeight="false" outlineLevel="0" collapsed="false">
      <c r="K135" s="288" t="n">
        <v>127</v>
      </c>
      <c r="L135" s="289" t="n">
        <f aca="false">-IF(SUMMARY!$D$21*12&gt;=K135,IPMT(SUMMARY!$D$22/12,K135,SUMMARY!$D$21*12,SUMMARY!$D$20),0)</f>
        <v>173.979056340723</v>
      </c>
      <c r="M135" s="289" t="n">
        <f aca="false">IF(SUMMARY!$D$21*12&gt;=K135,-PPMT(SUMMARY!$D$22/12,K135,SUMMARY!$D$21*12,SUMMARY!$D$20),0)</f>
        <v>88.90890178424</v>
      </c>
      <c r="N135" s="290" t="n">
        <f aca="false">+M135+L135</f>
        <v>262.887958124963</v>
      </c>
      <c r="P135" s="308"/>
      <c r="Q135" s="309"/>
      <c r="R135" s="309"/>
      <c r="S135" s="309"/>
    </row>
    <row r="136" customFormat="false" ht="12.75" hidden="false" customHeight="false" outlineLevel="0" collapsed="false">
      <c r="K136" s="288" t="n">
        <v>128</v>
      </c>
      <c r="L136" s="289" t="n">
        <f aca="false">-IF(SUMMARY!$D$21*12&gt;=K136,IPMT(SUMMARY!$D$22/12,K136,SUMMARY!$D$21*12,SUMMARY!$D$20),0)</f>
        <v>173.423375704571</v>
      </c>
      <c r="M136" s="289" t="n">
        <f aca="false">IF(SUMMARY!$D$21*12&gt;=K136,-PPMT(SUMMARY!$D$22/12,K136,SUMMARY!$D$21*12,SUMMARY!$D$20),0)</f>
        <v>89.4645824203916</v>
      </c>
      <c r="N136" s="290" t="n">
        <f aca="false">+M136+L136</f>
        <v>262.887958124963</v>
      </c>
      <c r="P136" s="308"/>
      <c r="Q136" s="309"/>
      <c r="R136" s="309"/>
      <c r="S136" s="309"/>
    </row>
    <row r="137" customFormat="false" ht="12.75" hidden="false" customHeight="false" outlineLevel="0" collapsed="false">
      <c r="K137" s="288" t="n">
        <v>129</v>
      </c>
      <c r="L137" s="289" t="n">
        <f aca="false">-IF(SUMMARY!$D$21*12&gt;=K137,IPMT(SUMMARY!$D$22/12,K137,SUMMARY!$D$21*12,SUMMARY!$D$20),0)</f>
        <v>172.864222064444</v>
      </c>
      <c r="M137" s="289" t="n">
        <f aca="false">IF(SUMMARY!$D$21*12&gt;=K137,-PPMT(SUMMARY!$D$22/12,K137,SUMMARY!$D$21*12,SUMMARY!$D$20),0)</f>
        <v>90.023736060519</v>
      </c>
      <c r="N137" s="290" t="n">
        <f aca="false">+M137+L137</f>
        <v>262.887958124963</v>
      </c>
      <c r="P137" s="308"/>
      <c r="Q137" s="309"/>
      <c r="R137" s="309"/>
      <c r="S137" s="309"/>
    </row>
    <row r="138" customFormat="false" ht="12.75" hidden="false" customHeight="false" outlineLevel="0" collapsed="false">
      <c r="K138" s="288" t="n">
        <v>130</v>
      </c>
      <c r="L138" s="289" t="n">
        <f aca="false">-IF(SUMMARY!$D$21*12&gt;=K138,IPMT(SUMMARY!$D$22/12,K138,SUMMARY!$D$21*12,SUMMARY!$D$20),0)</f>
        <v>172.301573714066</v>
      </c>
      <c r="M138" s="289" t="n">
        <f aca="false">IF(SUMMARY!$D$21*12&gt;=K138,-PPMT(SUMMARY!$D$22/12,K138,SUMMARY!$D$21*12,SUMMARY!$D$20),0)</f>
        <v>90.5863844108972</v>
      </c>
      <c r="N138" s="290" t="n">
        <f aca="false">+M138+L138</f>
        <v>262.887958124963</v>
      </c>
      <c r="P138" s="308"/>
      <c r="Q138" s="309"/>
      <c r="R138" s="309"/>
      <c r="S138" s="309"/>
    </row>
    <row r="139" customFormat="false" ht="12.75" hidden="false" customHeight="false" outlineLevel="0" collapsed="false">
      <c r="K139" s="288" t="n">
        <v>131</v>
      </c>
      <c r="L139" s="289" t="n">
        <f aca="false">-IF(SUMMARY!$D$21*12&gt;=K139,IPMT(SUMMARY!$D$22/12,K139,SUMMARY!$D$21*12,SUMMARY!$D$20),0)</f>
        <v>171.735408811497</v>
      </c>
      <c r="M139" s="289" t="n">
        <f aca="false">IF(SUMMARY!$D$21*12&gt;=K139,-PPMT(SUMMARY!$D$22/12,K139,SUMMARY!$D$21*12,SUMMARY!$D$20),0)</f>
        <v>91.1525493134654</v>
      </c>
      <c r="N139" s="290" t="n">
        <f aca="false">+M139+L139</f>
        <v>262.887958124963</v>
      </c>
      <c r="P139" s="308"/>
      <c r="Q139" s="309"/>
      <c r="R139" s="309"/>
      <c r="S139" s="309"/>
    </row>
    <row r="140" customFormat="false" ht="12.75" hidden="false" customHeight="false" outlineLevel="0" collapsed="false">
      <c r="K140" s="288" t="n">
        <v>132</v>
      </c>
      <c r="L140" s="289" t="n">
        <f aca="false">-IF(SUMMARY!$D$21*12&gt;=K140,IPMT(SUMMARY!$D$22/12,K140,SUMMARY!$D$21*12,SUMMARY!$D$20),0)</f>
        <v>171.165705378288</v>
      </c>
      <c r="M140" s="289" t="n">
        <f aca="false">IF(SUMMARY!$D$21*12&gt;=K140,-PPMT(SUMMARY!$D$22/12,K140,SUMMARY!$D$21*12,SUMMARY!$D$20),0)</f>
        <v>91.7222527466746</v>
      </c>
      <c r="N140" s="290" t="n">
        <f aca="false">+M140+L140</f>
        <v>262.887958124963</v>
      </c>
      <c r="P140" s="308"/>
      <c r="Q140" s="309"/>
      <c r="R140" s="309"/>
      <c r="S140" s="309"/>
    </row>
    <row r="141" customFormat="false" ht="12.75" hidden="false" customHeight="false" outlineLevel="0" collapsed="false">
      <c r="K141" s="288" t="n">
        <v>133</v>
      </c>
      <c r="L141" s="289" t="n">
        <f aca="false">-IF(SUMMARY!$D$21*12&gt;=K141,IPMT(SUMMARY!$D$22/12,K141,SUMMARY!$D$21*12,SUMMARY!$D$20),0)</f>
        <v>170.592441298622</v>
      </c>
      <c r="M141" s="289" t="n">
        <f aca="false">IF(SUMMARY!$D$21*12&gt;=K141,-PPMT(SUMMARY!$D$22/12,K141,SUMMARY!$D$21*12,SUMMARY!$D$20),0)</f>
        <v>92.2955168263413</v>
      </c>
      <c r="N141" s="290" t="n">
        <f aca="false">+M141+L141</f>
        <v>262.887958124963</v>
      </c>
      <c r="P141" s="308"/>
      <c r="Q141" s="309"/>
      <c r="R141" s="309"/>
      <c r="S141" s="309"/>
    </row>
    <row r="142" customFormat="false" ht="12.75" hidden="false" customHeight="false" outlineLevel="0" collapsed="false">
      <c r="K142" s="288" t="n">
        <v>134</v>
      </c>
      <c r="L142" s="289" t="n">
        <f aca="false">-IF(SUMMARY!$D$21*12&gt;=K142,IPMT(SUMMARY!$D$22/12,K142,SUMMARY!$D$21*12,SUMMARY!$D$20),0)</f>
        <v>170.015594318457</v>
      </c>
      <c r="M142" s="289" t="n">
        <f aca="false">IF(SUMMARY!$D$21*12&gt;=K142,-PPMT(SUMMARY!$D$22/12,K142,SUMMARY!$D$21*12,SUMMARY!$D$20),0)</f>
        <v>92.8723638065059</v>
      </c>
      <c r="N142" s="290" t="n">
        <f aca="false">+M142+L142</f>
        <v>262.887958124963</v>
      </c>
      <c r="P142" s="308"/>
      <c r="Q142" s="309"/>
      <c r="R142" s="309"/>
      <c r="S142" s="309"/>
    </row>
    <row r="143" customFormat="false" ht="12.75" hidden="false" customHeight="false" outlineLevel="0" collapsed="false">
      <c r="K143" s="288" t="n">
        <v>135</v>
      </c>
      <c r="L143" s="289" t="n">
        <f aca="false">-IF(SUMMARY!$D$21*12&gt;=K143,IPMT(SUMMARY!$D$22/12,K143,SUMMARY!$D$21*12,SUMMARY!$D$20),0)</f>
        <v>169.435142044666</v>
      </c>
      <c r="M143" s="289" t="n">
        <f aca="false">IF(SUMMARY!$D$21*12&gt;=K143,-PPMT(SUMMARY!$D$22/12,K143,SUMMARY!$D$21*12,SUMMARY!$D$20),0)</f>
        <v>93.4528160802966</v>
      </c>
      <c r="N143" s="290" t="n">
        <f aca="false">+M143+L143</f>
        <v>262.887958124963</v>
      </c>
      <c r="P143" s="308"/>
      <c r="Q143" s="309"/>
      <c r="R143" s="309"/>
      <c r="S143" s="309"/>
    </row>
    <row r="144" customFormat="false" ht="12.75" hidden="false" customHeight="false" outlineLevel="0" collapsed="false">
      <c r="K144" s="288" t="n">
        <v>136</v>
      </c>
      <c r="L144" s="289" t="n">
        <f aca="false">-IF(SUMMARY!$D$21*12&gt;=K144,IPMT(SUMMARY!$D$22/12,K144,SUMMARY!$D$21*12,SUMMARY!$D$20),0)</f>
        <v>168.851061944164</v>
      </c>
      <c r="M144" s="289" t="n">
        <f aca="false">IF(SUMMARY!$D$21*12&gt;=K144,-PPMT(SUMMARY!$D$22/12,K144,SUMMARY!$D$21*12,SUMMARY!$D$20),0)</f>
        <v>94.0368961807984</v>
      </c>
      <c r="N144" s="290" t="n">
        <f aca="false">+M144+L144</f>
        <v>262.887958124963</v>
      </c>
      <c r="P144" s="308"/>
      <c r="Q144" s="309"/>
      <c r="R144" s="309"/>
      <c r="S144" s="309"/>
    </row>
    <row r="145" customFormat="false" ht="12.75" hidden="false" customHeight="false" outlineLevel="0" collapsed="false">
      <c r="K145" s="288" t="n">
        <v>137</v>
      </c>
      <c r="L145" s="289" t="n">
        <f aca="false">-IF(SUMMARY!$D$21*12&gt;=K145,IPMT(SUMMARY!$D$22/12,K145,SUMMARY!$D$21*12,SUMMARY!$D$20),0)</f>
        <v>168.263331343034</v>
      </c>
      <c r="M145" s="289" t="n">
        <f aca="false">IF(SUMMARY!$D$21*12&gt;=K145,-PPMT(SUMMARY!$D$22/12,K145,SUMMARY!$D$21*12,SUMMARY!$D$20),0)</f>
        <v>94.6246267819284</v>
      </c>
      <c r="N145" s="290" t="n">
        <f aca="false">+M145+L145</f>
        <v>262.887958124963</v>
      </c>
      <c r="P145" s="308"/>
      <c r="Q145" s="309"/>
      <c r="R145" s="309"/>
      <c r="S145" s="309"/>
    </row>
    <row r="146" customFormat="false" ht="12.75" hidden="false" customHeight="false" outlineLevel="0" collapsed="false">
      <c r="K146" s="288" t="n">
        <v>138</v>
      </c>
      <c r="L146" s="289" t="n">
        <f aca="false">-IF(SUMMARY!$D$21*12&gt;=K146,IPMT(SUMMARY!$D$22/12,K146,SUMMARY!$D$21*12,SUMMARY!$D$20),0)</f>
        <v>167.671927425647</v>
      </c>
      <c r="M146" s="289" t="n">
        <f aca="false">IF(SUMMARY!$D$21*12&gt;=K146,-PPMT(SUMMARY!$D$22/12,K146,SUMMARY!$D$21*12,SUMMARY!$D$20),0)</f>
        <v>95.2160306993155</v>
      </c>
      <c r="N146" s="290" t="n">
        <f aca="false">+M146+L146</f>
        <v>262.887958124963</v>
      </c>
      <c r="P146" s="308"/>
      <c r="Q146" s="309"/>
      <c r="R146" s="309"/>
      <c r="S146" s="309"/>
    </row>
    <row r="147" customFormat="false" ht="12.75" hidden="false" customHeight="false" outlineLevel="0" collapsed="false">
      <c r="K147" s="288" t="n">
        <v>139</v>
      </c>
      <c r="L147" s="289" t="n">
        <f aca="false">-IF(SUMMARY!$D$21*12&gt;=K147,IPMT(SUMMARY!$D$22/12,K147,SUMMARY!$D$21*12,SUMMARY!$D$20),0)</f>
        <v>167.076827233777</v>
      </c>
      <c r="M147" s="289" t="n">
        <f aca="false">IF(SUMMARY!$D$21*12&gt;=K147,-PPMT(SUMMARY!$D$22/12,K147,SUMMARY!$D$21*12,SUMMARY!$D$20),0)</f>
        <v>95.8111308911862</v>
      </c>
      <c r="N147" s="290" t="n">
        <f aca="false">+M147+L147</f>
        <v>262.887958124963</v>
      </c>
      <c r="P147" s="308"/>
      <c r="Q147" s="309"/>
      <c r="R147" s="309"/>
      <c r="S147" s="309"/>
    </row>
    <row r="148" customFormat="false" ht="12.75" hidden="false" customHeight="false" outlineLevel="0" collapsed="false">
      <c r="K148" s="288" t="n">
        <v>140</v>
      </c>
      <c r="L148" s="289" t="n">
        <f aca="false">-IF(SUMMARY!$D$21*12&gt;=K148,IPMT(SUMMARY!$D$22/12,K148,SUMMARY!$D$21*12,SUMMARY!$D$20),0)</f>
        <v>166.478007665707</v>
      </c>
      <c r="M148" s="289" t="n">
        <f aca="false">IF(SUMMARY!$D$21*12&gt;=K148,-PPMT(SUMMARY!$D$22/12,K148,SUMMARY!$D$21*12,SUMMARY!$D$20),0)</f>
        <v>96.4099504592561</v>
      </c>
      <c r="N148" s="290" t="n">
        <f aca="false">+M148+L148</f>
        <v>262.887958124963</v>
      </c>
      <c r="P148" s="308"/>
      <c r="Q148" s="309"/>
      <c r="R148" s="309"/>
      <c r="S148" s="309"/>
    </row>
    <row r="149" customFormat="false" ht="12.75" hidden="false" customHeight="false" outlineLevel="0" collapsed="false">
      <c r="K149" s="288" t="n">
        <v>141</v>
      </c>
      <c r="L149" s="289" t="n">
        <f aca="false">-IF(SUMMARY!$D$21*12&gt;=K149,IPMT(SUMMARY!$D$22/12,K149,SUMMARY!$D$21*12,SUMMARY!$D$20),0)</f>
        <v>165.875445475336</v>
      </c>
      <c r="M149" s="289" t="n">
        <f aca="false">IF(SUMMARY!$D$21*12&gt;=K149,-PPMT(SUMMARY!$D$22/12,K149,SUMMARY!$D$21*12,SUMMARY!$D$20),0)</f>
        <v>97.0125126496265</v>
      </c>
      <c r="N149" s="290" t="n">
        <f aca="false">+M149+L149</f>
        <v>262.887958124963</v>
      </c>
      <c r="P149" s="308"/>
      <c r="Q149" s="309"/>
      <c r="R149" s="309"/>
      <c r="S149" s="309"/>
    </row>
    <row r="150" customFormat="false" ht="12.75" hidden="false" customHeight="false" outlineLevel="0" collapsed="false">
      <c r="K150" s="288" t="n">
        <v>142</v>
      </c>
      <c r="L150" s="289" t="n">
        <f aca="false">-IF(SUMMARY!$D$21*12&gt;=K150,IPMT(SUMMARY!$D$22/12,K150,SUMMARY!$D$21*12,SUMMARY!$D$20),0)</f>
        <v>165.269117271276</v>
      </c>
      <c r="M150" s="289" t="n">
        <f aca="false">IF(SUMMARY!$D$21*12&gt;=K150,-PPMT(SUMMARY!$D$22/12,K150,SUMMARY!$D$21*12,SUMMARY!$D$20),0)</f>
        <v>97.6188408536867</v>
      </c>
      <c r="N150" s="290" t="n">
        <f aca="false">+M150+L150</f>
        <v>262.887958124963</v>
      </c>
      <c r="P150" s="308"/>
      <c r="Q150" s="309"/>
      <c r="R150" s="309"/>
      <c r="S150" s="309"/>
    </row>
    <row r="151" customFormat="false" ht="12.75" hidden="false" customHeight="false" outlineLevel="0" collapsed="false">
      <c r="K151" s="288" t="n">
        <v>143</v>
      </c>
      <c r="L151" s="289" t="n">
        <f aca="false">-IF(SUMMARY!$D$21*12&gt;=K151,IPMT(SUMMARY!$D$22/12,K151,SUMMARY!$D$21*12,SUMMARY!$D$20),0)</f>
        <v>164.658999515941</v>
      </c>
      <c r="M151" s="289" t="n">
        <f aca="false">IF(SUMMARY!$D$21*12&gt;=K151,-PPMT(SUMMARY!$D$22/12,K151,SUMMARY!$D$21*12,SUMMARY!$D$20),0)</f>
        <v>98.2289586090222</v>
      </c>
      <c r="N151" s="290" t="n">
        <f aca="false">+M151+L151</f>
        <v>262.887958124963</v>
      </c>
      <c r="P151" s="308"/>
      <c r="Q151" s="309"/>
      <c r="R151" s="309"/>
      <c r="S151" s="309"/>
    </row>
    <row r="152" customFormat="false" ht="12.75" hidden="false" customHeight="false" outlineLevel="0" collapsed="false">
      <c r="K152" s="288" t="n">
        <v>144</v>
      </c>
      <c r="L152" s="289" t="n">
        <f aca="false">-IF(SUMMARY!$D$21*12&gt;=K152,IPMT(SUMMARY!$D$22/12,K152,SUMMARY!$D$21*12,SUMMARY!$D$20),0)</f>
        <v>164.045068524634</v>
      </c>
      <c r="M152" s="289" t="n">
        <f aca="false">IF(SUMMARY!$D$21*12&gt;=K152,-PPMT(SUMMARY!$D$22/12,K152,SUMMARY!$D$21*12,SUMMARY!$D$20),0)</f>
        <v>98.8428896003287</v>
      </c>
      <c r="N152" s="290" t="n">
        <f aca="false">+M152+L152</f>
        <v>262.887958124963</v>
      </c>
      <c r="P152" s="308"/>
      <c r="Q152" s="309"/>
      <c r="R152" s="309"/>
      <c r="S152" s="309"/>
    </row>
    <row r="153" customFormat="false" ht="12.75" hidden="false" customHeight="false" outlineLevel="0" collapsed="false">
      <c r="K153" s="288" t="n">
        <v>145</v>
      </c>
      <c r="L153" s="289" t="n">
        <f aca="false">-IF(SUMMARY!$D$21*12&gt;=K153,IPMT(SUMMARY!$D$22/12,K153,SUMMARY!$D$21*12,SUMMARY!$D$20),0)</f>
        <v>163.427300464632</v>
      </c>
      <c r="M153" s="289" t="n">
        <f aca="false">IF(SUMMARY!$D$21*12&gt;=K153,-PPMT(SUMMARY!$D$22/12,K153,SUMMARY!$D$21*12,SUMMARY!$D$20),0)</f>
        <v>99.4606576603307</v>
      </c>
      <c r="N153" s="290" t="n">
        <f aca="false">+M153+L153</f>
        <v>262.887958124963</v>
      </c>
      <c r="P153" s="308"/>
      <c r="Q153" s="309"/>
      <c r="R153" s="309"/>
      <c r="S153" s="309"/>
    </row>
    <row r="154" customFormat="false" ht="12.75" hidden="false" customHeight="false" outlineLevel="0" collapsed="false">
      <c r="K154" s="288" t="n">
        <v>146</v>
      </c>
      <c r="L154" s="289" t="n">
        <f aca="false">-IF(SUMMARY!$D$21*12&gt;=K154,IPMT(SUMMARY!$D$22/12,K154,SUMMARY!$D$21*12,SUMMARY!$D$20),0)</f>
        <v>162.805671354255</v>
      </c>
      <c r="M154" s="289" t="n">
        <f aca="false">IF(SUMMARY!$D$21*12&gt;=K154,-PPMT(SUMMARY!$D$22/12,K154,SUMMARY!$D$21*12,SUMMARY!$D$20),0)</f>
        <v>100.082286770708</v>
      </c>
      <c r="N154" s="290" t="n">
        <f aca="false">+M154+L154</f>
        <v>262.887958124963</v>
      </c>
      <c r="P154" s="308"/>
      <c r="Q154" s="309"/>
      <c r="R154" s="309"/>
      <c r="S154" s="309"/>
    </row>
    <row r="155" customFormat="false" ht="12.75" hidden="false" customHeight="false" outlineLevel="0" collapsed="false">
      <c r="K155" s="288" t="n">
        <v>147</v>
      </c>
      <c r="L155" s="289" t="n">
        <f aca="false">-IF(SUMMARY!$D$21*12&gt;=K155,IPMT(SUMMARY!$D$22/12,K155,SUMMARY!$D$21*12,SUMMARY!$D$20),0)</f>
        <v>162.180157061938</v>
      </c>
      <c r="M155" s="289" t="n">
        <f aca="false">IF(SUMMARY!$D$21*12&gt;=K155,-PPMT(SUMMARY!$D$22/12,K155,SUMMARY!$D$21*12,SUMMARY!$D$20),0)</f>
        <v>100.707801063025</v>
      </c>
      <c r="N155" s="290" t="n">
        <f aca="false">+M155+L155</f>
        <v>262.887958124963</v>
      </c>
      <c r="P155" s="308"/>
      <c r="Q155" s="309"/>
      <c r="R155" s="309"/>
      <c r="S155" s="309"/>
    </row>
    <row r="156" customFormat="false" ht="12.75" hidden="false" customHeight="false" outlineLevel="0" collapsed="false">
      <c r="K156" s="288" t="n">
        <v>148</v>
      </c>
      <c r="L156" s="289" t="n">
        <f aca="false">-IF(SUMMARY!$D$21*12&gt;=K156,IPMT(SUMMARY!$D$22/12,K156,SUMMARY!$D$21*12,SUMMARY!$D$20),0)</f>
        <v>161.550733305294</v>
      </c>
      <c r="M156" s="289" t="n">
        <f aca="false">IF(SUMMARY!$D$21*12&gt;=K156,-PPMT(SUMMARY!$D$22/12,K156,SUMMARY!$D$21*12,SUMMARY!$D$20),0)</f>
        <v>101.337224819669</v>
      </c>
      <c r="N156" s="290" t="n">
        <f aca="false">+M156+L156</f>
        <v>262.887958124963</v>
      </c>
      <c r="P156" s="308"/>
      <c r="Q156" s="309"/>
      <c r="R156" s="309"/>
      <c r="S156" s="309"/>
    </row>
    <row r="157" customFormat="false" ht="12.75" hidden="false" customHeight="false" outlineLevel="0" collapsed="false">
      <c r="K157" s="288" t="n">
        <v>149</v>
      </c>
      <c r="L157" s="289" t="n">
        <f aca="false">-IF(SUMMARY!$D$21*12&gt;=K157,IPMT(SUMMARY!$D$22/12,K157,SUMMARY!$D$21*12,SUMMARY!$D$20),0)</f>
        <v>160.917375650171</v>
      </c>
      <c r="M157" s="289" t="n">
        <f aca="false">IF(SUMMARY!$D$21*12&gt;=K157,-PPMT(SUMMARY!$D$22/12,K157,SUMMARY!$D$21*12,SUMMARY!$D$20),0)</f>
        <v>101.970582474792</v>
      </c>
      <c r="N157" s="290" t="n">
        <f aca="false">+M157+L157</f>
        <v>262.887958124963</v>
      </c>
      <c r="P157" s="308"/>
      <c r="Q157" s="309"/>
      <c r="R157" s="309"/>
      <c r="S157" s="309"/>
    </row>
    <row r="158" customFormat="false" ht="12.75" hidden="false" customHeight="false" outlineLevel="0" collapsed="false">
      <c r="K158" s="288" t="n">
        <v>150</v>
      </c>
      <c r="L158" s="289" t="n">
        <f aca="false">-IF(SUMMARY!$D$21*12&gt;=K158,IPMT(SUMMARY!$D$22/12,K158,SUMMARY!$D$21*12,SUMMARY!$D$20),0)</f>
        <v>160.280059509704</v>
      </c>
      <c r="M158" s="289" t="n">
        <f aca="false">IF(SUMMARY!$D$21*12&gt;=K158,-PPMT(SUMMARY!$D$22/12,K158,SUMMARY!$D$21*12,SUMMARY!$D$20),0)</f>
        <v>102.607898615259</v>
      </c>
      <c r="N158" s="290" t="n">
        <f aca="false">+M158+L158</f>
        <v>262.887958124963</v>
      </c>
      <c r="P158" s="308"/>
      <c r="Q158" s="309"/>
      <c r="R158" s="309"/>
      <c r="S158" s="309"/>
    </row>
    <row r="159" customFormat="false" ht="12.75" hidden="false" customHeight="false" outlineLevel="0" collapsed="false">
      <c r="K159" s="288" t="n">
        <v>151</v>
      </c>
      <c r="L159" s="289" t="n">
        <f aca="false">-IF(SUMMARY!$D$21*12&gt;=K159,IPMT(SUMMARY!$D$22/12,K159,SUMMARY!$D$21*12,SUMMARY!$D$20),0)</f>
        <v>159.638760143358</v>
      </c>
      <c r="M159" s="289" t="n">
        <f aca="false">IF(SUMMARY!$D$21*12&gt;=K159,-PPMT(SUMMARY!$D$22/12,K159,SUMMARY!$D$21*12,SUMMARY!$D$20),0)</f>
        <v>103.249197981604</v>
      </c>
      <c r="N159" s="290" t="n">
        <f aca="false">+M159+L159</f>
        <v>262.887958124963</v>
      </c>
      <c r="P159" s="308"/>
      <c r="Q159" s="309"/>
      <c r="R159" s="309"/>
      <c r="S159" s="309"/>
    </row>
    <row r="160" customFormat="false" ht="12.75" hidden="false" customHeight="false" outlineLevel="0" collapsed="false">
      <c r="K160" s="288" t="n">
        <v>152</v>
      </c>
      <c r="L160" s="289" t="n">
        <f aca="false">-IF(SUMMARY!$D$21*12&gt;=K160,IPMT(SUMMARY!$D$22/12,K160,SUMMARY!$D$21*12,SUMMARY!$D$20),0)</f>
        <v>158.993452655973</v>
      </c>
      <c r="M160" s="289" t="n">
        <f aca="false">IF(SUMMARY!$D$21*12&gt;=K160,-PPMT(SUMMARY!$D$22/12,K160,SUMMARY!$D$21*12,SUMMARY!$D$20),0)</f>
        <v>103.894505468989</v>
      </c>
      <c r="N160" s="290" t="n">
        <f aca="false">+M160+L160</f>
        <v>262.887958124963</v>
      </c>
      <c r="P160" s="308"/>
      <c r="Q160" s="309"/>
      <c r="R160" s="309"/>
      <c r="S160" s="309"/>
    </row>
    <row r="161" customFormat="false" ht="12.75" hidden="false" customHeight="false" outlineLevel="0" collapsed="false">
      <c r="K161" s="288" t="n">
        <v>153</v>
      </c>
      <c r="L161" s="289" t="n">
        <f aca="false">-IF(SUMMARY!$D$21*12&gt;=K161,IPMT(SUMMARY!$D$22/12,K161,SUMMARY!$D$21*12,SUMMARY!$D$20),0)</f>
        <v>158.344111996792</v>
      </c>
      <c r="M161" s="289" t="n">
        <f aca="false">IF(SUMMARY!$D$21*12&gt;=K161,-PPMT(SUMMARY!$D$22/12,K161,SUMMARY!$D$21*12,SUMMARY!$D$20),0)</f>
        <v>104.543846128171</v>
      </c>
      <c r="N161" s="290" t="n">
        <f aca="false">+M161+L161</f>
        <v>262.887958124963</v>
      </c>
      <c r="P161" s="308"/>
      <c r="Q161" s="309"/>
      <c r="R161" s="309"/>
      <c r="S161" s="309"/>
    </row>
    <row r="162" customFormat="false" ht="12.75" hidden="false" customHeight="false" outlineLevel="0" collapsed="false">
      <c r="K162" s="288" t="n">
        <v>154</v>
      </c>
      <c r="L162" s="289" t="n">
        <f aca="false">-IF(SUMMARY!$D$21*12&gt;=K162,IPMT(SUMMARY!$D$22/12,K162,SUMMARY!$D$21*12,SUMMARY!$D$20),0)</f>
        <v>157.690712958491</v>
      </c>
      <c r="M162" s="289" t="n">
        <f aca="false">IF(SUMMARY!$D$21*12&gt;=K162,-PPMT(SUMMARY!$D$22/12,K162,SUMMARY!$D$21*12,SUMMARY!$D$20),0)</f>
        <v>105.197245166472</v>
      </c>
      <c r="N162" s="290" t="n">
        <f aca="false">+M162+L162</f>
        <v>262.887958124963</v>
      </c>
      <c r="P162" s="308"/>
      <c r="Q162" s="309"/>
      <c r="R162" s="309"/>
      <c r="S162" s="309"/>
    </row>
    <row r="163" customFormat="false" ht="12.75" hidden="false" customHeight="false" outlineLevel="0" collapsed="false">
      <c r="K163" s="288" t="n">
        <v>155</v>
      </c>
      <c r="L163" s="289" t="n">
        <f aca="false">-IF(SUMMARY!$D$21*12&gt;=K163,IPMT(SUMMARY!$D$22/12,K163,SUMMARY!$D$21*12,SUMMARY!$D$20),0)</f>
        <v>157.033230176201</v>
      </c>
      <c r="M163" s="289" t="n">
        <f aca="false">IF(SUMMARY!$D$21*12&gt;=K163,-PPMT(SUMMARY!$D$22/12,K163,SUMMARY!$D$21*12,SUMMARY!$D$20),0)</f>
        <v>105.854727948762</v>
      </c>
      <c r="N163" s="290" t="n">
        <f aca="false">+M163+L163</f>
        <v>262.887958124963</v>
      </c>
      <c r="P163" s="308"/>
      <c r="Q163" s="309"/>
      <c r="R163" s="309"/>
      <c r="S163" s="309"/>
    </row>
    <row r="164" customFormat="false" ht="12.75" hidden="false" customHeight="false" outlineLevel="0" collapsed="false">
      <c r="K164" s="288" t="n">
        <v>156</v>
      </c>
      <c r="L164" s="289" t="n">
        <f aca="false">-IF(SUMMARY!$D$21*12&gt;=K164,IPMT(SUMMARY!$D$22/12,K164,SUMMARY!$D$21*12,SUMMARY!$D$20),0)</f>
        <v>156.371638126521</v>
      </c>
      <c r="M164" s="289" t="n">
        <f aca="false">IF(SUMMARY!$D$21*12&gt;=K164,-PPMT(SUMMARY!$D$22/12,K164,SUMMARY!$D$21*12,SUMMARY!$D$20),0)</f>
        <v>106.516319998442</v>
      </c>
      <c r="N164" s="290" t="n">
        <f aca="false">+M164+L164</f>
        <v>262.887958124963</v>
      </c>
      <c r="P164" s="308"/>
      <c r="Q164" s="309"/>
      <c r="R164" s="309"/>
      <c r="S164" s="309"/>
    </row>
    <row r="165" customFormat="false" ht="12.75" hidden="false" customHeight="false" outlineLevel="0" collapsed="false">
      <c r="K165" s="288" t="n">
        <v>157</v>
      </c>
      <c r="L165" s="289" t="n">
        <f aca="false">-IF(SUMMARY!$D$21*12&gt;=K165,IPMT(SUMMARY!$D$22/12,K165,SUMMARY!$D$21*12,SUMMARY!$D$20),0)</f>
        <v>155.705911126531</v>
      </c>
      <c r="M165" s="289" t="n">
        <f aca="false">IF(SUMMARY!$D$21*12&gt;=K165,-PPMT(SUMMARY!$D$22/12,K165,SUMMARY!$D$21*12,SUMMARY!$D$20),0)</f>
        <v>107.182046998432</v>
      </c>
      <c r="N165" s="290" t="n">
        <f aca="false">+M165+L165</f>
        <v>262.887958124963</v>
      </c>
      <c r="P165" s="308"/>
      <c r="Q165" s="309"/>
      <c r="R165" s="309"/>
      <c r="S165" s="309"/>
    </row>
    <row r="166" customFormat="false" ht="12.75" hidden="false" customHeight="false" outlineLevel="0" collapsed="false">
      <c r="K166" s="288" t="n">
        <v>158</v>
      </c>
      <c r="L166" s="289" t="n">
        <f aca="false">-IF(SUMMARY!$D$21*12&gt;=K166,IPMT(SUMMARY!$D$22/12,K166,SUMMARY!$D$21*12,SUMMARY!$D$20),0)</f>
        <v>155.03602333279</v>
      </c>
      <c r="M166" s="289" t="n">
        <f aca="false">IF(SUMMARY!$D$21*12&gt;=K166,-PPMT(SUMMARY!$D$22/12,K166,SUMMARY!$D$21*12,SUMMARY!$D$20),0)</f>
        <v>107.851934792172</v>
      </c>
      <c r="N166" s="290" t="n">
        <f aca="false">+M166+L166</f>
        <v>262.887958124963</v>
      </c>
      <c r="P166" s="308"/>
      <c r="Q166" s="309"/>
      <c r="R166" s="309"/>
      <c r="S166" s="309"/>
    </row>
    <row r="167" customFormat="false" ht="12.75" hidden="false" customHeight="false" outlineLevel="0" collapsed="false">
      <c r="K167" s="288" t="n">
        <v>159</v>
      </c>
      <c r="L167" s="289" t="n">
        <f aca="false">-IF(SUMMARY!$D$21*12&gt;=K167,IPMT(SUMMARY!$D$22/12,K167,SUMMARY!$D$21*12,SUMMARY!$D$20),0)</f>
        <v>154.361948740339</v>
      </c>
      <c r="M167" s="289" t="n">
        <f aca="false">IF(SUMMARY!$D$21*12&gt;=K167,-PPMT(SUMMARY!$D$22/12,K167,SUMMARY!$D$21*12,SUMMARY!$D$20),0)</f>
        <v>108.526009384624</v>
      </c>
      <c r="N167" s="290" t="n">
        <f aca="false">+M167+L167</f>
        <v>262.887958124963</v>
      </c>
      <c r="P167" s="308"/>
      <c r="Q167" s="309"/>
      <c r="R167" s="309"/>
      <c r="S167" s="309"/>
    </row>
    <row r="168" customFormat="false" ht="12.75" hidden="false" customHeight="false" outlineLevel="0" collapsed="false">
      <c r="K168" s="288" t="n">
        <v>160</v>
      </c>
      <c r="L168" s="289" t="n">
        <f aca="false">-IF(SUMMARY!$D$21*12&gt;=K168,IPMT(SUMMARY!$D$22/12,K168,SUMMARY!$D$21*12,SUMMARY!$D$20),0)</f>
        <v>153.683661181685</v>
      </c>
      <c r="M168" s="289" t="n">
        <f aca="false">IF(SUMMARY!$D$21*12&gt;=K168,-PPMT(SUMMARY!$D$22/12,K168,SUMMARY!$D$21*12,SUMMARY!$D$20),0)</f>
        <v>109.204296943277</v>
      </c>
      <c r="N168" s="290" t="n">
        <f aca="false">+M168+L168</f>
        <v>262.887958124963</v>
      </c>
      <c r="P168" s="308"/>
      <c r="Q168" s="309"/>
      <c r="R168" s="309"/>
      <c r="S168" s="309"/>
    </row>
    <row r="169" customFormat="false" ht="12.75" hidden="false" customHeight="false" outlineLevel="0" collapsed="false">
      <c r="K169" s="288" t="n">
        <v>161</v>
      </c>
      <c r="L169" s="289" t="n">
        <f aca="false">-IF(SUMMARY!$D$21*12&gt;=K169,IPMT(SUMMARY!$D$22/12,K169,SUMMARY!$D$21*12,SUMMARY!$D$20),0)</f>
        <v>153.00113432579</v>
      </c>
      <c r="M169" s="289" t="n">
        <f aca="false">IF(SUMMARY!$D$21*12&gt;=K169,-PPMT(SUMMARY!$D$22/12,K169,SUMMARY!$D$21*12,SUMMARY!$D$20),0)</f>
        <v>109.886823799173</v>
      </c>
      <c r="N169" s="290" t="n">
        <f aca="false">+M169+L169</f>
        <v>262.887958124963</v>
      </c>
      <c r="P169" s="308"/>
      <c r="Q169" s="309"/>
      <c r="R169" s="309"/>
      <c r="S169" s="309"/>
    </row>
    <row r="170" customFormat="false" ht="12.75" hidden="false" customHeight="false" outlineLevel="0" collapsed="false">
      <c r="K170" s="288" t="n">
        <v>162</v>
      </c>
      <c r="L170" s="289" t="n">
        <f aca="false">-IF(SUMMARY!$D$21*12&gt;=K170,IPMT(SUMMARY!$D$22/12,K170,SUMMARY!$D$21*12,SUMMARY!$D$20),0)</f>
        <v>152.314341677045</v>
      </c>
      <c r="M170" s="289" t="n">
        <f aca="false">IF(SUMMARY!$D$21*12&gt;=K170,-PPMT(SUMMARY!$D$22/12,K170,SUMMARY!$D$21*12,SUMMARY!$D$20),0)</f>
        <v>110.573616447918</v>
      </c>
      <c r="N170" s="290" t="n">
        <f aca="false">+M170+L170</f>
        <v>262.887958124963</v>
      </c>
      <c r="P170" s="308"/>
      <c r="Q170" s="309"/>
      <c r="R170" s="309"/>
      <c r="S170" s="309"/>
    </row>
    <row r="171" customFormat="false" ht="12.75" hidden="false" customHeight="false" outlineLevel="0" collapsed="false">
      <c r="K171" s="288" t="n">
        <v>163</v>
      </c>
      <c r="L171" s="289" t="n">
        <f aca="false">-IF(SUMMARY!$D$21*12&gt;=K171,IPMT(SUMMARY!$D$22/12,K171,SUMMARY!$D$21*12,SUMMARY!$D$20),0)</f>
        <v>151.623256574246</v>
      </c>
      <c r="M171" s="289" t="n">
        <f aca="false">IF(SUMMARY!$D$21*12&gt;=K171,-PPMT(SUMMARY!$D$22/12,K171,SUMMARY!$D$21*12,SUMMARY!$D$20),0)</f>
        <v>111.264701550717</v>
      </c>
      <c r="N171" s="290" t="n">
        <f aca="false">+M171+L171</f>
        <v>262.887958124963</v>
      </c>
      <c r="P171" s="308"/>
      <c r="Q171" s="309"/>
      <c r="R171" s="309"/>
      <c r="S171" s="309"/>
    </row>
    <row r="172" customFormat="false" ht="12.75" hidden="false" customHeight="false" outlineLevel="0" collapsed="false">
      <c r="K172" s="288" t="n">
        <v>164</v>
      </c>
      <c r="L172" s="289" t="n">
        <f aca="false">-IF(SUMMARY!$D$21*12&gt;=K172,IPMT(SUMMARY!$D$22/12,K172,SUMMARY!$D$21*12,SUMMARY!$D$20),0)</f>
        <v>150.927852189554</v>
      </c>
      <c r="M172" s="289" t="n">
        <f aca="false">IF(SUMMARY!$D$21*12&gt;=K172,-PPMT(SUMMARY!$D$22/12,K172,SUMMARY!$D$21*12,SUMMARY!$D$20),0)</f>
        <v>111.960105935409</v>
      </c>
      <c r="N172" s="290" t="n">
        <f aca="false">+M172+L172</f>
        <v>262.887958124963</v>
      </c>
      <c r="P172" s="308"/>
      <c r="Q172" s="309"/>
      <c r="R172" s="309"/>
      <c r="S172" s="309"/>
    </row>
    <row r="173" customFormat="false" ht="12.75" hidden="false" customHeight="false" outlineLevel="0" collapsed="false">
      <c r="K173" s="288" t="n">
        <v>165</v>
      </c>
      <c r="L173" s="289" t="n">
        <f aca="false">-IF(SUMMARY!$D$21*12&gt;=K173,IPMT(SUMMARY!$D$22/12,K173,SUMMARY!$D$21*12,SUMMARY!$D$20),0)</f>
        <v>150.228101527457</v>
      </c>
      <c r="M173" s="289" t="n">
        <f aca="false">IF(SUMMARY!$D$21*12&gt;=K173,-PPMT(SUMMARY!$D$22/12,K173,SUMMARY!$D$21*12,SUMMARY!$D$20),0)</f>
        <v>112.659856597506</v>
      </c>
      <c r="N173" s="290" t="n">
        <f aca="false">+M173+L173</f>
        <v>262.887958124963</v>
      </c>
      <c r="P173" s="308"/>
      <c r="Q173" s="309"/>
      <c r="R173" s="309"/>
      <c r="S173" s="309"/>
    </row>
    <row r="174" customFormat="false" ht="12.75" hidden="false" customHeight="false" outlineLevel="0" collapsed="false">
      <c r="K174" s="288" t="n">
        <v>166</v>
      </c>
      <c r="L174" s="289" t="n">
        <f aca="false">-IF(SUMMARY!$D$21*12&gt;=K174,IPMT(SUMMARY!$D$22/12,K174,SUMMARY!$D$21*12,SUMMARY!$D$20),0)</f>
        <v>149.523977423723</v>
      </c>
      <c r="M174" s="289" t="n">
        <f aca="false">IF(SUMMARY!$D$21*12&gt;=K174,-PPMT(SUMMARY!$D$22/12,K174,SUMMARY!$D$21*12,SUMMARY!$D$20),0)</f>
        <v>113.36398070124</v>
      </c>
      <c r="N174" s="290" t="n">
        <f aca="false">+M174+L174</f>
        <v>262.887958124963</v>
      </c>
      <c r="P174" s="308"/>
      <c r="Q174" s="309"/>
      <c r="R174" s="309"/>
      <c r="S174" s="309"/>
    </row>
    <row r="175" customFormat="false" ht="12.75" hidden="false" customHeight="false" outlineLevel="0" collapsed="false">
      <c r="K175" s="288" t="n">
        <v>167</v>
      </c>
      <c r="L175" s="289" t="n">
        <f aca="false">-IF(SUMMARY!$D$21*12&gt;=K175,IPMT(SUMMARY!$D$22/12,K175,SUMMARY!$D$21*12,SUMMARY!$D$20),0)</f>
        <v>148.81545254434</v>
      </c>
      <c r="M175" s="289" t="n">
        <f aca="false">IF(SUMMARY!$D$21*12&gt;=K175,-PPMT(SUMMARY!$D$22/12,K175,SUMMARY!$D$21*12,SUMMARY!$D$20),0)</f>
        <v>114.072505580623</v>
      </c>
      <c r="N175" s="290" t="n">
        <f aca="false">+M175+L175</f>
        <v>262.887958124963</v>
      </c>
      <c r="P175" s="308"/>
      <c r="Q175" s="309"/>
      <c r="R175" s="309"/>
      <c r="S175" s="309"/>
    </row>
    <row r="176" customFormat="false" ht="12.75" hidden="false" customHeight="false" outlineLevel="0" collapsed="false">
      <c r="K176" s="288" t="n">
        <v>168</v>
      </c>
      <c r="L176" s="289" t="n">
        <f aca="false">-IF(SUMMARY!$D$21*12&gt;=K176,IPMT(SUMMARY!$D$22/12,K176,SUMMARY!$D$21*12,SUMMARY!$D$20),0)</f>
        <v>148.102499384461</v>
      </c>
      <c r="M176" s="289" t="n">
        <f aca="false">IF(SUMMARY!$D$21*12&gt;=K176,-PPMT(SUMMARY!$D$22/12,K176,SUMMARY!$D$21*12,SUMMARY!$D$20),0)</f>
        <v>114.785458740502</v>
      </c>
      <c r="N176" s="290" t="n">
        <f aca="false">+M176+L176</f>
        <v>262.887958124963</v>
      </c>
      <c r="P176" s="308"/>
      <c r="Q176" s="309"/>
      <c r="R176" s="309"/>
      <c r="S176" s="309"/>
    </row>
    <row r="177" customFormat="false" ht="12.75" hidden="false" customHeight="false" outlineLevel="0" collapsed="false">
      <c r="K177" s="288" t="n">
        <v>169</v>
      </c>
      <c r="L177" s="289" t="n">
        <f aca="false">-IF(SUMMARY!$D$21*12&gt;=K177,IPMT(SUMMARY!$D$22/12,K177,SUMMARY!$D$21*12,SUMMARY!$D$20),0)</f>
        <v>147.385090267333</v>
      </c>
      <c r="M177" s="289" t="n">
        <f aca="false">IF(SUMMARY!$D$21*12&gt;=K177,-PPMT(SUMMARY!$D$22/12,K177,SUMMARY!$D$21*12,SUMMARY!$D$20),0)</f>
        <v>115.50286785763</v>
      </c>
      <c r="N177" s="290" t="n">
        <f aca="false">+M177+L177</f>
        <v>262.887958124963</v>
      </c>
      <c r="P177" s="308"/>
      <c r="Q177" s="309"/>
      <c r="R177" s="309"/>
      <c r="S177" s="309"/>
    </row>
    <row r="178" customFormat="false" ht="12.75" hidden="false" customHeight="false" outlineLevel="0" collapsed="false">
      <c r="K178" s="288" t="n">
        <v>170</v>
      </c>
      <c r="L178" s="289" t="n">
        <f aca="false">-IF(SUMMARY!$D$21*12&gt;=K178,IPMT(SUMMARY!$D$22/12,K178,SUMMARY!$D$21*12,SUMMARY!$D$20),0)</f>
        <v>146.663197343223</v>
      </c>
      <c r="M178" s="289" t="n">
        <f aca="false">IF(SUMMARY!$D$21*12&gt;=K178,-PPMT(SUMMARY!$D$22/12,K178,SUMMARY!$D$21*12,SUMMARY!$D$20),0)</f>
        <v>116.22476078174</v>
      </c>
      <c r="N178" s="290" t="n">
        <f aca="false">+M178+L178</f>
        <v>262.887958124963</v>
      </c>
      <c r="P178" s="308"/>
      <c r="Q178" s="309"/>
      <c r="R178" s="309"/>
      <c r="S178" s="309"/>
    </row>
    <row r="179" customFormat="false" ht="12.75" hidden="false" customHeight="false" outlineLevel="0" collapsed="false">
      <c r="K179" s="288" t="n">
        <v>171</v>
      </c>
      <c r="L179" s="289" t="n">
        <f aca="false">-IF(SUMMARY!$D$21*12&gt;=K179,IPMT(SUMMARY!$D$22/12,K179,SUMMARY!$D$21*12,SUMMARY!$D$20),0)</f>
        <v>145.936792588337</v>
      </c>
      <c r="M179" s="289" t="n">
        <f aca="false">IF(SUMMARY!$D$21*12&gt;=K179,-PPMT(SUMMARY!$D$22/12,K179,SUMMARY!$D$21*12,SUMMARY!$D$20),0)</f>
        <v>116.951165536626</v>
      </c>
      <c r="N179" s="290" t="n">
        <f aca="false">+M179+L179</f>
        <v>262.887958124963</v>
      </c>
      <c r="P179" s="308"/>
      <c r="Q179" s="309"/>
      <c r="R179" s="309"/>
      <c r="S179" s="309"/>
    </row>
    <row r="180" customFormat="false" ht="12.75" hidden="false" customHeight="false" outlineLevel="0" collapsed="false">
      <c r="K180" s="288" t="n">
        <v>172</v>
      </c>
      <c r="L180" s="289" t="n">
        <f aca="false">-IF(SUMMARY!$D$21*12&gt;=K180,IPMT(SUMMARY!$D$22/12,K180,SUMMARY!$D$21*12,SUMMARY!$D$20),0)</f>
        <v>145.205847803733</v>
      </c>
      <c r="M180" s="289" t="n">
        <f aca="false">IF(SUMMARY!$D$21*12&gt;=K180,-PPMT(SUMMARY!$D$22/12,K180,SUMMARY!$D$21*12,SUMMARY!$D$20),0)</f>
        <v>117.68211032123</v>
      </c>
      <c r="N180" s="290" t="n">
        <f aca="false">+M180+L180</f>
        <v>262.887958124963</v>
      </c>
      <c r="P180" s="308"/>
      <c r="Q180" s="309"/>
      <c r="R180" s="309"/>
      <c r="S180" s="309"/>
    </row>
    <row r="181" customFormat="false" ht="12.75" hidden="false" customHeight="false" outlineLevel="0" collapsed="false">
      <c r="K181" s="288" t="n">
        <v>173</v>
      </c>
      <c r="L181" s="289" t="n">
        <f aca="false">-IF(SUMMARY!$D$21*12&gt;=K181,IPMT(SUMMARY!$D$22/12,K181,SUMMARY!$D$21*12,SUMMARY!$D$20),0)</f>
        <v>144.470334614225</v>
      </c>
      <c r="M181" s="289" t="n">
        <f aca="false">IF(SUMMARY!$D$21*12&gt;=K181,-PPMT(SUMMARY!$D$22/12,K181,SUMMARY!$D$21*12,SUMMARY!$D$20),0)</f>
        <v>118.417623510737</v>
      </c>
      <c r="N181" s="290" t="n">
        <f aca="false">+M181+L181</f>
        <v>262.887958124963</v>
      </c>
      <c r="P181" s="308"/>
      <c r="Q181" s="309"/>
      <c r="R181" s="309"/>
      <c r="S181" s="309"/>
    </row>
    <row r="182" customFormat="false" ht="12.75" hidden="false" customHeight="false" outlineLevel="0" collapsed="false">
      <c r="K182" s="288" t="n">
        <v>174</v>
      </c>
      <c r="L182" s="289" t="n">
        <f aca="false">-IF(SUMMARY!$D$21*12&gt;=K182,IPMT(SUMMARY!$D$22/12,K182,SUMMARY!$D$21*12,SUMMARY!$D$20),0)</f>
        <v>143.730224467283</v>
      </c>
      <c r="M182" s="289" t="n">
        <f aca="false">IF(SUMMARY!$D$21*12&gt;=K182,-PPMT(SUMMARY!$D$22/12,K182,SUMMARY!$D$21*12,SUMMARY!$D$20),0)</f>
        <v>119.15773365768</v>
      </c>
      <c r="N182" s="290" t="n">
        <f aca="false">+M182+L182</f>
        <v>262.887958124963</v>
      </c>
      <c r="P182" s="308"/>
      <c r="Q182" s="309"/>
      <c r="R182" s="309"/>
      <c r="S182" s="309"/>
    </row>
    <row r="183" customFormat="false" ht="12.75" hidden="false" customHeight="false" outlineLevel="0" collapsed="false">
      <c r="K183" s="288" t="n">
        <v>175</v>
      </c>
      <c r="L183" s="289" t="n">
        <f aca="false">-IF(SUMMARY!$D$21*12&gt;=K183,IPMT(SUMMARY!$D$22/12,K183,SUMMARY!$D$21*12,SUMMARY!$D$20),0)</f>
        <v>142.985488631923</v>
      </c>
      <c r="M183" s="289" t="n">
        <f aca="false">IF(SUMMARY!$D$21*12&gt;=K183,-PPMT(SUMMARY!$D$22/12,K183,SUMMARY!$D$21*12,SUMMARY!$D$20),0)</f>
        <v>119.90246949304</v>
      </c>
      <c r="N183" s="290" t="n">
        <f aca="false">+M183+L183</f>
        <v>262.887958124963</v>
      </c>
      <c r="P183" s="308"/>
      <c r="Q183" s="309"/>
      <c r="R183" s="309"/>
      <c r="S183" s="309"/>
    </row>
    <row r="184" customFormat="false" ht="12.75" hidden="false" customHeight="false" outlineLevel="0" collapsed="false">
      <c r="K184" s="288" t="n">
        <v>176</v>
      </c>
      <c r="L184" s="289" t="n">
        <f aca="false">-IF(SUMMARY!$D$21*12&gt;=K184,IPMT(SUMMARY!$D$22/12,K184,SUMMARY!$D$21*12,SUMMARY!$D$20),0)</f>
        <v>142.236098197591</v>
      </c>
      <c r="M184" s="289" t="n">
        <f aca="false">IF(SUMMARY!$D$21*12&gt;=K184,-PPMT(SUMMARY!$D$22/12,K184,SUMMARY!$D$21*12,SUMMARY!$D$20),0)</f>
        <v>120.651859927372</v>
      </c>
      <c r="N184" s="290" t="n">
        <f aca="false">+M184+L184</f>
        <v>262.887958124963</v>
      </c>
      <c r="P184" s="308"/>
      <c r="Q184" s="309"/>
      <c r="R184" s="309"/>
      <c r="S184" s="309"/>
    </row>
    <row r="185" customFormat="false" ht="12.75" hidden="false" customHeight="false" outlineLevel="0" collapsed="false">
      <c r="K185" s="288" t="n">
        <v>177</v>
      </c>
      <c r="L185" s="289" t="n">
        <f aca="false">-IF(SUMMARY!$D$21*12&gt;=K185,IPMT(SUMMARY!$D$22/12,K185,SUMMARY!$D$21*12,SUMMARY!$D$20),0)</f>
        <v>141.482024073045</v>
      </c>
      <c r="M185" s="289" t="n">
        <f aca="false">IF(SUMMARY!$D$21*12&gt;=K185,-PPMT(SUMMARY!$D$22/12,K185,SUMMARY!$D$21*12,SUMMARY!$D$20),0)</f>
        <v>121.405934051918</v>
      </c>
      <c r="N185" s="290" t="n">
        <f aca="false">+M185+L185</f>
        <v>262.887958124963</v>
      </c>
      <c r="P185" s="308"/>
      <c r="Q185" s="309"/>
      <c r="R185" s="309"/>
      <c r="S185" s="309"/>
    </row>
    <row r="186" customFormat="false" ht="12.75" hidden="false" customHeight="false" outlineLevel="0" collapsed="false">
      <c r="K186" s="288" t="n">
        <v>178</v>
      </c>
      <c r="L186" s="289" t="n">
        <f aca="false">-IF(SUMMARY!$D$21*12&gt;=K186,IPMT(SUMMARY!$D$22/12,K186,SUMMARY!$D$21*12,SUMMARY!$D$20),0)</f>
        <v>140.723236985221</v>
      </c>
      <c r="M186" s="289" t="n">
        <f aca="false">IF(SUMMARY!$D$21*12&gt;=K186,-PPMT(SUMMARY!$D$22/12,K186,SUMMARY!$D$21*12,SUMMARY!$D$20),0)</f>
        <v>122.164721139742</v>
      </c>
      <c r="N186" s="290" t="n">
        <f aca="false">+M186+L186</f>
        <v>262.887958124963</v>
      </c>
      <c r="P186" s="308"/>
      <c r="Q186" s="309"/>
      <c r="R186" s="309"/>
      <c r="S186" s="309"/>
    </row>
    <row r="187" customFormat="false" ht="12.75" hidden="false" customHeight="false" outlineLevel="0" collapsed="false">
      <c r="K187" s="288" t="n">
        <v>179</v>
      </c>
      <c r="L187" s="289" t="n">
        <f aca="false">-IF(SUMMARY!$D$21*12&gt;=K187,IPMT(SUMMARY!$D$22/12,K187,SUMMARY!$D$21*12,SUMMARY!$D$20),0)</f>
        <v>139.959707478097</v>
      </c>
      <c r="M187" s="289" t="n">
        <f aca="false">IF(SUMMARY!$D$21*12&gt;=K187,-PPMT(SUMMARY!$D$22/12,K187,SUMMARY!$D$21*12,SUMMARY!$D$20),0)</f>
        <v>122.928250646866</v>
      </c>
      <c r="N187" s="290" t="n">
        <f aca="false">+M187+L187</f>
        <v>262.887958124963</v>
      </c>
      <c r="P187" s="308"/>
      <c r="Q187" s="309"/>
      <c r="R187" s="309"/>
      <c r="S187" s="309"/>
    </row>
    <row r="188" customFormat="false" ht="12.75" hidden="false" customHeight="false" outlineLevel="0" collapsed="false">
      <c r="K188" s="288" t="n">
        <v>180</v>
      </c>
      <c r="L188" s="289" t="n">
        <f aca="false">-IF(SUMMARY!$D$21*12&gt;=K188,IPMT(SUMMARY!$D$22/12,K188,SUMMARY!$D$21*12,SUMMARY!$D$20),0)</f>
        <v>139.191405911554</v>
      </c>
      <c r="M188" s="289" t="n">
        <f aca="false">IF(SUMMARY!$D$21*12&gt;=K188,-PPMT(SUMMARY!$D$22/12,K188,SUMMARY!$D$21*12,SUMMARY!$D$20),0)</f>
        <v>123.696552213408</v>
      </c>
      <c r="N188" s="290" t="n">
        <f aca="false">+M188+L188</f>
        <v>262.887958124963</v>
      </c>
      <c r="P188" s="308"/>
      <c r="Q188" s="309"/>
      <c r="R188" s="309"/>
      <c r="S188" s="309"/>
    </row>
    <row r="189" customFormat="false" ht="12.75" hidden="false" customHeight="false" outlineLevel="0" collapsed="false">
      <c r="K189" s="288" t="n">
        <v>181</v>
      </c>
      <c r="L189" s="289" t="n">
        <f aca="false">-IF(SUMMARY!$D$21*12&gt;=K189,IPMT(SUMMARY!$D$22/12,K189,SUMMARY!$D$21*12,SUMMARY!$D$20),0)</f>
        <v>138.418302460221</v>
      </c>
      <c r="M189" s="289" t="n">
        <f aca="false">IF(SUMMARY!$D$21*12&gt;=K189,-PPMT(SUMMARY!$D$22/12,K189,SUMMARY!$D$21*12,SUMMARY!$D$20),0)</f>
        <v>124.469655664742</v>
      </c>
      <c r="N189" s="290" t="n">
        <f aca="false">+M189+L189</f>
        <v>262.887958124963</v>
      </c>
      <c r="P189" s="308"/>
      <c r="Q189" s="309"/>
      <c r="R189" s="309"/>
      <c r="S189" s="309"/>
    </row>
    <row r="190" customFormat="false" ht="12.75" hidden="false" customHeight="false" outlineLevel="0" collapsed="false">
      <c r="K190" s="288" t="n">
        <v>182</v>
      </c>
      <c r="L190" s="289" t="n">
        <f aca="false">-IF(SUMMARY!$D$21*12&gt;=K190,IPMT(SUMMARY!$D$22/12,K190,SUMMARY!$D$21*12,SUMMARY!$D$20),0)</f>
        <v>137.640367112316</v>
      </c>
      <c r="M190" s="289" t="n">
        <f aca="false">IF(SUMMARY!$D$21*12&gt;=K190,-PPMT(SUMMARY!$D$22/12,K190,SUMMARY!$D$21*12,SUMMARY!$D$20),0)</f>
        <v>125.247591012647</v>
      </c>
      <c r="N190" s="290" t="n">
        <f aca="false">+M190+L190</f>
        <v>262.887958124963</v>
      </c>
      <c r="P190" s="308"/>
      <c r="Q190" s="309"/>
      <c r="R190" s="309"/>
      <c r="S190" s="309"/>
    </row>
    <row r="191" customFormat="false" ht="12.75" hidden="false" customHeight="false" outlineLevel="0" collapsed="false">
      <c r="K191" s="288" t="n">
        <v>183</v>
      </c>
      <c r="L191" s="289" t="n">
        <f aca="false">-IF(SUMMARY!$D$21*12&gt;=K191,IPMT(SUMMARY!$D$22/12,K191,SUMMARY!$D$21*12,SUMMARY!$D$20),0)</f>
        <v>136.857569668487</v>
      </c>
      <c r="M191" s="289" t="n">
        <f aca="false">IF(SUMMARY!$D$21*12&gt;=K191,-PPMT(SUMMARY!$D$22/12,K191,SUMMARY!$D$21*12,SUMMARY!$D$20),0)</f>
        <v>126.030388456476</v>
      </c>
      <c r="N191" s="290" t="n">
        <f aca="false">+M191+L191</f>
        <v>262.887958124963</v>
      </c>
      <c r="P191" s="308"/>
      <c r="Q191" s="309"/>
      <c r="R191" s="309"/>
      <c r="S191" s="309"/>
    </row>
    <row r="192" customFormat="false" ht="12.75" hidden="false" customHeight="false" outlineLevel="0" collapsed="false">
      <c r="K192" s="288" t="n">
        <v>184</v>
      </c>
      <c r="L192" s="289" t="n">
        <f aca="false">-IF(SUMMARY!$D$21*12&gt;=K192,IPMT(SUMMARY!$D$22/12,K192,SUMMARY!$D$21*12,SUMMARY!$D$20),0)</f>
        <v>136.069879740634</v>
      </c>
      <c r="M192" s="289" t="n">
        <f aca="false">IF(SUMMARY!$D$21*12&gt;=K192,-PPMT(SUMMARY!$D$22/12,K192,SUMMARY!$D$21*12,SUMMARY!$D$20),0)</f>
        <v>126.818078384329</v>
      </c>
      <c r="N192" s="290" t="n">
        <f aca="false">+M192+L192</f>
        <v>262.887958124963</v>
      </c>
      <c r="P192" s="308"/>
      <c r="Q192" s="309"/>
      <c r="R192" s="309"/>
      <c r="S192" s="309"/>
    </row>
    <row r="193" customFormat="false" ht="12.75" hidden="false" customHeight="false" outlineLevel="0" collapsed="false">
      <c r="K193" s="288" t="n">
        <v>185</v>
      </c>
      <c r="L193" s="289" t="n">
        <f aca="false">-IF(SUMMARY!$D$21*12&gt;=K193,IPMT(SUMMARY!$D$22/12,K193,SUMMARY!$D$21*12,SUMMARY!$D$20),0)</f>
        <v>135.277266750732</v>
      </c>
      <c r="M193" s="289" t="n">
        <f aca="false">IF(SUMMARY!$D$21*12&gt;=K193,-PPMT(SUMMARY!$D$22/12,K193,SUMMARY!$D$21*12,SUMMARY!$D$20),0)</f>
        <v>127.610691374231</v>
      </c>
      <c r="N193" s="290" t="n">
        <f aca="false">+M193+L193</f>
        <v>262.887958124963</v>
      </c>
      <c r="P193" s="308"/>
      <c r="Q193" s="309"/>
      <c r="R193" s="309"/>
      <c r="S193" s="309"/>
    </row>
    <row r="194" customFormat="false" ht="12.75" hidden="false" customHeight="false" outlineLevel="0" collapsed="false">
      <c r="K194" s="288" t="n">
        <v>186</v>
      </c>
      <c r="L194" s="289" t="n">
        <f aca="false">-IF(SUMMARY!$D$21*12&gt;=K194,IPMT(SUMMARY!$D$22/12,K194,SUMMARY!$D$21*12,SUMMARY!$D$20),0)</f>
        <v>134.479699929643</v>
      </c>
      <c r="M194" s="289" t="n">
        <f aca="false">IF(SUMMARY!$D$21*12&gt;=K194,-PPMT(SUMMARY!$D$22/12,K194,SUMMARY!$D$21*12,SUMMARY!$D$20),0)</f>
        <v>128.40825819532</v>
      </c>
      <c r="N194" s="290" t="n">
        <f aca="false">+M194+L194</f>
        <v>262.887958124963</v>
      </c>
      <c r="P194" s="308"/>
      <c r="Q194" s="309"/>
      <c r="R194" s="309"/>
      <c r="S194" s="309"/>
    </row>
    <row r="195" customFormat="false" ht="12.75" hidden="false" customHeight="false" outlineLevel="0" collapsed="false">
      <c r="K195" s="288" t="n">
        <v>187</v>
      </c>
      <c r="L195" s="289" t="n">
        <f aca="false">-IF(SUMMARY!$D$21*12&gt;=K195,IPMT(SUMMARY!$D$22/12,K195,SUMMARY!$D$21*12,SUMMARY!$D$20),0)</f>
        <v>133.677148315922</v>
      </c>
      <c r="M195" s="289" t="n">
        <f aca="false">IF(SUMMARY!$D$21*12&gt;=K195,-PPMT(SUMMARY!$D$22/12,K195,SUMMARY!$D$21*12,SUMMARY!$D$20),0)</f>
        <v>129.210809809041</v>
      </c>
      <c r="N195" s="290" t="n">
        <f aca="false">+M195+L195</f>
        <v>262.887958124963</v>
      </c>
      <c r="P195" s="308"/>
      <c r="Q195" s="309"/>
      <c r="R195" s="309"/>
      <c r="S195" s="309"/>
    </row>
    <row r="196" customFormat="false" ht="12.75" hidden="false" customHeight="false" outlineLevel="0" collapsed="false">
      <c r="K196" s="288" t="n">
        <v>188</v>
      </c>
      <c r="L196" s="289" t="n">
        <f aca="false">-IF(SUMMARY!$D$21*12&gt;=K196,IPMT(SUMMARY!$D$22/12,K196,SUMMARY!$D$21*12,SUMMARY!$D$20),0)</f>
        <v>132.869580754615</v>
      </c>
      <c r="M196" s="289" t="n">
        <f aca="false">IF(SUMMARY!$D$21*12&gt;=K196,-PPMT(SUMMARY!$D$22/12,K196,SUMMARY!$D$21*12,SUMMARY!$D$20),0)</f>
        <v>130.018377370347</v>
      </c>
      <c r="N196" s="290" t="n">
        <f aca="false">+M196+L196</f>
        <v>262.887958124963</v>
      </c>
      <c r="P196" s="308"/>
      <c r="Q196" s="309"/>
      <c r="R196" s="309"/>
      <c r="S196" s="309"/>
    </row>
    <row r="197" customFormat="false" ht="12.75" hidden="false" customHeight="false" outlineLevel="0" collapsed="false">
      <c r="K197" s="288" t="n">
        <v>189</v>
      </c>
      <c r="L197" s="289" t="n">
        <f aca="false">-IF(SUMMARY!$D$21*12&gt;=K197,IPMT(SUMMARY!$D$22/12,K197,SUMMARY!$D$21*12,SUMMARY!$D$20),0)</f>
        <v>132.056965896051</v>
      </c>
      <c r="M197" s="289" t="n">
        <f aca="false">IF(SUMMARY!$D$21*12&gt;=K197,-PPMT(SUMMARY!$D$22/12,K197,SUMMARY!$D$21*12,SUMMARY!$D$20),0)</f>
        <v>130.830992228912</v>
      </c>
      <c r="N197" s="290" t="n">
        <f aca="false">+M197+L197</f>
        <v>262.887958124963</v>
      </c>
      <c r="P197" s="308"/>
      <c r="Q197" s="309"/>
      <c r="R197" s="309"/>
      <c r="S197" s="309"/>
    </row>
    <row r="198" customFormat="false" ht="12.75" hidden="false" customHeight="false" outlineLevel="0" collapsed="false">
      <c r="K198" s="288" t="n">
        <v>190</v>
      </c>
      <c r="L198" s="289" t="n">
        <f aca="false">-IF(SUMMARY!$D$21*12&gt;=K198,IPMT(SUMMARY!$D$22/12,K198,SUMMARY!$D$21*12,SUMMARY!$D$20),0)</f>
        <v>131.23927219462</v>
      </c>
      <c r="M198" s="289" t="n">
        <f aca="false">IF(SUMMARY!$D$21*12&gt;=K198,-PPMT(SUMMARY!$D$22/12,K198,SUMMARY!$D$21*12,SUMMARY!$D$20),0)</f>
        <v>131.648685930343</v>
      </c>
      <c r="N198" s="290" t="n">
        <f aca="false">+M198+L198</f>
        <v>262.887958124963</v>
      </c>
      <c r="P198" s="308"/>
      <c r="Q198" s="309"/>
      <c r="R198" s="309"/>
      <c r="S198" s="309"/>
    </row>
    <row r="199" customFormat="false" ht="12.75" hidden="false" customHeight="false" outlineLevel="0" collapsed="false">
      <c r="K199" s="288" t="n">
        <v>191</v>
      </c>
      <c r="L199" s="289" t="n">
        <f aca="false">-IF(SUMMARY!$D$21*12&gt;=K199,IPMT(SUMMARY!$D$22/12,K199,SUMMARY!$D$21*12,SUMMARY!$D$20),0)</f>
        <v>130.416467907555</v>
      </c>
      <c r="M199" s="289" t="n">
        <f aca="false">IF(SUMMARY!$D$21*12&gt;=K199,-PPMT(SUMMARY!$D$22/12,K199,SUMMARY!$D$21*12,SUMMARY!$D$20),0)</f>
        <v>132.471490217407</v>
      </c>
      <c r="N199" s="290" t="n">
        <f aca="false">+M199+L199</f>
        <v>262.887958124963</v>
      </c>
      <c r="P199" s="308"/>
      <c r="Q199" s="309"/>
      <c r="R199" s="309"/>
      <c r="S199" s="309"/>
    </row>
    <row r="200" customFormat="false" ht="12.75" hidden="false" customHeight="false" outlineLevel="0" collapsed="false">
      <c r="K200" s="288" t="n">
        <v>192</v>
      </c>
      <c r="L200" s="289" t="n">
        <f aca="false">-IF(SUMMARY!$D$21*12&gt;=K200,IPMT(SUMMARY!$D$22/12,K200,SUMMARY!$D$21*12,SUMMARY!$D$20),0)</f>
        <v>129.588521093697</v>
      </c>
      <c r="M200" s="289" t="n">
        <f aca="false">IF(SUMMARY!$D$21*12&gt;=K200,-PPMT(SUMMARY!$D$22/12,K200,SUMMARY!$D$21*12,SUMMARY!$D$20),0)</f>
        <v>133.299437031266</v>
      </c>
      <c r="N200" s="290" t="n">
        <f aca="false">+M200+L200</f>
        <v>262.887958124963</v>
      </c>
      <c r="P200" s="308"/>
      <c r="Q200" s="309"/>
      <c r="R200" s="309"/>
      <c r="S200" s="309"/>
    </row>
    <row r="201" customFormat="false" ht="12.75" hidden="false" customHeight="false" outlineLevel="0" collapsed="false">
      <c r="K201" s="288" t="n">
        <v>193</v>
      </c>
      <c r="L201" s="289" t="n">
        <f aca="false">-IF(SUMMARY!$D$21*12&gt;=K201,IPMT(SUMMARY!$D$22/12,K201,SUMMARY!$D$21*12,SUMMARY!$D$20),0)</f>
        <v>128.755399612251</v>
      </c>
      <c r="M201" s="289" t="n">
        <f aca="false">IF(SUMMARY!$D$21*12&gt;=K201,-PPMT(SUMMARY!$D$22/12,K201,SUMMARY!$D$21*12,SUMMARY!$D$20),0)</f>
        <v>134.132558512712</v>
      </c>
      <c r="N201" s="290" t="n">
        <f aca="false">+M201+L201</f>
        <v>262.887958124963</v>
      </c>
      <c r="P201" s="308"/>
      <c r="Q201" s="309"/>
      <c r="R201" s="309"/>
      <c r="S201" s="309"/>
    </row>
    <row r="202" customFormat="false" ht="12.75" hidden="false" customHeight="false" outlineLevel="0" collapsed="false">
      <c r="K202" s="288" t="n">
        <v>194</v>
      </c>
      <c r="L202" s="289" t="n">
        <f aca="false">-IF(SUMMARY!$D$21*12&gt;=K202,IPMT(SUMMARY!$D$22/12,K202,SUMMARY!$D$21*12,SUMMARY!$D$20),0)</f>
        <v>127.917071121547</v>
      </c>
      <c r="M202" s="289" t="n">
        <f aca="false">IF(SUMMARY!$D$21*12&gt;=K202,-PPMT(SUMMARY!$D$22/12,K202,SUMMARY!$D$21*12,SUMMARY!$D$20),0)</f>
        <v>134.970887003416</v>
      </c>
      <c r="N202" s="290" t="n">
        <f aca="false">+M202+L202</f>
        <v>262.887958124963</v>
      </c>
      <c r="P202" s="308"/>
      <c r="Q202" s="309"/>
      <c r="R202" s="309"/>
      <c r="S202" s="309"/>
    </row>
    <row r="203" customFormat="false" ht="12.75" hidden="false" customHeight="false" outlineLevel="0" collapsed="false">
      <c r="K203" s="288" t="n">
        <v>195</v>
      </c>
      <c r="L203" s="289" t="n">
        <f aca="false">-IF(SUMMARY!$D$21*12&gt;=K203,IPMT(SUMMARY!$D$22/12,K203,SUMMARY!$D$21*12,SUMMARY!$D$20),0)</f>
        <v>127.073503077775</v>
      </c>
      <c r="M203" s="289" t="n">
        <f aca="false">IF(SUMMARY!$D$21*12&gt;=K203,-PPMT(SUMMARY!$D$22/12,K203,SUMMARY!$D$21*12,SUMMARY!$D$20),0)</f>
        <v>135.814455047187</v>
      </c>
      <c r="N203" s="290" t="n">
        <f aca="false">+M203+L203</f>
        <v>262.887958124963</v>
      </c>
      <c r="P203" s="308"/>
      <c r="Q203" s="309"/>
      <c r="R203" s="309"/>
      <c r="S203" s="309"/>
    </row>
    <row r="204" customFormat="false" ht="12.75" hidden="false" customHeight="false" outlineLevel="0" collapsed="false">
      <c r="K204" s="288" t="n">
        <v>196</v>
      </c>
      <c r="L204" s="289" t="n">
        <f aca="false">-IF(SUMMARY!$D$21*12&gt;=K204,IPMT(SUMMARY!$D$22/12,K204,SUMMARY!$D$21*12,SUMMARY!$D$20),0)</f>
        <v>126.224662733731</v>
      </c>
      <c r="M204" s="289" t="n">
        <f aca="false">IF(SUMMARY!$D$21*12&gt;=K204,-PPMT(SUMMARY!$D$22/12,K204,SUMMARY!$D$21*12,SUMMARY!$D$20),0)</f>
        <v>136.663295391232</v>
      </c>
      <c r="N204" s="290" t="n">
        <f aca="false">+M204+L204</f>
        <v>262.887958124963</v>
      </c>
      <c r="P204" s="308"/>
      <c r="Q204" s="309"/>
      <c r="R204" s="309"/>
      <c r="S204" s="309"/>
    </row>
    <row r="205" customFormat="false" ht="12.75" hidden="false" customHeight="false" outlineLevel="0" collapsed="false">
      <c r="K205" s="288" t="n">
        <v>197</v>
      </c>
      <c r="L205" s="289" t="n">
        <f aca="false">-IF(SUMMARY!$D$21*12&gt;=K205,IPMT(SUMMARY!$D$22/12,K205,SUMMARY!$D$21*12,SUMMARY!$D$20),0)</f>
        <v>125.370517137535</v>
      </c>
      <c r="M205" s="289" t="n">
        <f aca="false">IF(SUMMARY!$D$21*12&gt;=K205,-PPMT(SUMMARY!$D$22/12,K205,SUMMARY!$D$21*12,SUMMARY!$D$20),0)</f>
        <v>137.517440987428</v>
      </c>
      <c r="N205" s="290" t="n">
        <f aca="false">+M205+L205</f>
        <v>262.887958124963</v>
      </c>
      <c r="P205" s="308"/>
      <c r="Q205" s="309"/>
      <c r="R205" s="309"/>
      <c r="S205" s="309"/>
    </row>
    <row r="206" customFormat="false" ht="12.75" hidden="false" customHeight="false" outlineLevel="0" collapsed="false">
      <c r="K206" s="288" t="n">
        <v>198</v>
      </c>
      <c r="L206" s="289" t="n">
        <f aca="false">-IF(SUMMARY!$D$21*12&gt;=K206,IPMT(SUMMARY!$D$22/12,K206,SUMMARY!$D$21*12,SUMMARY!$D$20),0)</f>
        <v>124.511033131364</v>
      </c>
      <c r="M206" s="289" t="n">
        <f aca="false">IF(SUMMARY!$D$21*12&gt;=K206,-PPMT(SUMMARY!$D$22/12,K206,SUMMARY!$D$21*12,SUMMARY!$D$20),0)</f>
        <v>138.376924993599</v>
      </c>
      <c r="N206" s="290" t="n">
        <f aca="false">+M206+L206</f>
        <v>262.887958124963</v>
      </c>
      <c r="P206" s="308"/>
      <c r="Q206" s="309"/>
      <c r="R206" s="309"/>
      <c r="S206" s="309"/>
    </row>
    <row r="207" customFormat="false" ht="12.75" hidden="false" customHeight="false" outlineLevel="0" collapsed="false">
      <c r="K207" s="288" t="n">
        <v>199</v>
      </c>
      <c r="L207" s="289" t="n">
        <f aca="false">-IF(SUMMARY!$D$21*12&gt;=K207,IPMT(SUMMARY!$D$22/12,K207,SUMMARY!$D$21*12,SUMMARY!$D$20),0)</f>
        <v>123.646177350154</v>
      </c>
      <c r="M207" s="289" t="n">
        <f aca="false">IF(SUMMARY!$D$21*12&gt;=K207,-PPMT(SUMMARY!$D$22/12,K207,SUMMARY!$D$21*12,SUMMARY!$D$20),0)</f>
        <v>139.241780774809</v>
      </c>
      <c r="N207" s="290" t="n">
        <f aca="false">+M207+L207</f>
        <v>262.887958124963</v>
      </c>
      <c r="P207" s="308"/>
      <c r="Q207" s="309"/>
      <c r="R207" s="309"/>
      <c r="S207" s="309"/>
    </row>
    <row r="208" customFormat="false" ht="12.75" hidden="false" customHeight="false" outlineLevel="0" collapsed="false">
      <c r="K208" s="288" t="n">
        <v>200</v>
      </c>
      <c r="L208" s="289" t="n">
        <f aca="false">-IF(SUMMARY!$D$21*12&gt;=K208,IPMT(SUMMARY!$D$22/12,K208,SUMMARY!$D$21*12,SUMMARY!$D$20),0)</f>
        <v>122.775916220311</v>
      </c>
      <c r="M208" s="289" t="n">
        <f aca="false">IF(SUMMARY!$D$21*12&gt;=K208,-PPMT(SUMMARY!$D$22/12,K208,SUMMARY!$D$21*12,SUMMARY!$D$20),0)</f>
        <v>140.112041904652</v>
      </c>
      <c r="N208" s="290" t="n">
        <f aca="false">+M208+L208</f>
        <v>262.887958124963</v>
      </c>
      <c r="P208" s="308"/>
      <c r="Q208" s="309"/>
      <c r="R208" s="309"/>
      <c r="S208" s="309"/>
    </row>
    <row r="209" customFormat="false" ht="12.75" hidden="false" customHeight="false" outlineLevel="0" collapsed="false">
      <c r="K209" s="288" t="n">
        <v>201</v>
      </c>
      <c r="L209" s="289" t="n">
        <f aca="false">-IF(SUMMARY!$D$21*12&gt;=K209,IPMT(SUMMARY!$D$22/12,K209,SUMMARY!$D$21*12,SUMMARY!$D$20),0)</f>
        <v>121.900215958407</v>
      </c>
      <c r="M209" s="289" t="n">
        <f aca="false">IF(SUMMARY!$D$21*12&gt;=K209,-PPMT(SUMMARY!$D$22/12,K209,SUMMARY!$D$21*12,SUMMARY!$D$20),0)</f>
        <v>140.987742166556</v>
      </c>
      <c r="N209" s="290" t="n">
        <f aca="false">+M209+L209</f>
        <v>262.887958124963</v>
      </c>
      <c r="P209" s="308"/>
      <c r="Q209" s="309"/>
      <c r="R209" s="309"/>
      <c r="S209" s="309"/>
    </row>
    <row r="210" customFormat="false" ht="12.75" hidden="false" customHeight="false" outlineLevel="0" collapsed="false">
      <c r="K210" s="288" t="n">
        <v>202</v>
      </c>
      <c r="L210" s="289" t="n">
        <f aca="false">-IF(SUMMARY!$D$21*12&gt;=K210,IPMT(SUMMARY!$D$22/12,K210,SUMMARY!$D$21*12,SUMMARY!$D$20),0)</f>
        <v>121.019042569866</v>
      </c>
      <c r="M210" s="289" t="n">
        <f aca="false">IF(SUMMARY!$D$21*12&gt;=K210,-PPMT(SUMMARY!$D$22/12,K210,SUMMARY!$D$21*12,SUMMARY!$D$20),0)</f>
        <v>141.868915555097</v>
      </c>
      <c r="N210" s="290" t="n">
        <f aca="false">+M210+L210</f>
        <v>262.887958124963</v>
      </c>
      <c r="P210" s="308"/>
      <c r="Q210" s="309"/>
      <c r="R210" s="309"/>
      <c r="S210" s="309"/>
    </row>
    <row r="211" customFormat="false" ht="12.75" hidden="false" customHeight="false" outlineLevel="0" collapsed="false">
      <c r="K211" s="288" t="n">
        <v>203</v>
      </c>
      <c r="L211" s="289" t="n">
        <f aca="false">-IF(SUMMARY!$D$21*12&gt;=K211,IPMT(SUMMARY!$D$22/12,K211,SUMMARY!$D$21*12,SUMMARY!$D$20),0)</f>
        <v>120.132361847647</v>
      </c>
      <c r="M211" s="289" t="n">
        <f aca="false">IF(SUMMARY!$D$21*12&gt;=K211,-PPMT(SUMMARY!$D$22/12,K211,SUMMARY!$D$21*12,SUMMARY!$D$20),0)</f>
        <v>142.755596277316</v>
      </c>
      <c r="N211" s="290" t="n">
        <f aca="false">+M211+L211</f>
        <v>262.887958124963</v>
      </c>
      <c r="P211" s="308"/>
      <c r="Q211" s="309"/>
      <c r="R211" s="309"/>
      <c r="S211" s="309"/>
    </row>
    <row r="212" customFormat="false" ht="12.75" hidden="false" customHeight="false" outlineLevel="0" collapsed="false">
      <c r="K212" s="288" t="n">
        <v>204</v>
      </c>
      <c r="L212" s="289" t="n">
        <f aca="false">-IF(SUMMARY!$D$21*12&gt;=K212,IPMT(SUMMARY!$D$22/12,K212,SUMMARY!$D$21*12,SUMMARY!$D$20),0)</f>
        <v>119.240139370914</v>
      </c>
      <c r="M212" s="289" t="n">
        <f aca="false">IF(SUMMARY!$D$21*12&gt;=K212,-PPMT(SUMMARY!$D$22/12,K212,SUMMARY!$D$21*12,SUMMARY!$D$20),0)</f>
        <v>143.647818754049</v>
      </c>
      <c r="N212" s="290" t="n">
        <f aca="false">+M212+L212</f>
        <v>262.887958124963</v>
      </c>
      <c r="P212" s="308"/>
      <c r="Q212" s="309"/>
      <c r="R212" s="309"/>
      <c r="S212" s="309"/>
    </row>
    <row r="213" customFormat="false" ht="12.75" hidden="false" customHeight="false" outlineLevel="0" collapsed="false">
      <c r="K213" s="288" t="n">
        <v>205</v>
      </c>
      <c r="L213" s="289" t="n">
        <f aca="false">-IF(SUMMARY!$D$21*12&gt;=K213,IPMT(SUMMARY!$D$22/12,K213,SUMMARY!$D$21*12,SUMMARY!$D$20),0)</f>
        <v>118.342340503701</v>
      </c>
      <c r="M213" s="289" t="n">
        <f aca="false">IF(SUMMARY!$D$21*12&gt;=K213,-PPMT(SUMMARY!$D$22/12,K213,SUMMARY!$D$21*12,SUMMARY!$D$20),0)</f>
        <v>144.545617621262</v>
      </c>
      <c r="N213" s="290" t="n">
        <f aca="false">+M213+L213</f>
        <v>262.887958124963</v>
      </c>
      <c r="P213" s="308"/>
      <c r="Q213" s="309"/>
      <c r="R213" s="309"/>
      <c r="S213" s="309"/>
    </row>
    <row r="214" customFormat="false" ht="12.75" hidden="false" customHeight="false" outlineLevel="0" collapsed="false">
      <c r="K214" s="288" t="n">
        <v>206</v>
      </c>
      <c r="L214" s="289" t="n">
        <f aca="false">-IF(SUMMARY!$D$21*12&gt;=K214,IPMT(SUMMARY!$D$22/12,K214,SUMMARY!$D$21*12,SUMMARY!$D$20),0)</f>
        <v>117.438930393568</v>
      </c>
      <c r="M214" s="289" t="n">
        <f aca="false">IF(SUMMARY!$D$21*12&gt;=K214,-PPMT(SUMMARY!$D$22/12,K214,SUMMARY!$D$21*12,SUMMARY!$D$20),0)</f>
        <v>145.449027731395</v>
      </c>
      <c r="N214" s="290" t="n">
        <f aca="false">+M214+L214</f>
        <v>262.887958124963</v>
      </c>
      <c r="P214" s="308"/>
      <c r="Q214" s="309"/>
      <c r="R214" s="309"/>
      <c r="S214" s="309"/>
    </row>
    <row r="215" customFormat="false" ht="12.75" hidden="false" customHeight="false" outlineLevel="0" collapsed="false">
      <c r="K215" s="288" t="n">
        <v>207</v>
      </c>
      <c r="L215" s="289" t="n">
        <f aca="false">-IF(SUMMARY!$D$21*12&gt;=K215,IPMT(SUMMARY!$D$22/12,K215,SUMMARY!$D$21*12,SUMMARY!$D$20),0)</f>
        <v>116.529873970247</v>
      </c>
      <c r="M215" s="289" t="n">
        <f aca="false">IF(SUMMARY!$D$21*12&gt;=K215,-PPMT(SUMMARY!$D$22/12,K215,SUMMARY!$D$21*12,SUMMARY!$D$20),0)</f>
        <v>146.358084154716</v>
      </c>
      <c r="N215" s="290" t="n">
        <f aca="false">+M215+L215</f>
        <v>262.887958124963</v>
      </c>
      <c r="P215" s="308"/>
      <c r="Q215" s="309"/>
      <c r="R215" s="309"/>
      <c r="S215" s="309"/>
    </row>
    <row r="216" customFormat="false" ht="12.75" hidden="false" customHeight="false" outlineLevel="0" collapsed="false">
      <c r="K216" s="288" t="n">
        <v>208</v>
      </c>
      <c r="L216" s="289" t="n">
        <f aca="false">-IF(SUMMARY!$D$21*12&gt;=K216,IPMT(SUMMARY!$D$22/12,K216,SUMMARY!$D$21*12,SUMMARY!$D$20),0)</f>
        <v>115.61513594428</v>
      </c>
      <c r="M216" s="289" t="n">
        <f aca="false">IF(SUMMARY!$D$21*12&gt;=K216,-PPMT(SUMMARY!$D$22/12,K216,SUMMARY!$D$21*12,SUMMARY!$D$20),0)</f>
        <v>147.272822180683</v>
      </c>
      <c r="N216" s="290" t="n">
        <f aca="false">+M216+L216</f>
        <v>262.887958124963</v>
      </c>
      <c r="P216" s="308"/>
      <c r="Q216" s="309"/>
      <c r="R216" s="309"/>
      <c r="S216" s="309"/>
    </row>
    <row r="217" customFormat="false" ht="12.75" hidden="false" customHeight="false" outlineLevel="0" collapsed="false">
      <c r="K217" s="288" t="n">
        <v>209</v>
      </c>
      <c r="L217" s="289" t="n">
        <f aca="false">-IF(SUMMARY!$D$21*12&gt;=K217,IPMT(SUMMARY!$D$22/12,K217,SUMMARY!$D$21*12,SUMMARY!$D$20),0)</f>
        <v>114.69468080565</v>
      </c>
      <c r="M217" s="289" t="n">
        <f aca="false">IF(SUMMARY!$D$21*12&gt;=K217,-PPMT(SUMMARY!$D$22/12,K217,SUMMARY!$D$21*12,SUMMARY!$D$20),0)</f>
        <v>148.193277319312</v>
      </c>
      <c r="N217" s="290" t="n">
        <f aca="false">+M217+L217</f>
        <v>262.887958124963</v>
      </c>
      <c r="P217" s="308"/>
      <c r="Q217" s="309"/>
      <c r="R217" s="309"/>
      <c r="S217" s="309"/>
    </row>
    <row r="218" customFormat="false" ht="12.75" hidden="false" customHeight="false" outlineLevel="0" collapsed="false">
      <c r="K218" s="288" t="n">
        <v>210</v>
      </c>
      <c r="L218" s="289" t="n">
        <f aca="false">-IF(SUMMARY!$D$21*12&gt;=K218,IPMT(SUMMARY!$D$22/12,K218,SUMMARY!$D$21*12,SUMMARY!$D$20),0)</f>
        <v>113.768472822405</v>
      </c>
      <c r="M218" s="289" t="n">
        <f aca="false">IF(SUMMARY!$D$21*12&gt;=K218,-PPMT(SUMMARY!$D$22/12,K218,SUMMARY!$D$21*12,SUMMARY!$D$20),0)</f>
        <v>149.119485302558</v>
      </c>
      <c r="N218" s="290" t="n">
        <f aca="false">+M218+L218</f>
        <v>262.887958124963</v>
      </c>
      <c r="P218" s="308"/>
      <c r="Q218" s="309"/>
      <c r="R218" s="309"/>
      <c r="S218" s="309"/>
    </row>
    <row r="219" customFormat="false" ht="12.75" hidden="false" customHeight="false" outlineLevel="0" collapsed="false">
      <c r="K219" s="288" t="n">
        <v>211</v>
      </c>
      <c r="L219" s="289" t="n">
        <f aca="false">-IF(SUMMARY!$D$21*12&gt;=K219,IPMT(SUMMARY!$D$22/12,K219,SUMMARY!$D$21*12,SUMMARY!$D$20),0)</f>
        <v>112.836476039264</v>
      </c>
      <c r="M219" s="289" t="n">
        <f aca="false">IF(SUMMARY!$D$21*12&gt;=K219,-PPMT(SUMMARY!$D$22/12,K219,SUMMARY!$D$21*12,SUMMARY!$D$20),0)</f>
        <v>150.051482085699</v>
      </c>
      <c r="N219" s="290" t="n">
        <f aca="false">+M219+L219</f>
        <v>262.887958124963</v>
      </c>
      <c r="P219" s="308"/>
      <c r="Q219" s="309"/>
      <c r="R219" s="309"/>
      <c r="S219" s="309"/>
    </row>
    <row r="220" customFormat="false" ht="12.75" hidden="false" customHeight="false" outlineLevel="0" collapsed="false">
      <c r="K220" s="288" t="n">
        <v>212</v>
      </c>
      <c r="L220" s="289" t="n">
        <f aca="false">-IF(SUMMARY!$D$21*12&gt;=K220,IPMT(SUMMARY!$D$22/12,K220,SUMMARY!$D$21*12,SUMMARY!$D$20),0)</f>
        <v>111.898654276228</v>
      </c>
      <c r="M220" s="289" t="n">
        <f aca="false">IF(SUMMARY!$D$21*12&gt;=K220,-PPMT(SUMMARY!$D$22/12,K220,SUMMARY!$D$21*12,SUMMARY!$D$20),0)</f>
        <v>150.989303848735</v>
      </c>
      <c r="N220" s="290" t="n">
        <f aca="false">+M220+L220</f>
        <v>262.887958124963</v>
      </c>
      <c r="P220" s="308"/>
      <c r="Q220" s="309"/>
      <c r="R220" s="309"/>
      <c r="S220" s="309"/>
    </row>
    <row r="221" customFormat="false" ht="12.75" hidden="false" customHeight="false" outlineLevel="0" collapsed="false">
      <c r="K221" s="288" t="n">
        <v>213</v>
      </c>
      <c r="L221" s="289" t="n">
        <f aca="false">-IF(SUMMARY!$D$21*12&gt;=K221,IPMT(SUMMARY!$D$22/12,K221,SUMMARY!$D$21*12,SUMMARY!$D$20),0)</f>
        <v>110.954971127173</v>
      </c>
      <c r="M221" s="289" t="n">
        <f aca="false">IF(SUMMARY!$D$21*12&gt;=K221,-PPMT(SUMMARY!$D$22/12,K221,SUMMARY!$D$21*12,SUMMARY!$D$20),0)</f>
        <v>151.932986997789</v>
      </c>
      <c r="N221" s="290" t="n">
        <f aca="false">+M221+L221</f>
        <v>262.887958124963</v>
      </c>
      <c r="P221" s="308"/>
      <c r="Q221" s="309"/>
      <c r="R221" s="309"/>
      <c r="S221" s="309"/>
    </row>
    <row r="222" customFormat="false" ht="12.75" hidden="false" customHeight="false" outlineLevel="0" collapsed="false">
      <c r="K222" s="288" t="n">
        <v>214</v>
      </c>
      <c r="L222" s="289" t="n">
        <f aca="false">-IF(SUMMARY!$D$21*12&gt;=K222,IPMT(SUMMARY!$D$22/12,K222,SUMMARY!$D$21*12,SUMMARY!$D$20),0)</f>
        <v>110.005389958437</v>
      </c>
      <c r="M222" s="289" t="n">
        <f aca="false">IF(SUMMARY!$D$21*12&gt;=K222,-PPMT(SUMMARY!$D$22/12,K222,SUMMARY!$D$21*12,SUMMARY!$D$20),0)</f>
        <v>152.882568166526</v>
      </c>
      <c r="N222" s="290" t="n">
        <f aca="false">+M222+L222</f>
        <v>262.887958124963</v>
      </c>
      <c r="P222" s="308"/>
      <c r="Q222" s="309"/>
      <c r="R222" s="309"/>
      <c r="S222" s="309"/>
    </row>
    <row r="223" customFormat="false" ht="12.75" hidden="false" customHeight="false" outlineLevel="0" collapsed="false">
      <c r="K223" s="288" t="n">
        <v>215</v>
      </c>
      <c r="L223" s="289" t="n">
        <f aca="false">-IF(SUMMARY!$D$21*12&gt;=K223,IPMT(SUMMARY!$D$22/12,K223,SUMMARY!$D$21*12,SUMMARY!$D$20),0)</f>
        <v>109.049873907396</v>
      </c>
      <c r="M223" s="289" t="n">
        <f aca="false">IF(SUMMARY!$D$21*12&gt;=K223,-PPMT(SUMMARY!$D$22/12,K223,SUMMARY!$D$21*12,SUMMARY!$D$20),0)</f>
        <v>153.838084217566</v>
      </c>
      <c r="N223" s="290" t="n">
        <f aca="false">+M223+L223</f>
        <v>262.887958124963</v>
      </c>
      <c r="P223" s="308"/>
      <c r="Q223" s="309"/>
      <c r="R223" s="309"/>
      <c r="S223" s="309"/>
    </row>
    <row r="224" customFormat="false" ht="12.75" hidden="false" customHeight="false" outlineLevel="0" collapsed="false">
      <c r="K224" s="288" t="n">
        <v>216</v>
      </c>
      <c r="L224" s="289" t="n">
        <f aca="false">-IF(SUMMARY!$D$21*12&gt;=K224,IPMT(SUMMARY!$D$22/12,K224,SUMMARY!$D$21*12,SUMMARY!$D$20),0)</f>
        <v>108.088385881037</v>
      </c>
      <c r="M224" s="289" t="n">
        <f aca="false">IF(SUMMARY!$D$21*12&gt;=K224,-PPMT(SUMMARY!$D$22/12,K224,SUMMARY!$D$21*12,SUMMARY!$D$20),0)</f>
        <v>154.799572243926</v>
      </c>
      <c r="N224" s="290" t="n">
        <f aca="false">+M224+L224</f>
        <v>262.887958124963</v>
      </c>
      <c r="P224" s="308"/>
      <c r="Q224" s="309"/>
      <c r="R224" s="309"/>
      <c r="S224" s="309"/>
    </row>
    <row r="225" customFormat="false" ht="12.75" hidden="false" customHeight="false" outlineLevel="0" collapsed="false">
      <c r="K225" s="288" t="n">
        <v>217</v>
      </c>
      <c r="L225" s="289" t="n">
        <f aca="false">-IF(SUMMARY!$D$21*12&gt;=K225,IPMT(SUMMARY!$D$22/12,K225,SUMMARY!$D$21*12,SUMMARY!$D$20),0)</f>
        <v>107.120888554512</v>
      </c>
      <c r="M225" s="289" t="n">
        <f aca="false">IF(SUMMARY!$D$21*12&gt;=K225,-PPMT(SUMMARY!$D$22/12,K225,SUMMARY!$D$21*12,SUMMARY!$D$20),0)</f>
        <v>155.767069570451</v>
      </c>
      <c r="N225" s="290" t="n">
        <f aca="false">+M225+L225</f>
        <v>262.887958124963</v>
      </c>
      <c r="P225" s="308"/>
      <c r="Q225" s="309"/>
      <c r="R225" s="309"/>
      <c r="S225" s="309"/>
    </row>
    <row r="226" customFormat="false" ht="12.75" hidden="false" customHeight="false" outlineLevel="0" collapsed="false">
      <c r="K226" s="288" t="n">
        <v>218</v>
      </c>
      <c r="L226" s="289" t="n">
        <f aca="false">-IF(SUMMARY!$D$21*12&gt;=K226,IPMT(SUMMARY!$D$22/12,K226,SUMMARY!$D$21*12,SUMMARY!$D$20),0)</f>
        <v>106.147344369697</v>
      </c>
      <c r="M226" s="289" t="n">
        <f aca="false">IF(SUMMARY!$D$21*12&gt;=K226,-PPMT(SUMMARY!$D$22/12,K226,SUMMARY!$D$21*12,SUMMARY!$D$20),0)</f>
        <v>156.740613755266</v>
      </c>
      <c r="N226" s="290" t="n">
        <f aca="false">+M226+L226</f>
        <v>262.887958124963</v>
      </c>
      <c r="P226" s="308"/>
      <c r="Q226" s="309"/>
      <c r="R226" s="309"/>
      <c r="S226" s="309"/>
    </row>
    <row r="227" customFormat="false" ht="12.75" hidden="false" customHeight="false" outlineLevel="0" collapsed="false">
      <c r="K227" s="288" t="n">
        <v>219</v>
      </c>
      <c r="L227" s="289" t="n">
        <f aca="false">-IF(SUMMARY!$D$21*12&gt;=K227,IPMT(SUMMARY!$D$22/12,K227,SUMMARY!$D$21*12,SUMMARY!$D$20),0)</f>
        <v>105.167715533726</v>
      </c>
      <c r="M227" s="289" t="n">
        <f aca="false">IF(SUMMARY!$D$21*12&gt;=K227,-PPMT(SUMMARY!$D$22/12,K227,SUMMARY!$D$21*12,SUMMARY!$D$20),0)</f>
        <v>157.720242591237</v>
      </c>
      <c r="N227" s="290" t="n">
        <f aca="false">+M227+L227</f>
        <v>262.887958124963</v>
      </c>
      <c r="P227" s="308"/>
      <c r="Q227" s="309"/>
      <c r="R227" s="309"/>
      <c r="S227" s="309"/>
    </row>
    <row r="228" customFormat="false" ht="12.75" hidden="false" customHeight="false" outlineLevel="0" collapsed="false">
      <c r="K228" s="288" t="n">
        <v>220</v>
      </c>
      <c r="L228" s="289" t="n">
        <f aca="false">-IF(SUMMARY!$D$21*12&gt;=K228,IPMT(SUMMARY!$D$22/12,K228,SUMMARY!$D$21*12,SUMMARY!$D$20),0)</f>
        <v>104.181964017531</v>
      </c>
      <c r="M228" s="289" t="n">
        <f aca="false">IF(SUMMARY!$D$21*12&gt;=K228,-PPMT(SUMMARY!$D$22/12,K228,SUMMARY!$D$21*12,SUMMARY!$D$20),0)</f>
        <v>158.705994107432</v>
      </c>
      <c r="N228" s="290" t="n">
        <f aca="false">+M228+L228</f>
        <v>262.887958124963</v>
      </c>
      <c r="P228" s="308"/>
      <c r="Q228" s="309"/>
      <c r="R228" s="309"/>
      <c r="S228" s="309"/>
    </row>
    <row r="229" customFormat="false" ht="12.75" hidden="false" customHeight="false" outlineLevel="0" collapsed="false">
      <c r="K229" s="288" t="n">
        <v>221</v>
      </c>
      <c r="L229" s="289" t="n">
        <f aca="false">-IF(SUMMARY!$D$21*12&gt;=K229,IPMT(SUMMARY!$D$22/12,K229,SUMMARY!$D$21*12,SUMMARY!$D$20),0)</f>
        <v>103.19005155436</v>
      </c>
      <c r="M229" s="289" t="n">
        <f aca="false">IF(SUMMARY!$D$21*12&gt;=K229,-PPMT(SUMMARY!$D$22/12,K229,SUMMARY!$D$21*12,SUMMARY!$D$20),0)</f>
        <v>159.697906570603</v>
      </c>
      <c r="N229" s="290" t="n">
        <f aca="false">+M229+L229</f>
        <v>262.887958124963</v>
      </c>
      <c r="P229" s="308"/>
      <c r="Q229" s="309"/>
      <c r="R229" s="309"/>
      <c r="S229" s="309"/>
    </row>
    <row r="230" customFormat="false" ht="12.75" hidden="false" customHeight="false" outlineLevel="0" collapsed="false">
      <c r="K230" s="288" t="n">
        <v>222</v>
      </c>
      <c r="L230" s="289" t="n">
        <f aca="false">-IF(SUMMARY!$D$21*12&gt;=K230,IPMT(SUMMARY!$D$22/12,K230,SUMMARY!$D$21*12,SUMMARY!$D$20),0)</f>
        <v>102.191939638293</v>
      </c>
      <c r="M230" s="289" t="n">
        <f aca="false">IF(SUMMARY!$D$21*12&gt;=K230,-PPMT(SUMMARY!$D$22/12,K230,SUMMARY!$D$21*12,SUMMARY!$D$20),0)</f>
        <v>160.69601848667</v>
      </c>
      <c r="N230" s="290" t="n">
        <f aca="false">+M230+L230</f>
        <v>262.887958124963</v>
      </c>
      <c r="P230" s="308"/>
      <c r="Q230" s="309"/>
      <c r="R230" s="309"/>
      <c r="S230" s="309"/>
    </row>
    <row r="231" customFormat="false" ht="12.75" hidden="false" customHeight="false" outlineLevel="0" collapsed="false">
      <c r="K231" s="288" t="n">
        <v>223</v>
      </c>
      <c r="L231" s="289" t="n">
        <f aca="false">-IF(SUMMARY!$D$21*12&gt;=K231,IPMT(SUMMARY!$D$22/12,K231,SUMMARY!$D$21*12,SUMMARY!$D$20),0)</f>
        <v>101.187589522752</v>
      </c>
      <c r="M231" s="289" t="n">
        <f aca="false">IF(SUMMARY!$D$21*12&gt;=K231,-PPMT(SUMMARY!$D$22/12,K231,SUMMARY!$D$21*12,SUMMARY!$D$20),0)</f>
        <v>161.700368602211</v>
      </c>
      <c r="N231" s="290" t="n">
        <f aca="false">+M231+L231</f>
        <v>262.887958124963</v>
      </c>
      <c r="P231" s="308"/>
      <c r="Q231" s="309"/>
      <c r="R231" s="309"/>
      <c r="S231" s="309"/>
    </row>
    <row r="232" customFormat="false" ht="12.75" hidden="false" customHeight="false" outlineLevel="0" collapsed="false">
      <c r="K232" s="288" t="n">
        <v>224</v>
      </c>
      <c r="L232" s="289" t="n">
        <f aca="false">-IF(SUMMARY!$D$21*12&gt;=K232,IPMT(SUMMARY!$D$22/12,K232,SUMMARY!$D$21*12,SUMMARY!$D$20),0)</f>
        <v>100.176962218988</v>
      </c>
      <c r="M232" s="289" t="n">
        <f aca="false">IF(SUMMARY!$D$21*12&gt;=K232,-PPMT(SUMMARY!$D$22/12,K232,SUMMARY!$D$21*12,SUMMARY!$D$20),0)</f>
        <v>162.710995905975</v>
      </c>
      <c r="N232" s="290" t="n">
        <f aca="false">+M232+L232</f>
        <v>262.887958124963</v>
      </c>
      <c r="P232" s="308"/>
      <c r="Q232" s="309"/>
      <c r="R232" s="309"/>
      <c r="S232" s="309"/>
    </row>
    <row r="233" customFormat="false" ht="12.75" hidden="false" customHeight="false" outlineLevel="0" collapsed="false">
      <c r="K233" s="288" t="n">
        <v>225</v>
      </c>
      <c r="L233" s="289" t="n">
        <f aca="false">-IF(SUMMARY!$D$21*12&gt;=K233,IPMT(SUMMARY!$D$22/12,K233,SUMMARY!$D$21*12,SUMMARY!$D$20),0)</f>
        <v>99.1600184945755</v>
      </c>
      <c r="M233" s="289" t="n">
        <f aca="false">IF(SUMMARY!$D$21*12&gt;=K233,-PPMT(SUMMARY!$D$22/12,K233,SUMMARY!$D$21*12,SUMMARY!$D$20),0)</f>
        <v>163.727939630387</v>
      </c>
      <c r="N233" s="290" t="n">
        <f aca="false">+M233+L233</f>
        <v>262.887958124963</v>
      </c>
      <c r="P233" s="308"/>
      <c r="Q233" s="309"/>
      <c r="R233" s="309"/>
      <c r="S233" s="309"/>
    </row>
    <row r="234" customFormat="false" ht="12.75" hidden="false" customHeight="false" outlineLevel="0" collapsed="false">
      <c r="K234" s="288" t="n">
        <v>226</v>
      </c>
      <c r="L234" s="289" t="n">
        <f aca="false">-IF(SUMMARY!$D$21*12&gt;=K234,IPMT(SUMMARY!$D$22/12,K234,SUMMARY!$D$21*12,SUMMARY!$D$20),0)</f>
        <v>98.1367188718854</v>
      </c>
      <c r="M234" s="289" t="n">
        <f aca="false">IF(SUMMARY!$D$21*12&gt;=K234,-PPMT(SUMMARY!$D$22/12,K234,SUMMARY!$D$21*12,SUMMARY!$D$20),0)</f>
        <v>164.751239253077</v>
      </c>
      <c r="N234" s="290" t="n">
        <f aca="false">+M234+L234</f>
        <v>262.887958124963</v>
      </c>
      <c r="P234" s="308"/>
      <c r="Q234" s="309"/>
      <c r="R234" s="309"/>
      <c r="S234" s="309"/>
    </row>
    <row r="235" customFormat="false" ht="12.75" hidden="false" customHeight="false" outlineLevel="0" collapsed="false">
      <c r="K235" s="288" t="n">
        <v>227</v>
      </c>
      <c r="L235" s="289" t="n">
        <f aca="false">-IF(SUMMARY!$D$21*12&gt;=K235,IPMT(SUMMARY!$D$22/12,K235,SUMMARY!$D$21*12,SUMMARY!$D$20),0)</f>
        <v>97.1070236265537</v>
      </c>
      <c r="M235" s="289" t="n">
        <f aca="false">IF(SUMMARY!$D$21*12&gt;=K235,-PPMT(SUMMARY!$D$22/12,K235,SUMMARY!$D$21*12,SUMMARY!$D$20),0)</f>
        <v>165.780934498409</v>
      </c>
      <c r="N235" s="290" t="n">
        <f aca="false">+M235+L235</f>
        <v>262.887958124963</v>
      </c>
      <c r="P235" s="308"/>
      <c r="Q235" s="309"/>
      <c r="R235" s="309"/>
      <c r="S235" s="309"/>
    </row>
    <row r="236" customFormat="false" ht="12.75" hidden="false" customHeight="false" outlineLevel="0" collapsed="false">
      <c r="K236" s="288" t="n">
        <v>228</v>
      </c>
      <c r="L236" s="289" t="n">
        <f aca="false">-IF(SUMMARY!$D$21*12&gt;=K236,IPMT(SUMMARY!$D$22/12,K236,SUMMARY!$D$21*12,SUMMARY!$D$20),0)</f>
        <v>96.0708927859387</v>
      </c>
      <c r="M236" s="289" t="n">
        <f aca="false">IF(SUMMARY!$D$21*12&gt;=K236,-PPMT(SUMMARY!$D$22/12,K236,SUMMARY!$D$21*12,SUMMARY!$D$20),0)</f>
        <v>166.817065339024</v>
      </c>
      <c r="N236" s="290" t="n">
        <f aca="false">+M236+L236</f>
        <v>262.887958124963</v>
      </c>
      <c r="P236" s="308"/>
      <c r="Q236" s="309"/>
      <c r="R236" s="309"/>
      <c r="S236" s="309"/>
    </row>
    <row r="237" customFormat="false" ht="12.75" hidden="false" customHeight="false" outlineLevel="0" collapsed="false">
      <c r="K237" s="288" t="n">
        <v>229</v>
      </c>
      <c r="L237" s="289" t="n">
        <f aca="false">-IF(SUMMARY!$D$21*12&gt;=K237,IPMT(SUMMARY!$D$22/12,K237,SUMMARY!$D$21*12,SUMMARY!$D$20),0)</f>
        <v>95.0282861275698</v>
      </c>
      <c r="M237" s="289" t="n">
        <f aca="false">IF(SUMMARY!$D$21*12&gt;=K237,-PPMT(SUMMARY!$D$22/12,K237,SUMMARY!$D$21*12,SUMMARY!$D$20),0)</f>
        <v>167.859671997393</v>
      </c>
      <c r="N237" s="290" t="n">
        <f aca="false">+M237+L237</f>
        <v>262.887958124963</v>
      </c>
      <c r="P237" s="308"/>
      <c r="Q237" s="309"/>
      <c r="R237" s="309"/>
      <c r="S237" s="309"/>
    </row>
    <row r="238" customFormat="false" ht="12.75" hidden="false" customHeight="false" outlineLevel="0" collapsed="false">
      <c r="K238" s="288" t="n">
        <v>230</v>
      </c>
      <c r="L238" s="289" t="n">
        <f aca="false">-IF(SUMMARY!$D$21*12&gt;=K238,IPMT(SUMMARY!$D$22/12,K238,SUMMARY!$D$21*12,SUMMARY!$D$20),0)</f>
        <v>93.979163177586</v>
      </c>
      <c r="M238" s="289" t="n">
        <f aca="false">IF(SUMMARY!$D$21*12&gt;=K238,-PPMT(SUMMARY!$D$22/12,K238,SUMMARY!$D$21*12,SUMMARY!$D$20),0)</f>
        <v>168.908794947377</v>
      </c>
      <c r="N238" s="290" t="n">
        <f aca="false">+M238+L238</f>
        <v>262.887958124963</v>
      </c>
      <c r="P238" s="308"/>
      <c r="Q238" s="309"/>
      <c r="R238" s="309"/>
      <c r="S238" s="309"/>
    </row>
    <row r="239" customFormat="false" ht="12.75" hidden="false" customHeight="false" outlineLevel="0" collapsed="false">
      <c r="K239" s="288" t="n">
        <v>231</v>
      </c>
      <c r="L239" s="289" t="n">
        <f aca="false">-IF(SUMMARY!$D$21*12&gt;=K239,IPMT(SUMMARY!$D$22/12,K239,SUMMARY!$D$21*12,SUMMARY!$D$20),0)</f>
        <v>92.9234832091649</v>
      </c>
      <c r="M239" s="289" t="n">
        <f aca="false">IF(SUMMARY!$D$21*12&gt;=K239,-PPMT(SUMMARY!$D$22/12,K239,SUMMARY!$D$21*12,SUMMARY!$D$20),0)</f>
        <v>169.964474915798</v>
      </c>
      <c r="N239" s="290" t="n">
        <f aca="false">+M239+L239</f>
        <v>262.887958124963</v>
      </c>
      <c r="P239" s="308"/>
      <c r="Q239" s="309"/>
      <c r="R239" s="309"/>
      <c r="S239" s="309"/>
    </row>
    <row r="240" customFormat="false" ht="12.75" hidden="false" customHeight="false" outlineLevel="0" collapsed="false">
      <c r="K240" s="288" t="n">
        <v>232</v>
      </c>
      <c r="L240" s="289" t="n">
        <f aca="false">-IF(SUMMARY!$D$21*12&gt;=K240,IPMT(SUMMARY!$D$22/12,K240,SUMMARY!$D$21*12,SUMMARY!$D$20),0)</f>
        <v>91.8612052409412</v>
      </c>
      <c r="M240" s="289" t="n">
        <f aca="false">IF(SUMMARY!$D$21*12&gt;=K240,-PPMT(SUMMARY!$D$22/12,K240,SUMMARY!$D$21*12,SUMMARY!$D$20),0)</f>
        <v>171.026752884022</v>
      </c>
      <c r="N240" s="290" t="n">
        <f aca="false">+M240+L240</f>
        <v>262.887958124963</v>
      </c>
      <c r="P240" s="308"/>
      <c r="Q240" s="309"/>
      <c r="R240" s="309"/>
      <c r="S240" s="309"/>
    </row>
    <row r="241" customFormat="false" ht="12.75" hidden="false" customHeight="false" outlineLevel="0" collapsed="false">
      <c r="K241" s="288" t="n">
        <v>233</v>
      </c>
      <c r="L241" s="289" t="n">
        <f aca="false">-IF(SUMMARY!$D$21*12&gt;=K241,IPMT(SUMMARY!$D$22/12,K241,SUMMARY!$D$21*12,SUMMARY!$D$20),0)</f>
        <v>90.7922880354159</v>
      </c>
      <c r="M241" s="289" t="n">
        <f aca="false">IF(SUMMARY!$D$21*12&gt;=K241,-PPMT(SUMMARY!$D$22/12,K241,SUMMARY!$D$21*12,SUMMARY!$D$20),0)</f>
        <v>172.095670089547</v>
      </c>
      <c r="N241" s="290" t="n">
        <f aca="false">+M241+L241</f>
        <v>262.887958124963</v>
      </c>
      <c r="P241" s="308"/>
      <c r="Q241" s="309"/>
      <c r="R241" s="309"/>
      <c r="S241" s="309"/>
    </row>
    <row r="242" customFormat="false" ht="12.75" hidden="false" customHeight="false" outlineLevel="0" collapsed="false">
      <c r="K242" s="288" t="n">
        <v>234</v>
      </c>
      <c r="L242" s="289" t="n">
        <f aca="false">-IF(SUMMARY!$D$21*12&gt;=K242,IPMT(SUMMARY!$D$22/12,K242,SUMMARY!$D$21*12,SUMMARY!$D$20),0)</f>
        <v>89.7166900973563</v>
      </c>
      <c r="M242" s="289" t="n">
        <f aca="false">IF(SUMMARY!$D$21*12&gt;=K242,-PPMT(SUMMARY!$D$22/12,K242,SUMMARY!$D$21*12,SUMMARY!$D$20),0)</f>
        <v>173.171268027607</v>
      </c>
      <c r="N242" s="290" t="n">
        <f aca="false">+M242+L242</f>
        <v>262.887958124963</v>
      </c>
      <c r="P242" s="308"/>
      <c r="Q242" s="309"/>
      <c r="R242" s="309"/>
      <c r="S242" s="309"/>
    </row>
    <row r="243" customFormat="false" ht="12.75" hidden="false" customHeight="false" outlineLevel="0" collapsed="false">
      <c r="K243" s="288" t="n">
        <v>235</v>
      </c>
      <c r="L243" s="289" t="n">
        <f aca="false">-IF(SUMMARY!$D$21*12&gt;=K243,IPMT(SUMMARY!$D$22/12,K243,SUMMARY!$D$21*12,SUMMARY!$D$20),0)</f>
        <v>88.6343696721837</v>
      </c>
      <c r="M243" s="289" t="n">
        <f aca="false">IF(SUMMARY!$D$21*12&gt;=K243,-PPMT(SUMMARY!$D$22/12,K243,SUMMARY!$D$21*12,SUMMARY!$D$20),0)</f>
        <v>174.253588452779</v>
      </c>
      <c r="N243" s="290" t="n">
        <f aca="false">+M243+L243</f>
        <v>262.887958124963</v>
      </c>
      <c r="P243" s="308"/>
      <c r="Q243" s="309"/>
      <c r="R243" s="309"/>
      <c r="S243" s="309"/>
    </row>
    <row r="244" customFormat="false" ht="12.75" hidden="false" customHeight="false" outlineLevel="0" collapsed="false">
      <c r="K244" s="288" t="n">
        <v>236</v>
      </c>
      <c r="L244" s="289" t="n">
        <f aca="false">-IF(SUMMARY!$D$21*12&gt;=K244,IPMT(SUMMARY!$D$22/12,K244,SUMMARY!$D$21*12,SUMMARY!$D$20),0)</f>
        <v>87.5452847443538</v>
      </c>
      <c r="M244" s="289" t="n">
        <f aca="false">IF(SUMMARY!$D$21*12&gt;=K244,-PPMT(SUMMARY!$D$22/12,K244,SUMMARY!$D$21*12,SUMMARY!$D$20),0)</f>
        <v>175.342673380609</v>
      </c>
      <c r="N244" s="290" t="n">
        <f aca="false">+M244+L244</f>
        <v>262.887958124963</v>
      </c>
      <c r="P244" s="308"/>
      <c r="Q244" s="309"/>
      <c r="R244" s="309"/>
      <c r="S244" s="309"/>
    </row>
    <row r="245" customFormat="false" ht="12.75" hidden="false" customHeight="false" outlineLevel="0" collapsed="false">
      <c r="K245" s="288" t="n">
        <v>237</v>
      </c>
      <c r="L245" s="289" t="n">
        <f aca="false">-IF(SUMMARY!$D$21*12&gt;=K245,IPMT(SUMMARY!$D$22/12,K245,SUMMARY!$D$21*12,SUMMARY!$D$20),0)</f>
        <v>86.4493930357251</v>
      </c>
      <c r="M245" s="289" t="n">
        <f aca="false">IF(SUMMARY!$D$21*12&gt;=K245,-PPMT(SUMMARY!$D$22/12,K245,SUMMARY!$D$21*12,SUMMARY!$D$20),0)</f>
        <v>176.438565089238</v>
      </c>
      <c r="N245" s="290" t="n">
        <f aca="false">+M245+L245</f>
        <v>262.887958124963</v>
      </c>
      <c r="P245" s="308"/>
      <c r="Q245" s="309"/>
      <c r="R245" s="309"/>
      <c r="S245" s="309"/>
    </row>
    <row r="246" customFormat="false" ht="12.75" hidden="false" customHeight="false" outlineLevel="0" collapsed="false">
      <c r="K246" s="288" t="n">
        <v>238</v>
      </c>
      <c r="L246" s="289" t="n">
        <f aca="false">-IF(SUMMARY!$D$21*12&gt;=K246,IPMT(SUMMARY!$D$22/12,K246,SUMMARY!$D$21*12,SUMMARY!$D$20),0)</f>
        <v>85.3466520039173</v>
      </c>
      <c r="M246" s="289" t="n">
        <f aca="false">IF(SUMMARY!$D$21*12&gt;=K246,-PPMT(SUMMARY!$D$22/12,K246,SUMMARY!$D$21*12,SUMMARY!$D$20),0)</f>
        <v>177.541306121046</v>
      </c>
      <c r="N246" s="290" t="n">
        <f aca="false">+M246+L246</f>
        <v>262.887958124963</v>
      </c>
      <c r="P246" s="308"/>
      <c r="Q246" s="309"/>
      <c r="R246" s="309"/>
      <c r="S246" s="309"/>
    </row>
    <row r="247" customFormat="false" ht="12.75" hidden="false" customHeight="false" outlineLevel="0" collapsed="false">
      <c r="K247" s="288" t="n">
        <v>239</v>
      </c>
      <c r="L247" s="289" t="n">
        <f aca="false">-IF(SUMMARY!$D$21*12&gt;=K247,IPMT(SUMMARY!$D$22/12,K247,SUMMARY!$D$21*12,SUMMARY!$D$20),0)</f>
        <v>84.2370188406609</v>
      </c>
      <c r="M247" s="289" t="n">
        <f aca="false">IF(SUMMARY!$D$21*12&gt;=K247,-PPMT(SUMMARY!$D$22/12,K247,SUMMARY!$D$21*12,SUMMARY!$D$20),0)</f>
        <v>178.650939284302</v>
      </c>
      <c r="N247" s="290" t="n">
        <f aca="false">+M247+L247</f>
        <v>262.887958124963</v>
      </c>
      <c r="P247" s="308"/>
      <c r="Q247" s="309"/>
      <c r="R247" s="309"/>
      <c r="S247" s="309"/>
    </row>
    <row r="248" customFormat="false" ht="12.75" hidden="false" customHeight="false" outlineLevel="0" collapsed="false">
      <c r="K248" s="288" t="n">
        <v>240</v>
      </c>
      <c r="L248" s="289" t="n">
        <f aca="false">-IF(SUMMARY!$D$21*12&gt;=K248,IPMT(SUMMARY!$D$22/12,K248,SUMMARY!$D$21*12,SUMMARY!$D$20),0)</f>
        <v>83.1204504701338</v>
      </c>
      <c r="M248" s="289" t="n">
        <f aca="false">IF(SUMMARY!$D$21*12&gt;=K248,-PPMT(SUMMARY!$D$22/12,K248,SUMMARY!$D$21*12,SUMMARY!$D$20),0)</f>
        <v>179.767507654829</v>
      </c>
      <c r="N248" s="290" t="n">
        <f aca="false">+M248+L248</f>
        <v>262.887958124963</v>
      </c>
      <c r="P248" s="308"/>
      <c r="Q248" s="309"/>
      <c r="R248" s="309"/>
      <c r="S248" s="309"/>
    </row>
    <row r="249" customFormat="false" ht="12.75" hidden="false" customHeight="false" outlineLevel="0" collapsed="false">
      <c r="K249" s="288" t="n">
        <v>241</v>
      </c>
      <c r="L249" s="289" t="n">
        <f aca="false">-IF(SUMMARY!$D$21*12&gt;=K249,IPMT(SUMMARY!$D$22/12,K249,SUMMARY!$D$21*12,SUMMARY!$D$20),0)</f>
        <v>81.9969035472911</v>
      </c>
      <c r="M249" s="289" t="n">
        <f aca="false">IF(SUMMARY!$D$21*12&gt;=K249,-PPMT(SUMMARY!$D$22/12,K249,SUMMARY!$D$21*12,SUMMARY!$D$20),0)</f>
        <v>180.891054577672</v>
      </c>
      <c r="N249" s="290" t="n">
        <f aca="false">+M249+L249</f>
        <v>262.887958124963</v>
      </c>
      <c r="P249" s="308"/>
      <c r="Q249" s="309"/>
      <c r="R249" s="309"/>
      <c r="S249" s="309"/>
    </row>
    <row r="250" customFormat="false" ht="12.75" hidden="false" customHeight="false" outlineLevel="0" collapsed="false">
      <c r="K250" s="288" t="n">
        <v>242</v>
      </c>
      <c r="L250" s="289" t="n">
        <f aca="false">-IF(SUMMARY!$D$21*12&gt;=K250,IPMT(SUMMARY!$D$22/12,K250,SUMMARY!$D$21*12,SUMMARY!$D$20),0)</f>
        <v>80.8663344561806</v>
      </c>
      <c r="M250" s="289" t="n">
        <f aca="false">IF(SUMMARY!$D$21*12&gt;=K250,-PPMT(SUMMARY!$D$22/12,K250,SUMMARY!$D$21*12,SUMMARY!$D$20),0)</f>
        <v>182.021623668782</v>
      </c>
      <c r="N250" s="290" t="n">
        <f aca="false">+M250+L250</f>
        <v>262.887958124963</v>
      </c>
      <c r="P250" s="308"/>
      <c r="Q250" s="309"/>
      <c r="R250" s="309"/>
      <c r="S250" s="309"/>
    </row>
    <row r="251" customFormat="false" ht="12.75" hidden="false" customHeight="false" outlineLevel="0" collapsed="false">
      <c r="K251" s="288" t="n">
        <v>243</v>
      </c>
      <c r="L251" s="289" t="n">
        <f aca="false">-IF(SUMMARY!$D$21*12&gt;=K251,IPMT(SUMMARY!$D$22/12,K251,SUMMARY!$D$21*12,SUMMARY!$D$20),0)</f>
        <v>79.7286993082509</v>
      </c>
      <c r="M251" s="289" t="n">
        <f aca="false">IF(SUMMARY!$D$21*12&gt;=K251,-PPMT(SUMMARY!$D$22/12,K251,SUMMARY!$D$21*12,SUMMARY!$D$20),0)</f>
        <v>183.159258816712</v>
      </c>
      <c r="N251" s="290" t="n">
        <f aca="false">+M251+L251</f>
        <v>262.887958124963</v>
      </c>
      <c r="P251" s="308"/>
      <c r="Q251" s="309"/>
      <c r="R251" s="309"/>
      <c r="S251" s="309"/>
    </row>
    <row r="252" customFormat="false" ht="12.75" hidden="false" customHeight="false" outlineLevel="0" collapsed="false">
      <c r="K252" s="288" t="n">
        <v>244</v>
      </c>
      <c r="L252" s="289" t="n">
        <f aca="false">-IF(SUMMARY!$D$21*12&gt;=K252,IPMT(SUMMARY!$D$22/12,K252,SUMMARY!$D$21*12,SUMMARY!$D$20),0)</f>
        <v>78.5839539406464</v>
      </c>
      <c r="M252" s="289" t="n">
        <f aca="false">IF(SUMMARY!$D$21*12&gt;=K252,-PPMT(SUMMARY!$D$22/12,K252,SUMMARY!$D$21*12,SUMMARY!$D$20),0)</f>
        <v>184.304004184316</v>
      </c>
      <c r="N252" s="290" t="n">
        <f aca="false">+M252+L252</f>
        <v>262.887958124963</v>
      </c>
      <c r="P252" s="308"/>
      <c r="Q252" s="309"/>
      <c r="R252" s="309"/>
      <c r="S252" s="309"/>
    </row>
    <row r="253" customFormat="false" ht="12.75" hidden="false" customHeight="false" outlineLevel="0" collapsed="false">
      <c r="K253" s="288" t="n">
        <v>245</v>
      </c>
      <c r="L253" s="289" t="n">
        <f aca="false">-IF(SUMMARY!$D$21*12&gt;=K253,IPMT(SUMMARY!$D$22/12,K253,SUMMARY!$D$21*12,SUMMARY!$D$20),0)</f>
        <v>77.4320539144944</v>
      </c>
      <c r="M253" s="289" t="n">
        <f aca="false">IF(SUMMARY!$D$21*12&gt;=K253,-PPMT(SUMMARY!$D$22/12,K253,SUMMARY!$D$21*12,SUMMARY!$D$20),0)</f>
        <v>185.455904210468</v>
      </c>
      <c r="N253" s="290" t="n">
        <f aca="false">+M253+L253</f>
        <v>262.887958124963</v>
      </c>
      <c r="P253" s="308"/>
      <c r="Q253" s="309"/>
      <c r="R253" s="309"/>
      <c r="S253" s="309"/>
    </row>
    <row r="254" customFormat="false" ht="12.75" hidden="false" customHeight="false" outlineLevel="0" collapsed="false">
      <c r="K254" s="288" t="n">
        <v>246</v>
      </c>
      <c r="L254" s="289" t="n">
        <f aca="false">-IF(SUMMARY!$D$21*12&gt;=K254,IPMT(SUMMARY!$D$22/12,K254,SUMMARY!$D$21*12,SUMMARY!$D$20),0)</f>
        <v>76.272954513179</v>
      </c>
      <c r="M254" s="289" t="n">
        <f aca="false">IF(SUMMARY!$D$21*12&gt;=K254,-PPMT(SUMMARY!$D$22/12,K254,SUMMARY!$D$21*12,SUMMARY!$D$20),0)</f>
        <v>186.615003611784</v>
      </c>
      <c r="N254" s="290" t="n">
        <f aca="false">+M254+L254</f>
        <v>262.887958124963</v>
      </c>
      <c r="P254" s="308"/>
      <c r="Q254" s="309"/>
      <c r="R254" s="309"/>
      <c r="S254" s="309"/>
    </row>
    <row r="255" customFormat="false" ht="12.75" hidden="false" customHeight="false" outlineLevel="0" collapsed="false">
      <c r="K255" s="288" t="n">
        <v>247</v>
      </c>
      <c r="L255" s="289" t="n">
        <f aca="false">-IF(SUMMARY!$D$21*12&gt;=K255,IPMT(SUMMARY!$D$22/12,K255,SUMMARY!$D$21*12,SUMMARY!$D$20),0)</f>
        <v>75.1066107406052</v>
      </c>
      <c r="M255" s="289" t="n">
        <f aca="false">IF(SUMMARY!$D$21*12&gt;=K255,-PPMT(SUMMARY!$D$22/12,K255,SUMMARY!$D$21*12,SUMMARY!$D$20),0)</f>
        <v>187.781347384358</v>
      </c>
      <c r="N255" s="290" t="n">
        <f aca="false">+M255+L255</f>
        <v>262.887958124963</v>
      </c>
      <c r="P255" s="308"/>
      <c r="Q255" s="309"/>
      <c r="R255" s="309"/>
      <c r="S255" s="309"/>
    </row>
    <row r="256" customFormat="false" ht="12.75" hidden="false" customHeight="false" outlineLevel="0" collapsed="false">
      <c r="K256" s="288" t="n">
        <v>248</v>
      </c>
      <c r="L256" s="289" t="n">
        <f aca="false">-IF(SUMMARY!$D$21*12&gt;=K256,IPMT(SUMMARY!$D$22/12,K256,SUMMARY!$D$21*12,SUMMARY!$D$20),0)</f>
        <v>73.9329773194531</v>
      </c>
      <c r="M256" s="289" t="n">
        <f aca="false">IF(SUMMARY!$D$21*12&gt;=K256,-PPMT(SUMMARY!$D$22/12,K256,SUMMARY!$D$21*12,SUMMARY!$D$20),0)</f>
        <v>188.95498080551</v>
      </c>
      <c r="N256" s="290" t="n">
        <f aca="false">+M256+L256</f>
        <v>262.887958124963</v>
      </c>
      <c r="P256" s="308"/>
      <c r="Q256" s="309"/>
      <c r="R256" s="309"/>
      <c r="S256" s="309"/>
    </row>
    <row r="257" customFormat="false" ht="12.75" hidden="false" customHeight="false" outlineLevel="0" collapsed="false">
      <c r="K257" s="288" t="n">
        <v>249</v>
      </c>
      <c r="L257" s="289" t="n">
        <f aca="false">-IF(SUMMARY!$D$21*12&gt;=K257,IPMT(SUMMARY!$D$22/12,K257,SUMMARY!$D$21*12,SUMMARY!$D$20),0)</f>
        <v>72.7520086894185</v>
      </c>
      <c r="M257" s="289" t="n">
        <f aca="false">IF(SUMMARY!$D$21*12&gt;=K257,-PPMT(SUMMARY!$D$22/12,K257,SUMMARY!$D$21*12,SUMMARY!$D$20),0)</f>
        <v>190.135949435544</v>
      </c>
      <c r="N257" s="290" t="n">
        <f aca="false">+M257+L257</f>
        <v>262.887958124963</v>
      </c>
      <c r="P257" s="308"/>
      <c r="Q257" s="309"/>
      <c r="R257" s="309"/>
      <c r="S257" s="309"/>
    </row>
    <row r="258" customFormat="false" ht="12.75" hidden="false" customHeight="false" outlineLevel="0" collapsed="false">
      <c r="K258" s="288" t="n">
        <v>250</v>
      </c>
      <c r="L258" s="289" t="n">
        <f aca="false">-IF(SUMMARY!$D$21*12&gt;=K258,IPMT(SUMMARY!$D$22/12,K258,SUMMARY!$D$21*12,SUMMARY!$D$20),0)</f>
        <v>71.5636590054465</v>
      </c>
      <c r="M258" s="289" t="n">
        <f aca="false">IF(SUMMARY!$D$21*12&gt;=K258,-PPMT(SUMMARY!$D$22/12,K258,SUMMARY!$D$21*12,SUMMARY!$D$20),0)</f>
        <v>191.324299119516</v>
      </c>
      <c r="N258" s="290" t="n">
        <f aca="false">+M258+L258</f>
        <v>262.887958124963</v>
      </c>
      <c r="P258" s="308"/>
      <c r="Q258" s="309"/>
      <c r="R258" s="309"/>
      <c r="S258" s="309"/>
    </row>
    <row r="259" customFormat="false" ht="12.75" hidden="false" customHeight="false" outlineLevel="0" collapsed="false">
      <c r="K259" s="288" t="n">
        <v>251</v>
      </c>
      <c r="L259" s="289" t="n">
        <f aca="false">-IF(SUMMARY!$D$21*12&gt;=K259,IPMT(SUMMARY!$D$22/12,K259,SUMMARY!$D$21*12,SUMMARY!$D$20),0)</f>
        <v>70.3678821359493</v>
      </c>
      <c r="M259" s="289" t="n">
        <f aca="false">IF(SUMMARY!$D$21*12&gt;=K259,-PPMT(SUMMARY!$D$22/12,K259,SUMMARY!$D$21*12,SUMMARY!$D$20),0)</f>
        <v>192.520075989014</v>
      </c>
      <c r="N259" s="290" t="n">
        <f aca="false">+M259+L259</f>
        <v>262.887958124963</v>
      </c>
      <c r="P259" s="308"/>
      <c r="Q259" s="309"/>
      <c r="R259" s="309"/>
      <c r="S259" s="309"/>
    </row>
    <row r="260" customFormat="false" ht="12.75" hidden="false" customHeight="false" outlineLevel="0" collapsed="false">
      <c r="K260" s="288" t="n">
        <v>252</v>
      </c>
      <c r="L260" s="289" t="n">
        <f aca="false">-IF(SUMMARY!$D$21*12&gt;=K260,IPMT(SUMMARY!$D$22/12,K260,SUMMARY!$D$21*12,SUMMARY!$D$20),0)</f>
        <v>69.164631661018</v>
      </c>
      <c r="M260" s="289" t="n">
        <f aca="false">IF(SUMMARY!$D$21*12&gt;=K260,-PPMT(SUMMARY!$D$22/12,K260,SUMMARY!$D$21*12,SUMMARY!$D$20),0)</f>
        <v>193.723326463945</v>
      </c>
      <c r="N260" s="290" t="n">
        <f aca="false">+M260+L260</f>
        <v>262.887958124963</v>
      </c>
      <c r="P260" s="308"/>
      <c r="Q260" s="309"/>
      <c r="R260" s="309"/>
      <c r="S260" s="309"/>
    </row>
    <row r="261" customFormat="false" ht="12.75" hidden="false" customHeight="false" outlineLevel="0" collapsed="false">
      <c r="K261" s="288" t="n">
        <v>253</v>
      </c>
      <c r="L261" s="289" t="n">
        <f aca="false">-IF(SUMMARY!$D$21*12&gt;=K261,IPMT(SUMMARY!$D$22/12,K261,SUMMARY!$D$21*12,SUMMARY!$D$20),0)</f>
        <v>67.9538608706183</v>
      </c>
      <c r="M261" s="289" t="n">
        <f aca="false">IF(SUMMARY!$D$21*12&gt;=K261,-PPMT(SUMMARY!$D$22/12,K261,SUMMARY!$D$21*12,SUMMARY!$D$20),0)</f>
        <v>194.934097254345</v>
      </c>
      <c r="N261" s="290" t="n">
        <f aca="false">+M261+L261</f>
        <v>262.887958124963</v>
      </c>
      <c r="P261" s="308"/>
      <c r="Q261" s="309"/>
      <c r="R261" s="309"/>
      <c r="S261" s="309"/>
    </row>
    <row r="262" customFormat="false" ht="12.75" hidden="false" customHeight="false" outlineLevel="0" collapsed="false">
      <c r="K262" s="288" t="n">
        <v>254</v>
      </c>
      <c r="L262" s="289" t="n">
        <f aca="false">-IF(SUMMARY!$D$21*12&gt;=K262,IPMT(SUMMARY!$D$22/12,K262,SUMMARY!$D$21*12,SUMMARY!$D$20),0)</f>
        <v>66.7355227627786</v>
      </c>
      <c r="M262" s="289" t="n">
        <f aca="false">IF(SUMMARY!$D$21*12&gt;=K262,-PPMT(SUMMARY!$D$22/12,K262,SUMMARY!$D$21*12,SUMMARY!$D$20),0)</f>
        <v>196.152435362184</v>
      </c>
      <c r="N262" s="290" t="n">
        <f aca="false">+M262+L262</f>
        <v>262.887958124963</v>
      </c>
      <c r="P262" s="308"/>
      <c r="Q262" s="309"/>
      <c r="R262" s="309"/>
      <c r="S262" s="309"/>
    </row>
    <row r="263" customFormat="false" ht="12.75" hidden="false" customHeight="false" outlineLevel="0" collapsed="false">
      <c r="K263" s="288" t="n">
        <v>255</v>
      </c>
      <c r="L263" s="289" t="n">
        <f aca="false">-IF(SUMMARY!$D$21*12&gt;=K263,IPMT(SUMMARY!$D$22/12,K263,SUMMARY!$D$21*12,SUMMARY!$D$20),0)</f>
        <v>65.509570041765</v>
      </c>
      <c r="M263" s="289" t="n">
        <f aca="false">IF(SUMMARY!$D$21*12&gt;=K263,-PPMT(SUMMARY!$D$22/12,K263,SUMMARY!$D$21*12,SUMMARY!$D$20),0)</f>
        <v>197.378388083198</v>
      </c>
      <c r="N263" s="290" t="n">
        <f aca="false">+M263+L263</f>
        <v>262.887958124963</v>
      </c>
      <c r="P263" s="308"/>
      <c r="Q263" s="309"/>
      <c r="R263" s="309"/>
      <c r="S263" s="309"/>
    </row>
    <row r="264" customFormat="false" ht="12.75" hidden="false" customHeight="false" outlineLevel="0" collapsed="false">
      <c r="K264" s="288" t="n">
        <v>256</v>
      </c>
      <c r="L264" s="289" t="n">
        <f aca="false">-IF(SUMMARY!$D$21*12&gt;=K264,IPMT(SUMMARY!$D$22/12,K264,SUMMARY!$D$21*12,SUMMARY!$D$20),0)</f>
        <v>64.275955116245</v>
      </c>
      <c r="M264" s="289" t="n">
        <f aca="false">IF(SUMMARY!$D$21*12&gt;=K264,-PPMT(SUMMARY!$D$22/12,K264,SUMMARY!$D$21*12,SUMMARY!$D$20),0)</f>
        <v>198.612003008718</v>
      </c>
      <c r="N264" s="290" t="n">
        <f aca="false">+M264+L264</f>
        <v>262.887958124963</v>
      </c>
      <c r="P264" s="308"/>
      <c r="Q264" s="309"/>
      <c r="R264" s="309"/>
      <c r="S264" s="309"/>
    </row>
    <row r="265" customFormat="false" ht="12.75" hidden="false" customHeight="false" outlineLevel="0" collapsed="false">
      <c r="K265" s="288" t="n">
        <v>257</v>
      </c>
      <c r="L265" s="289" t="n">
        <f aca="false">-IF(SUMMARY!$D$21*12&gt;=K265,IPMT(SUMMARY!$D$22/12,K265,SUMMARY!$D$21*12,SUMMARY!$D$20),0)</f>
        <v>63.0346300974405</v>
      </c>
      <c r="M265" s="289" t="n">
        <f aca="false">IF(SUMMARY!$D$21*12&gt;=K265,-PPMT(SUMMARY!$D$22/12,K265,SUMMARY!$D$21*12,SUMMARY!$D$20),0)</f>
        <v>199.853328027522</v>
      </c>
      <c r="N265" s="290" t="n">
        <f aca="false">+M265+L265</f>
        <v>262.887958124963</v>
      </c>
      <c r="P265" s="308"/>
      <c r="Q265" s="309"/>
      <c r="R265" s="309"/>
      <c r="S265" s="309"/>
    </row>
    <row r="266" customFormat="false" ht="12.75" hidden="false" customHeight="false" outlineLevel="0" collapsed="false">
      <c r="K266" s="288" t="n">
        <v>258</v>
      </c>
      <c r="L266" s="289" t="n">
        <f aca="false">-IF(SUMMARY!$D$21*12&gt;=K266,IPMT(SUMMARY!$D$22/12,K266,SUMMARY!$D$21*12,SUMMARY!$D$20),0)</f>
        <v>61.7855467972685</v>
      </c>
      <c r="M266" s="289" t="n">
        <f aca="false">IF(SUMMARY!$D$21*12&gt;=K266,-PPMT(SUMMARY!$D$22/12,K266,SUMMARY!$D$21*12,SUMMARY!$D$20),0)</f>
        <v>201.102411327694</v>
      </c>
      <c r="N266" s="290" t="n">
        <f aca="false">+M266+L266</f>
        <v>262.887958124963</v>
      </c>
      <c r="P266" s="308"/>
      <c r="Q266" s="309"/>
      <c r="R266" s="309"/>
      <c r="S266" s="309"/>
    </row>
    <row r="267" customFormat="false" ht="12.75" hidden="false" customHeight="false" outlineLevel="0" collapsed="false">
      <c r="K267" s="288" t="n">
        <v>259</v>
      </c>
      <c r="L267" s="289" t="n">
        <f aca="false">-IF(SUMMARY!$D$21*12&gt;=K267,IPMT(SUMMARY!$D$22/12,K267,SUMMARY!$D$21*12,SUMMARY!$D$20),0)</f>
        <v>60.5286567264703</v>
      </c>
      <c r="M267" s="289" t="n">
        <f aca="false">IF(SUMMARY!$D$21*12&gt;=K267,-PPMT(SUMMARY!$D$22/12,K267,SUMMARY!$D$21*12,SUMMARY!$D$20),0)</f>
        <v>202.359301398493</v>
      </c>
      <c r="N267" s="290" t="n">
        <f aca="false">+M267+L267</f>
        <v>262.887958124963</v>
      </c>
      <c r="P267" s="308"/>
      <c r="Q267" s="309"/>
      <c r="R267" s="309"/>
      <c r="S267" s="309"/>
    </row>
    <row r="268" customFormat="false" ht="12.75" hidden="false" customHeight="false" outlineLevel="0" collapsed="false">
      <c r="K268" s="288" t="n">
        <v>260</v>
      </c>
      <c r="L268" s="289" t="n">
        <f aca="false">-IF(SUMMARY!$D$21*12&gt;=K268,IPMT(SUMMARY!$D$22/12,K268,SUMMARY!$D$21*12,SUMMARY!$D$20),0)</f>
        <v>59.2639110927296</v>
      </c>
      <c r="M268" s="289" t="n">
        <f aca="false">IF(SUMMARY!$D$21*12&gt;=K268,-PPMT(SUMMARY!$D$22/12,K268,SUMMARY!$D$21*12,SUMMARY!$D$20),0)</f>
        <v>203.624047032233</v>
      </c>
      <c r="N268" s="290" t="n">
        <f aca="false">+M268+L268</f>
        <v>262.887958124963</v>
      </c>
      <c r="P268" s="308"/>
      <c r="Q268" s="309"/>
      <c r="R268" s="309"/>
      <c r="S268" s="309"/>
    </row>
    <row r="269" customFormat="false" ht="12.75" hidden="false" customHeight="false" outlineLevel="0" collapsed="false">
      <c r="K269" s="288" t="n">
        <v>261</v>
      </c>
      <c r="L269" s="289" t="n">
        <f aca="false">-IF(SUMMARY!$D$21*12&gt;=K269,IPMT(SUMMARY!$D$22/12,K269,SUMMARY!$D$21*12,SUMMARY!$D$20),0)</f>
        <v>57.9912607987784</v>
      </c>
      <c r="M269" s="289" t="n">
        <f aca="false">IF(SUMMARY!$D$21*12&gt;=K269,-PPMT(SUMMARY!$D$22/12,K269,SUMMARY!$D$21*12,SUMMARY!$D$20),0)</f>
        <v>204.896697326184</v>
      </c>
      <c r="N269" s="290" t="n">
        <f aca="false">+M269+L269</f>
        <v>262.887958124963</v>
      </c>
      <c r="P269" s="308"/>
      <c r="Q269" s="309"/>
      <c r="R269" s="309"/>
      <c r="S269" s="309"/>
    </row>
    <row r="270" customFormat="false" ht="12.75" hidden="false" customHeight="false" outlineLevel="0" collapsed="false">
      <c r="K270" s="288" t="n">
        <v>262</v>
      </c>
      <c r="L270" s="289" t="n">
        <f aca="false">-IF(SUMMARY!$D$21*12&gt;=K270,IPMT(SUMMARY!$D$22/12,K270,SUMMARY!$D$21*12,SUMMARY!$D$20),0)</f>
        <v>56.7106564404897</v>
      </c>
      <c r="M270" s="289" t="n">
        <f aca="false">IF(SUMMARY!$D$21*12&gt;=K270,-PPMT(SUMMARY!$D$22/12,K270,SUMMARY!$D$21*12,SUMMARY!$D$20),0)</f>
        <v>206.177301684473</v>
      </c>
      <c r="N270" s="290" t="n">
        <f aca="false">+M270+L270</f>
        <v>262.887958124963</v>
      </c>
      <c r="P270" s="308"/>
      <c r="Q270" s="309"/>
      <c r="R270" s="309"/>
      <c r="S270" s="309"/>
    </row>
    <row r="271" customFormat="false" ht="12.75" hidden="false" customHeight="false" outlineLevel="0" collapsed="false">
      <c r="K271" s="288" t="n">
        <v>263</v>
      </c>
      <c r="L271" s="289" t="n">
        <f aca="false">-IF(SUMMARY!$D$21*12&gt;=K271,IPMT(SUMMARY!$D$22/12,K271,SUMMARY!$D$21*12,SUMMARY!$D$20),0)</f>
        <v>55.4220483049617</v>
      </c>
      <c r="M271" s="289" t="n">
        <f aca="false">IF(SUMMARY!$D$21*12&gt;=K271,-PPMT(SUMMARY!$D$22/12,K271,SUMMARY!$D$21*12,SUMMARY!$D$20),0)</f>
        <v>207.465909820001</v>
      </c>
      <c r="N271" s="290" t="n">
        <f aca="false">+M271+L271</f>
        <v>262.887958124963</v>
      </c>
      <c r="P271" s="308"/>
      <c r="Q271" s="309"/>
      <c r="R271" s="309"/>
      <c r="S271" s="309"/>
    </row>
    <row r="272" customFormat="false" ht="12.75" hidden="false" customHeight="false" outlineLevel="0" collapsed="false">
      <c r="K272" s="288" t="n">
        <v>264</v>
      </c>
      <c r="L272" s="289" t="n">
        <f aca="false">-IF(SUMMARY!$D$21*12&gt;=K272,IPMT(SUMMARY!$D$22/12,K272,SUMMARY!$D$21*12,SUMMARY!$D$20),0)</f>
        <v>54.1253863685867</v>
      </c>
      <c r="M272" s="289" t="n">
        <f aca="false">IF(SUMMARY!$D$21*12&gt;=K272,-PPMT(SUMMARY!$D$22/12,K272,SUMMARY!$D$21*12,SUMMARY!$D$20),0)</f>
        <v>208.762571756376</v>
      </c>
      <c r="N272" s="290" t="n">
        <f aca="false">+M272+L272</f>
        <v>262.887958124963</v>
      </c>
      <c r="P272" s="308"/>
      <c r="Q272" s="309"/>
      <c r="R272" s="309"/>
      <c r="S272" s="309"/>
    </row>
    <row r="273" customFormat="false" ht="12.75" hidden="false" customHeight="false" outlineLevel="0" collapsed="false">
      <c r="K273" s="288" t="n">
        <v>265</v>
      </c>
      <c r="L273" s="289" t="n">
        <f aca="false">-IF(SUMMARY!$D$21*12&gt;=K273,IPMT(SUMMARY!$D$22/12,K273,SUMMARY!$D$21*12,SUMMARY!$D$20),0)</f>
        <v>52.820620295109</v>
      </c>
      <c r="M273" s="289" t="n">
        <f aca="false">IF(SUMMARY!$D$21*12&gt;=K273,-PPMT(SUMMARY!$D$22/12,K273,SUMMARY!$D$21*12,SUMMARY!$D$20),0)</f>
        <v>210.067337829854</v>
      </c>
      <c r="N273" s="290" t="n">
        <f aca="false">+M273+L273</f>
        <v>262.887958124963</v>
      </c>
      <c r="P273" s="308"/>
      <c r="Q273" s="309"/>
      <c r="R273" s="309"/>
      <c r="S273" s="309"/>
    </row>
    <row r="274" customFormat="false" ht="12.75" hidden="false" customHeight="false" outlineLevel="0" collapsed="false">
      <c r="K274" s="288" t="n">
        <v>266</v>
      </c>
      <c r="L274" s="289" t="n">
        <f aca="false">-IF(SUMMARY!$D$21*12&gt;=K274,IPMT(SUMMARY!$D$22/12,K274,SUMMARY!$D$21*12,SUMMARY!$D$20),0)</f>
        <v>51.5076994336725</v>
      </c>
      <c r="M274" s="289" t="n">
        <f aca="false">IF(SUMMARY!$D$21*12&gt;=K274,-PPMT(SUMMARY!$D$22/12,K274,SUMMARY!$D$21*12,SUMMARY!$D$20),0)</f>
        <v>211.38025869129</v>
      </c>
      <c r="N274" s="290" t="n">
        <f aca="false">+M274+L274</f>
        <v>262.887958124963</v>
      </c>
      <c r="P274" s="308"/>
      <c r="Q274" s="309"/>
      <c r="R274" s="309"/>
      <c r="S274" s="309"/>
    </row>
    <row r="275" customFormat="false" ht="12.75" hidden="false" customHeight="false" outlineLevel="0" collapsed="false">
      <c r="K275" s="288" t="n">
        <v>267</v>
      </c>
      <c r="L275" s="289" t="n">
        <f aca="false">-IF(SUMMARY!$D$21*12&gt;=K275,IPMT(SUMMARY!$D$22/12,K275,SUMMARY!$D$21*12,SUMMARY!$D$20),0)</f>
        <v>50.1865728168519</v>
      </c>
      <c r="M275" s="289" t="n">
        <f aca="false">IF(SUMMARY!$D$21*12&gt;=K275,-PPMT(SUMMARY!$D$22/12,K275,SUMMARY!$D$21*12,SUMMARY!$D$20),0)</f>
        <v>212.701385308111</v>
      </c>
      <c r="N275" s="290" t="n">
        <f aca="false">+M275+L275</f>
        <v>262.887958124963</v>
      </c>
      <c r="P275" s="308"/>
      <c r="Q275" s="309"/>
      <c r="R275" s="309"/>
      <c r="S275" s="309"/>
    </row>
    <row r="276" customFormat="false" ht="12.75" hidden="false" customHeight="false" outlineLevel="0" collapsed="false">
      <c r="K276" s="288" t="n">
        <v>268</v>
      </c>
      <c r="L276" s="289" t="n">
        <f aca="false">-IF(SUMMARY!$D$21*12&gt;=K276,IPMT(SUMMARY!$D$22/12,K276,SUMMARY!$D$21*12,SUMMARY!$D$20),0)</f>
        <v>48.8571891586762</v>
      </c>
      <c r="M276" s="289" t="n">
        <f aca="false">IF(SUMMARY!$D$21*12&gt;=K276,-PPMT(SUMMARY!$D$22/12,K276,SUMMARY!$D$21*12,SUMMARY!$D$20),0)</f>
        <v>214.030768966287</v>
      </c>
      <c r="N276" s="290" t="n">
        <f aca="false">+M276+L276</f>
        <v>262.887958124963</v>
      </c>
      <c r="P276" s="308"/>
      <c r="Q276" s="309"/>
      <c r="R276" s="309"/>
      <c r="S276" s="309"/>
    </row>
    <row r="277" customFormat="false" ht="12.75" hidden="false" customHeight="false" outlineLevel="0" collapsed="false">
      <c r="K277" s="288" t="n">
        <v>269</v>
      </c>
      <c r="L277" s="289" t="n">
        <f aca="false">-IF(SUMMARY!$D$21*12&gt;=K277,IPMT(SUMMARY!$D$22/12,K277,SUMMARY!$D$21*12,SUMMARY!$D$20),0)</f>
        <v>47.519496852637</v>
      </c>
      <c r="M277" s="289" t="n">
        <f aca="false">IF(SUMMARY!$D$21*12&gt;=K277,-PPMT(SUMMARY!$D$22/12,K277,SUMMARY!$D$21*12,SUMMARY!$D$20),0)</f>
        <v>215.368461272326</v>
      </c>
      <c r="N277" s="290" t="n">
        <f aca="false">+M277+L277</f>
        <v>262.887958124963</v>
      </c>
      <c r="P277" s="308"/>
      <c r="Q277" s="309"/>
      <c r="R277" s="309"/>
      <c r="S277" s="309"/>
    </row>
    <row r="278" customFormat="false" ht="12.75" hidden="false" customHeight="false" outlineLevel="0" collapsed="false">
      <c r="K278" s="288" t="n">
        <v>270</v>
      </c>
      <c r="L278" s="289" t="n">
        <f aca="false">-IF(SUMMARY!$D$21*12&gt;=K278,IPMT(SUMMARY!$D$22/12,K278,SUMMARY!$D$21*12,SUMMARY!$D$20),0)</f>
        <v>46.1734439696849</v>
      </c>
      <c r="M278" s="289" t="n">
        <f aca="false">IF(SUMMARY!$D$21*12&gt;=K278,-PPMT(SUMMARY!$D$22/12,K278,SUMMARY!$D$21*12,SUMMARY!$D$20),0)</f>
        <v>216.714514155278</v>
      </c>
      <c r="N278" s="290" t="n">
        <f aca="false">+M278+L278</f>
        <v>262.887958124963</v>
      </c>
      <c r="P278" s="308"/>
      <c r="Q278" s="309"/>
      <c r="R278" s="309"/>
      <c r="S278" s="309"/>
    </row>
    <row r="279" customFormat="false" ht="12.75" hidden="false" customHeight="false" outlineLevel="0" collapsed="false">
      <c r="K279" s="288" t="n">
        <v>271</v>
      </c>
      <c r="L279" s="289" t="n">
        <f aca="false">-IF(SUMMARY!$D$21*12&gt;=K279,IPMT(SUMMARY!$D$22/12,K279,SUMMARY!$D$21*12,SUMMARY!$D$20),0)</f>
        <v>44.8189782562143</v>
      </c>
      <c r="M279" s="289" t="n">
        <f aca="false">IF(SUMMARY!$D$21*12&gt;=K279,-PPMT(SUMMARY!$D$22/12,K279,SUMMARY!$D$21*12,SUMMARY!$D$20),0)</f>
        <v>218.068979868749</v>
      </c>
      <c r="N279" s="290" t="n">
        <f aca="false">+M279+L279</f>
        <v>262.887958124963</v>
      </c>
      <c r="P279" s="308"/>
      <c r="Q279" s="309"/>
      <c r="R279" s="309"/>
      <c r="S279" s="309"/>
    </row>
    <row r="280" customFormat="false" ht="12.75" hidden="false" customHeight="false" outlineLevel="0" collapsed="false">
      <c r="K280" s="288" t="n">
        <v>272</v>
      </c>
      <c r="L280" s="289" t="n">
        <f aca="false">-IF(SUMMARY!$D$21*12&gt;=K280,IPMT(SUMMARY!$D$22/12,K280,SUMMARY!$D$21*12,SUMMARY!$D$20),0)</f>
        <v>43.4560471320348</v>
      </c>
      <c r="M280" s="289" t="n">
        <f aca="false">IF(SUMMARY!$D$21*12&gt;=K280,-PPMT(SUMMARY!$D$22/12,K280,SUMMARY!$D$21*12,SUMMARY!$D$20),0)</f>
        <v>219.431910992928</v>
      </c>
      <c r="N280" s="290" t="n">
        <f aca="false">+M280+L280</f>
        <v>262.887958124963</v>
      </c>
      <c r="P280" s="308"/>
      <c r="Q280" s="309"/>
      <c r="R280" s="309"/>
      <c r="S280" s="309"/>
    </row>
    <row r="281" customFormat="false" ht="12.75" hidden="false" customHeight="false" outlineLevel="0" collapsed="false">
      <c r="K281" s="288" t="n">
        <v>273</v>
      </c>
      <c r="L281" s="289" t="n">
        <f aca="false">-IF(SUMMARY!$D$21*12&gt;=K281,IPMT(SUMMARY!$D$22/12,K281,SUMMARY!$D$21*12,SUMMARY!$D$20),0)</f>
        <v>42.084597688329</v>
      </c>
      <c r="M281" s="289" t="n">
        <f aca="false">IF(SUMMARY!$D$21*12&gt;=K281,-PPMT(SUMMARY!$D$22/12,K281,SUMMARY!$D$21*12,SUMMARY!$D$20),0)</f>
        <v>220.803360436634</v>
      </c>
      <c r="N281" s="290" t="n">
        <f aca="false">+M281+L281</f>
        <v>262.887958124963</v>
      </c>
      <c r="P281" s="308"/>
      <c r="Q281" s="309"/>
      <c r="R281" s="309"/>
      <c r="S281" s="309"/>
    </row>
    <row r="282" customFormat="false" ht="12.75" hidden="false" customHeight="false" outlineLevel="0" collapsed="false">
      <c r="K282" s="288" t="n">
        <v>274</v>
      </c>
      <c r="L282" s="289" t="n">
        <f aca="false">-IF(SUMMARY!$D$21*12&gt;=K282,IPMT(SUMMARY!$D$22/12,K282,SUMMARY!$D$21*12,SUMMARY!$D$20),0)</f>
        <v>40.7045766856</v>
      </c>
      <c r="M282" s="289" t="n">
        <f aca="false">IF(SUMMARY!$D$21*12&gt;=K282,-PPMT(SUMMARY!$D$22/12,K282,SUMMARY!$D$21*12,SUMMARY!$D$20),0)</f>
        <v>222.183381439363</v>
      </c>
      <c r="N282" s="290" t="n">
        <f aca="false">+M282+L282</f>
        <v>262.887958124963</v>
      </c>
      <c r="P282" s="308"/>
      <c r="Q282" s="309"/>
      <c r="R282" s="309"/>
      <c r="S282" s="309"/>
    </row>
    <row r="283" customFormat="false" ht="12.75" hidden="false" customHeight="false" outlineLevel="0" collapsed="false">
      <c r="K283" s="288" t="n">
        <v>275</v>
      </c>
      <c r="L283" s="289" t="n">
        <f aca="false">-IF(SUMMARY!$D$21*12&gt;=K283,IPMT(SUMMARY!$D$22/12,K283,SUMMARY!$D$21*12,SUMMARY!$D$20),0)</f>
        <v>39.315930551604</v>
      </c>
      <c r="M283" s="289" t="n">
        <f aca="false">IF(SUMMARY!$D$21*12&gt;=K283,-PPMT(SUMMARY!$D$22/12,K283,SUMMARY!$D$21*12,SUMMARY!$D$20),0)</f>
        <v>223.572027573359</v>
      </c>
      <c r="N283" s="290" t="n">
        <f aca="false">+M283+L283</f>
        <v>262.887958124963</v>
      </c>
      <c r="P283" s="308"/>
      <c r="Q283" s="309"/>
      <c r="R283" s="309"/>
      <c r="S283" s="309"/>
    </row>
    <row r="284" customFormat="false" ht="12.75" hidden="false" customHeight="false" outlineLevel="0" collapsed="false">
      <c r="K284" s="288" t="n">
        <v>276</v>
      </c>
      <c r="L284" s="289" t="n">
        <f aca="false">-IF(SUMMARY!$D$21*12&gt;=K284,IPMT(SUMMARY!$D$22/12,K284,SUMMARY!$D$21*12,SUMMARY!$D$20),0)</f>
        <v>37.9186053792703</v>
      </c>
      <c r="M284" s="289" t="n">
        <f aca="false">IF(SUMMARY!$D$21*12&gt;=K284,-PPMT(SUMMARY!$D$22/12,K284,SUMMARY!$D$21*12,SUMMARY!$D$20),0)</f>
        <v>224.969352745693</v>
      </c>
      <c r="N284" s="290" t="n">
        <f aca="false">+M284+L284</f>
        <v>262.887958124963</v>
      </c>
      <c r="P284" s="308"/>
      <c r="Q284" s="309"/>
      <c r="R284" s="309"/>
      <c r="S284" s="309"/>
    </row>
    <row r="285" customFormat="false" ht="12.75" hidden="false" customHeight="false" outlineLevel="0" collapsed="false">
      <c r="K285" s="288" t="n">
        <v>277</v>
      </c>
      <c r="L285" s="289" t="n">
        <f aca="false">-IF(SUMMARY!$D$21*12&gt;=K285,IPMT(SUMMARY!$D$22/12,K285,SUMMARY!$D$21*12,SUMMARY!$D$20),0)</f>
        <v>36.5125469246098</v>
      </c>
      <c r="M285" s="289" t="n">
        <f aca="false">IF(SUMMARY!$D$21*12&gt;=K285,-PPMT(SUMMARY!$D$22/12,K285,SUMMARY!$D$21*12,SUMMARY!$D$20),0)</f>
        <v>226.375411200353</v>
      </c>
      <c r="N285" s="290" t="n">
        <f aca="false">+M285+L285</f>
        <v>262.887958124963</v>
      </c>
      <c r="P285" s="308"/>
      <c r="Q285" s="309"/>
      <c r="R285" s="309"/>
      <c r="S285" s="309"/>
    </row>
    <row r="286" customFormat="false" ht="12.75" hidden="false" customHeight="false" outlineLevel="0" collapsed="false">
      <c r="K286" s="288" t="n">
        <v>278</v>
      </c>
      <c r="L286" s="289" t="n">
        <f aca="false">-IF(SUMMARY!$D$21*12&gt;=K286,IPMT(SUMMARY!$D$22/12,K286,SUMMARY!$D$21*12,SUMMARY!$D$20),0)</f>
        <v>35.0977006046076</v>
      </c>
      <c r="M286" s="289" t="n">
        <f aca="false">IF(SUMMARY!$D$21*12&gt;=K286,-PPMT(SUMMARY!$D$22/12,K286,SUMMARY!$D$21*12,SUMMARY!$D$20),0)</f>
        <v>227.790257520355</v>
      </c>
      <c r="N286" s="290" t="n">
        <f aca="false">+M286+L286</f>
        <v>262.887958124963</v>
      </c>
      <c r="P286" s="308"/>
      <c r="Q286" s="309"/>
      <c r="R286" s="309"/>
      <c r="S286" s="309"/>
    </row>
    <row r="287" customFormat="false" ht="12.75" hidden="false" customHeight="false" outlineLevel="0" collapsed="false">
      <c r="K287" s="288" t="n">
        <v>279</v>
      </c>
      <c r="L287" s="289" t="n">
        <f aca="false">-IF(SUMMARY!$D$21*12&gt;=K287,IPMT(SUMMARY!$D$22/12,K287,SUMMARY!$D$21*12,SUMMARY!$D$20),0)</f>
        <v>33.6740114951052</v>
      </c>
      <c r="M287" s="289" t="n">
        <f aca="false">IF(SUMMARY!$D$21*12&gt;=K287,-PPMT(SUMMARY!$D$22/12,K287,SUMMARY!$D$21*12,SUMMARY!$D$20),0)</f>
        <v>229.213946629858</v>
      </c>
      <c r="N287" s="290" t="n">
        <f aca="false">+M287+L287</f>
        <v>262.887958124963</v>
      </c>
      <c r="P287" s="308"/>
      <c r="Q287" s="309"/>
      <c r="R287" s="309"/>
      <c r="S287" s="309"/>
    </row>
    <row r="288" customFormat="false" ht="12.75" hidden="false" customHeight="false" outlineLevel="0" collapsed="false">
      <c r="K288" s="288" t="n">
        <v>280</v>
      </c>
      <c r="L288" s="289" t="n">
        <f aca="false">-IF(SUMMARY!$D$21*12&gt;=K288,IPMT(SUMMARY!$D$22/12,K288,SUMMARY!$D$21*12,SUMMARY!$D$20),0)</f>
        <v>32.2414243286689</v>
      </c>
      <c r="M288" s="289" t="n">
        <f aca="false">IF(SUMMARY!$D$21*12&gt;=K288,-PPMT(SUMMARY!$D$22/12,K288,SUMMARY!$D$21*12,SUMMARY!$D$20),0)</f>
        <v>230.646533796294</v>
      </c>
      <c r="N288" s="290" t="n">
        <f aca="false">+M288+L288</f>
        <v>262.887958124963</v>
      </c>
      <c r="P288" s="308"/>
      <c r="Q288" s="309"/>
      <c r="R288" s="309"/>
      <c r="S288" s="309"/>
    </row>
    <row r="289" customFormat="false" ht="12.75" hidden="false" customHeight="false" outlineLevel="0" collapsed="false">
      <c r="K289" s="288" t="n">
        <v>281</v>
      </c>
      <c r="L289" s="289" t="n">
        <f aca="false">-IF(SUMMARY!$D$21*12&gt;=K289,IPMT(SUMMARY!$D$22/12,K289,SUMMARY!$D$21*12,SUMMARY!$D$20),0)</f>
        <v>30.7998834924417</v>
      </c>
      <c r="M289" s="289" t="n">
        <f aca="false">IF(SUMMARY!$D$21*12&gt;=K289,-PPMT(SUMMARY!$D$22/12,K289,SUMMARY!$D$21*12,SUMMARY!$D$20),0)</f>
        <v>232.088074632521</v>
      </c>
      <c r="N289" s="290" t="n">
        <f aca="false">+M289+L289</f>
        <v>262.887958124963</v>
      </c>
      <c r="P289" s="308"/>
      <c r="Q289" s="309"/>
      <c r="R289" s="309"/>
      <c r="S289" s="309"/>
    </row>
    <row r="290" customFormat="false" ht="12.75" hidden="false" customHeight="false" outlineLevel="0" collapsed="false">
      <c r="K290" s="288" t="n">
        <v>282</v>
      </c>
      <c r="L290" s="289" t="n">
        <f aca="false">-IF(SUMMARY!$D$21*12&gt;=K290,IPMT(SUMMARY!$D$22/12,K290,SUMMARY!$D$21*12,SUMMARY!$D$20),0)</f>
        <v>29.3493330259887</v>
      </c>
      <c r="M290" s="289" t="n">
        <f aca="false">IF(SUMMARY!$D$21*12&gt;=K290,-PPMT(SUMMARY!$D$22/12,K290,SUMMARY!$D$21*12,SUMMARY!$D$20),0)</f>
        <v>233.538625098974</v>
      </c>
      <c r="N290" s="290" t="n">
        <f aca="false">+M290+L290</f>
        <v>262.887958124963</v>
      </c>
      <c r="P290" s="308"/>
      <c r="Q290" s="309"/>
      <c r="R290" s="309"/>
      <c r="S290" s="309"/>
    </row>
    <row r="291" customFormat="false" ht="12.75" hidden="false" customHeight="false" outlineLevel="0" collapsed="false">
      <c r="K291" s="288" t="n">
        <v>283</v>
      </c>
      <c r="L291" s="289" t="n">
        <f aca="false">-IF(SUMMARY!$D$21*12&gt;=K291,IPMT(SUMMARY!$D$22/12,K291,SUMMARY!$D$21*12,SUMMARY!$D$20),0)</f>
        <v>27.8897166191198</v>
      </c>
      <c r="M291" s="289" t="n">
        <f aca="false">IF(SUMMARY!$D$21*12&gt;=K291,-PPMT(SUMMARY!$D$22/12,K291,SUMMARY!$D$21*12,SUMMARY!$D$20),0)</f>
        <v>234.998241505843</v>
      </c>
      <c r="N291" s="290" t="n">
        <f aca="false">+M291+L291</f>
        <v>262.887958124963</v>
      </c>
      <c r="P291" s="308"/>
      <c r="Q291" s="309"/>
      <c r="R291" s="309"/>
      <c r="S291" s="309"/>
    </row>
    <row r="292" customFormat="false" ht="12.75" hidden="false" customHeight="false" outlineLevel="0" collapsed="false">
      <c r="K292" s="288" t="n">
        <v>284</v>
      </c>
      <c r="L292" s="289" t="n">
        <f aca="false">-IF(SUMMARY!$D$21*12&gt;=K292,IPMT(SUMMARY!$D$22/12,K292,SUMMARY!$D$21*12,SUMMARY!$D$20),0)</f>
        <v>26.4209776097084</v>
      </c>
      <c r="M292" s="289" t="n">
        <f aca="false">IF(SUMMARY!$D$21*12&gt;=K292,-PPMT(SUMMARY!$D$22/12,K292,SUMMARY!$D$21*12,SUMMARY!$D$20),0)</f>
        <v>236.466980515254</v>
      </c>
      <c r="N292" s="290" t="n">
        <f aca="false">+M292+L292</f>
        <v>262.887958124963</v>
      </c>
      <c r="P292" s="308"/>
      <c r="Q292" s="309"/>
      <c r="R292" s="309"/>
      <c r="S292" s="309"/>
    </row>
    <row r="293" customFormat="false" ht="12.75" hidden="false" customHeight="false" outlineLevel="0" collapsed="false">
      <c r="K293" s="288" t="n">
        <v>285</v>
      </c>
      <c r="L293" s="289" t="n">
        <f aca="false">-IF(SUMMARY!$D$21*12&gt;=K293,IPMT(SUMMARY!$D$22/12,K293,SUMMARY!$D$21*12,SUMMARY!$D$20),0)</f>
        <v>24.9430589814879</v>
      </c>
      <c r="M293" s="289" t="n">
        <f aca="false">IF(SUMMARY!$D$21*12&gt;=K293,-PPMT(SUMMARY!$D$22/12,K293,SUMMARY!$D$21*12,SUMMARY!$D$20),0)</f>
        <v>237.944899143475</v>
      </c>
      <c r="N293" s="290" t="n">
        <f aca="false">+M293+L293</f>
        <v>262.887958124963</v>
      </c>
      <c r="P293" s="308"/>
      <c r="Q293" s="309"/>
      <c r="R293" s="309"/>
      <c r="S293" s="309"/>
    </row>
    <row r="294" customFormat="false" ht="12.75" hidden="false" customHeight="false" outlineLevel="0" collapsed="false">
      <c r="K294" s="288" t="n">
        <v>286</v>
      </c>
      <c r="L294" s="289" t="n">
        <f aca="false">-IF(SUMMARY!$D$21*12&gt;=K294,IPMT(SUMMARY!$D$22/12,K294,SUMMARY!$D$21*12,SUMMARY!$D$20),0)</f>
        <v>23.4559033618413</v>
      </c>
      <c r="M294" s="289" t="n">
        <f aca="false">IF(SUMMARY!$D$21*12&gt;=K294,-PPMT(SUMMARY!$D$22/12,K294,SUMMARY!$D$21*12,SUMMARY!$D$20),0)</f>
        <v>239.432054763122</v>
      </c>
      <c r="N294" s="290" t="n">
        <f aca="false">+M294+L294</f>
        <v>262.887958124963</v>
      </c>
      <c r="P294" s="308"/>
      <c r="Q294" s="309"/>
      <c r="R294" s="309"/>
      <c r="S294" s="309"/>
    </row>
    <row r="295" customFormat="false" ht="12.75" hidden="false" customHeight="false" outlineLevel="0" collapsed="false">
      <c r="K295" s="288" t="n">
        <v>287</v>
      </c>
      <c r="L295" s="289" t="n">
        <f aca="false">-IF(SUMMARY!$D$21*12&gt;=K295,IPMT(SUMMARY!$D$22/12,K295,SUMMARY!$D$21*12,SUMMARY!$D$20),0)</f>
        <v>21.9594530195718</v>
      </c>
      <c r="M295" s="289" t="n">
        <f aca="false">IF(SUMMARY!$D$21*12&gt;=K295,-PPMT(SUMMARY!$D$22/12,K295,SUMMARY!$D$21*12,SUMMARY!$D$20),0)</f>
        <v>240.928505105391</v>
      </c>
      <c r="N295" s="290" t="n">
        <f aca="false">+M295+L295</f>
        <v>262.887958124963</v>
      </c>
      <c r="P295" s="308"/>
      <c r="Q295" s="309"/>
      <c r="R295" s="309"/>
      <c r="S295" s="309"/>
    </row>
    <row r="296" customFormat="false" ht="12.75" hidden="false" customHeight="false" outlineLevel="0" collapsed="false">
      <c r="K296" s="288" t="n">
        <v>288</v>
      </c>
      <c r="L296" s="289" t="n">
        <f aca="false">-IF(SUMMARY!$D$21*12&gt;=K296,IPMT(SUMMARY!$D$22/12,K296,SUMMARY!$D$21*12,SUMMARY!$D$20),0)</f>
        <v>20.4536498626631</v>
      </c>
      <c r="M296" s="289" t="n">
        <f aca="false">IF(SUMMARY!$D$21*12&gt;=K296,-PPMT(SUMMARY!$D$22/12,K296,SUMMARY!$D$21*12,SUMMARY!$D$20),0)</f>
        <v>242.4343082623</v>
      </c>
      <c r="N296" s="290" t="n">
        <f aca="false">+M296+L296</f>
        <v>262.887958124963</v>
      </c>
      <c r="P296" s="308"/>
      <c r="Q296" s="309"/>
      <c r="R296" s="309"/>
      <c r="S296" s="309"/>
    </row>
    <row r="297" customFormat="false" ht="12.75" hidden="false" customHeight="false" outlineLevel="0" collapsed="false">
      <c r="K297" s="288" t="n">
        <v>289</v>
      </c>
      <c r="L297" s="289" t="n">
        <f aca="false">-IF(SUMMARY!$D$21*12&gt;=K297,IPMT(SUMMARY!$D$22/12,K297,SUMMARY!$D$21*12,SUMMARY!$D$20),0)</f>
        <v>18.9384354360237</v>
      </c>
      <c r="M297" s="289" t="n">
        <f aca="false">IF(SUMMARY!$D$21*12&gt;=K297,-PPMT(SUMMARY!$D$22/12,K297,SUMMARY!$D$21*12,SUMMARY!$D$20),0)</f>
        <v>243.949522688939</v>
      </c>
      <c r="N297" s="290" t="n">
        <f aca="false">+M297+L297</f>
        <v>262.887958124963</v>
      </c>
      <c r="P297" s="308"/>
      <c r="Q297" s="309"/>
      <c r="R297" s="309"/>
      <c r="S297" s="309"/>
    </row>
    <row r="298" customFormat="false" ht="12.75" hidden="false" customHeight="false" outlineLevel="0" collapsed="false">
      <c r="K298" s="288" t="n">
        <v>290</v>
      </c>
      <c r="L298" s="289" t="n">
        <f aca="false">-IF(SUMMARY!$D$21*12&gt;=K298,IPMT(SUMMARY!$D$22/12,K298,SUMMARY!$D$21*12,SUMMARY!$D$20),0)</f>
        <v>17.4137509192177</v>
      </c>
      <c r="M298" s="289" t="n">
        <f aca="false">IF(SUMMARY!$D$21*12&gt;=K298,-PPMT(SUMMARY!$D$22/12,K298,SUMMARY!$D$21*12,SUMMARY!$D$20),0)</f>
        <v>245.474207205745</v>
      </c>
      <c r="N298" s="290" t="n">
        <f aca="false">+M298+L298</f>
        <v>262.887958124963</v>
      </c>
      <c r="P298" s="308"/>
      <c r="Q298" s="309"/>
      <c r="R298" s="309"/>
      <c r="S298" s="309"/>
    </row>
    <row r="299" customFormat="false" ht="12.75" hidden="false" customHeight="false" outlineLevel="0" collapsed="false">
      <c r="K299" s="288" t="n">
        <v>291</v>
      </c>
      <c r="L299" s="289" t="n">
        <f aca="false">-IF(SUMMARY!$D$21*12&gt;=K299,IPMT(SUMMARY!$D$22/12,K299,SUMMARY!$D$21*12,SUMMARY!$D$20),0)</f>
        <v>15.879537124182</v>
      </c>
      <c r="M299" s="289" t="n">
        <f aca="false">IF(SUMMARY!$D$21*12&gt;=K299,-PPMT(SUMMARY!$D$22/12,K299,SUMMARY!$D$21*12,SUMMARY!$D$20),0)</f>
        <v>247.008421000781</v>
      </c>
      <c r="N299" s="290" t="n">
        <f aca="false">+M299+L299</f>
        <v>262.887958124963</v>
      </c>
      <c r="P299" s="308"/>
      <c r="Q299" s="309"/>
      <c r="R299" s="309"/>
      <c r="S299" s="309"/>
    </row>
    <row r="300" customFormat="false" ht="12.75" hidden="false" customHeight="false" outlineLevel="0" collapsed="false">
      <c r="K300" s="288" t="n">
        <v>292</v>
      </c>
      <c r="L300" s="289" t="n">
        <f aca="false">-IF(SUMMARY!$D$21*12&gt;=K300,IPMT(SUMMARY!$D$22/12,K300,SUMMARY!$D$21*12,SUMMARY!$D$20),0)</f>
        <v>14.335734492927</v>
      </c>
      <c r="M300" s="289" t="n">
        <f aca="false">IF(SUMMARY!$D$21*12&gt;=K300,-PPMT(SUMMARY!$D$22/12,K300,SUMMARY!$D$21*12,SUMMARY!$D$20),0)</f>
        <v>248.552223632036</v>
      </c>
      <c r="N300" s="290" t="n">
        <f aca="false">+M300+L300</f>
        <v>262.887958124963</v>
      </c>
      <c r="P300" s="308"/>
      <c r="Q300" s="309"/>
      <c r="R300" s="309"/>
      <c r="S300" s="309"/>
    </row>
    <row r="301" customFormat="false" ht="12.75" hidden="false" customHeight="false" outlineLevel="0" collapsed="false">
      <c r="K301" s="288" t="n">
        <v>293</v>
      </c>
      <c r="L301" s="289" t="n">
        <f aca="false">-IF(SUMMARY!$D$21*12&gt;=K301,IPMT(SUMMARY!$D$22/12,K301,SUMMARY!$D$21*12,SUMMARY!$D$20),0)</f>
        <v>12.7822830952267</v>
      </c>
      <c r="M301" s="289" t="n">
        <f aca="false">IF(SUMMARY!$D$21*12&gt;=K301,-PPMT(SUMMARY!$D$22/12,K301,SUMMARY!$D$21*12,SUMMARY!$D$20),0)</f>
        <v>250.105675029736</v>
      </c>
      <c r="N301" s="290" t="n">
        <f aca="false">+M301+L301</f>
        <v>262.887958124963</v>
      </c>
      <c r="P301" s="308"/>
      <c r="Q301" s="309"/>
      <c r="R301" s="309"/>
      <c r="S301" s="309"/>
    </row>
    <row r="302" customFormat="false" ht="12.75" hidden="false" customHeight="false" outlineLevel="0" collapsed="false">
      <c r="K302" s="288" t="n">
        <v>294</v>
      </c>
      <c r="L302" s="289" t="n">
        <f aca="false">-IF(SUMMARY!$D$21*12&gt;=K302,IPMT(SUMMARY!$D$22/12,K302,SUMMARY!$D$21*12,SUMMARY!$D$20),0)</f>
        <v>11.2191226262908</v>
      </c>
      <c r="M302" s="289" t="n">
        <f aca="false">IF(SUMMARY!$D$21*12&gt;=K302,-PPMT(SUMMARY!$D$22/12,K302,SUMMARY!$D$21*12,SUMMARY!$D$20),0)</f>
        <v>251.668835498672</v>
      </c>
      <c r="N302" s="290" t="n">
        <f aca="false">+M302+L302</f>
        <v>262.887958124963</v>
      </c>
      <c r="P302" s="308"/>
      <c r="Q302" s="309"/>
      <c r="R302" s="309"/>
      <c r="S302" s="309"/>
    </row>
    <row r="303" customFormat="false" ht="12.75" hidden="false" customHeight="false" outlineLevel="0" collapsed="false">
      <c r="K303" s="288" t="n">
        <v>295</v>
      </c>
      <c r="L303" s="289" t="n">
        <f aca="false">-IF(SUMMARY!$D$21*12&gt;=K303,IPMT(SUMMARY!$D$22/12,K303,SUMMARY!$D$21*12,SUMMARY!$D$20),0)</f>
        <v>9.64619240442424</v>
      </c>
      <c r="M303" s="289" t="n">
        <f aca="false">IF(SUMMARY!$D$21*12&gt;=K303,-PPMT(SUMMARY!$D$22/12,K303,SUMMARY!$D$21*12,SUMMARY!$D$20),0)</f>
        <v>253.241765720539</v>
      </c>
      <c r="N303" s="290" t="n">
        <f aca="false">+M303+L303</f>
        <v>262.887958124963</v>
      </c>
      <c r="P303" s="308"/>
      <c r="Q303" s="309"/>
      <c r="R303" s="309"/>
      <c r="S303" s="309"/>
    </row>
    <row r="304" customFormat="false" ht="12.75" hidden="false" customHeight="false" outlineLevel="0" collapsed="false">
      <c r="K304" s="288" t="n">
        <v>296</v>
      </c>
      <c r="L304" s="289" t="n">
        <f aca="false">-IF(SUMMARY!$D$21*12&gt;=K304,IPMT(SUMMARY!$D$22/12,K304,SUMMARY!$D$21*12,SUMMARY!$D$20),0)</f>
        <v>8.06343136867075</v>
      </c>
      <c r="M304" s="289" t="n">
        <f aca="false">IF(SUMMARY!$D$21*12&gt;=K304,-PPMT(SUMMARY!$D$22/12,K304,SUMMARY!$D$21*12,SUMMARY!$D$20),0)</f>
        <v>254.824526756292</v>
      </c>
      <c r="N304" s="290" t="n">
        <f aca="false">+M304+L304</f>
        <v>262.887958124963</v>
      </c>
      <c r="P304" s="308"/>
      <c r="Q304" s="309"/>
      <c r="R304" s="309"/>
      <c r="S304" s="309"/>
    </row>
    <row r="305" customFormat="false" ht="12.75" hidden="false" customHeight="false" outlineLevel="0" collapsed="false">
      <c r="K305" s="288" t="n">
        <v>297</v>
      </c>
      <c r="L305" s="289" t="n">
        <f aca="false">-IF(SUMMARY!$D$21*12&gt;=K305,IPMT(SUMMARY!$D$22/12,K305,SUMMARY!$D$21*12,SUMMARY!$D$20),0)</f>
        <v>6.4707780764438</v>
      </c>
      <c r="M305" s="289" t="n">
        <f aca="false">IF(SUMMARY!$D$21*12&gt;=K305,-PPMT(SUMMARY!$D$22/12,K305,SUMMARY!$D$21*12,SUMMARY!$D$20),0)</f>
        <v>256.417180048519</v>
      </c>
      <c r="N305" s="290" t="n">
        <f aca="false">+M305+L305</f>
        <v>262.887958124963</v>
      </c>
      <c r="P305" s="308"/>
      <c r="Q305" s="309"/>
      <c r="R305" s="309"/>
      <c r="S305" s="309"/>
    </row>
    <row r="306" customFormat="false" ht="12.75" hidden="false" customHeight="false" outlineLevel="0" collapsed="false">
      <c r="K306" s="288" t="n">
        <v>298</v>
      </c>
      <c r="L306" s="289" t="n">
        <f aca="false">-IF(SUMMARY!$D$21*12&gt;=K306,IPMT(SUMMARY!$D$22/12,K306,SUMMARY!$D$21*12,SUMMARY!$D$20),0)</f>
        <v>4.86817070114057</v>
      </c>
      <c r="M306" s="289" t="n">
        <f aca="false">IF(SUMMARY!$D$21*12&gt;=K306,-PPMT(SUMMARY!$D$22/12,K306,SUMMARY!$D$21*12,SUMMARY!$D$20),0)</f>
        <v>258.019787423822</v>
      </c>
      <c r="N306" s="290" t="n">
        <f aca="false">+M306+L306</f>
        <v>262.887958124963</v>
      </c>
      <c r="P306" s="308"/>
      <c r="Q306" s="309"/>
      <c r="R306" s="309"/>
      <c r="S306" s="309"/>
    </row>
    <row r="307" customFormat="false" ht="12.75" hidden="false" customHeight="false" outlineLevel="0" collapsed="false">
      <c r="K307" s="288" t="n">
        <v>299</v>
      </c>
      <c r="L307" s="289" t="n">
        <f aca="false">-IF(SUMMARY!$D$21*12&gt;=K307,IPMT(SUMMARY!$D$22/12,K307,SUMMARY!$D$21*12,SUMMARY!$D$20),0)</f>
        <v>3.25554702974178</v>
      </c>
      <c r="M307" s="289" t="n">
        <f aca="false">IF(SUMMARY!$D$21*12&gt;=K307,-PPMT(SUMMARY!$D$22/12,K307,SUMMARY!$D$21*12,SUMMARY!$D$20),0)</f>
        <v>259.632411095221</v>
      </c>
      <c r="N307" s="290" t="n">
        <f aca="false">+M307+L307</f>
        <v>262.887958124963</v>
      </c>
      <c r="P307" s="308"/>
      <c r="Q307" s="309"/>
      <c r="R307" s="309"/>
      <c r="S307" s="309"/>
    </row>
    <row r="308" customFormat="false" ht="12.75" hidden="false" customHeight="false" outlineLevel="0" collapsed="false">
      <c r="K308" s="288" t="n">
        <v>300</v>
      </c>
      <c r="L308" s="289" t="n">
        <f aca="false">-IF(SUMMARY!$D$21*12&gt;=K308,IPMT(SUMMARY!$D$22/12,K308,SUMMARY!$D$21*12,SUMMARY!$D$20),0)</f>
        <v>1.63284446039647</v>
      </c>
      <c r="M308" s="289" t="n">
        <f aca="false">IF(SUMMARY!$D$21*12&gt;=K308,-PPMT(SUMMARY!$D$22/12,K308,SUMMARY!$D$21*12,SUMMARY!$D$20),0)</f>
        <v>261.255113664566</v>
      </c>
      <c r="N308" s="290" t="n">
        <f aca="false">+M308+L308</f>
        <v>262.887958124963</v>
      </c>
      <c r="P308" s="308"/>
      <c r="Q308" s="309"/>
      <c r="R308" s="309"/>
      <c r="S308" s="309"/>
    </row>
    <row r="309" customFormat="false" ht="12.75" hidden="false" customHeight="false" outlineLevel="0" collapsed="false">
      <c r="K309" s="288" t="n">
        <v>301</v>
      </c>
      <c r="L309" s="289" t="n">
        <f aca="false">-IF(SUMMARY!$D$21*12&gt;=K309,IPMT(SUMMARY!$D$22/12,K309,SUMMARY!$D$21*12,SUMMARY!$D$20),0)</f>
        <v>-0</v>
      </c>
      <c r="M309" s="289" t="n">
        <f aca="false">IF(SUMMARY!$D$21*12&gt;=K309,-PPMT(SUMMARY!$D$22/12,K309,SUMMARY!$D$21*12,SUMMARY!$D$20),0)</f>
        <v>0</v>
      </c>
      <c r="N309" s="290" t="n">
        <f aca="false">+M309+L309</f>
        <v>0</v>
      </c>
      <c r="P309" s="308"/>
      <c r="Q309" s="309"/>
      <c r="R309" s="309"/>
      <c r="S309" s="309"/>
    </row>
    <row r="310" customFormat="false" ht="12.75" hidden="false" customHeight="false" outlineLevel="0" collapsed="false">
      <c r="K310" s="288" t="n">
        <v>302</v>
      </c>
      <c r="L310" s="289" t="n">
        <f aca="false">-IF(SUMMARY!$D$21*12&gt;=K310,IPMT(SUMMARY!$D$22/12,K310,SUMMARY!$D$21*12,SUMMARY!$D$20),0)</f>
        <v>-0</v>
      </c>
      <c r="M310" s="289" t="n">
        <f aca="false">IF(SUMMARY!$D$21*12&gt;=K310,-PPMT(SUMMARY!$D$22/12,K310,SUMMARY!$D$21*12,SUMMARY!$D$20),0)</f>
        <v>0</v>
      </c>
      <c r="N310" s="290" t="n">
        <f aca="false">+M310+L310</f>
        <v>0</v>
      </c>
      <c r="P310" s="308"/>
      <c r="Q310" s="309"/>
      <c r="R310" s="309"/>
      <c r="S310" s="309"/>
    </row>
    <row r="311" customFormat="false" ht="12.75" hidden="false" customHeight="false" outlineLevel="0" collapsed="false">
      <c r="K311" s="288" t="n">
        <v>303</v>
      </c>
      <c r="L311" s="289" t="n">
        <f aca="false">-IF(SUMMARY!$D$21*12&gt;=K311,IPMT(SUMMARY!$D$22/12,K311,SUMMARY!$D$21*12,SUMMARY!$D$20),0)</f>
        <v>-0</v>
      </c>
      <c r="M311" s="289" t="n">
        <f aca="false">IF(SUMMARY!$D$21*12&gt;=K311,-PPMT(SUMMARY!$D$22/12,K311,SUMMARY!$D$21*12,SUMMARY!$D$20),0)</f>
        <v>0</v>
      </c>
      <c r="N311" s="290" t="n">
        <f aca="false">+M311+L311</f>
        <v>0</v>
      </c>
      <c r="P311" s="308"/>
      <c r="Q311" s="309"/>
      <c r="R311" s="309"/>
      <c r="S311" s="309"/>
    </row>
    <row r="312" customFormat="false" ht="12.75" hidden="false" customHeight="false" outlineLevel="0" collapsed="false">
      <c r="K312" s="288" t="n">
        <v>304</v>
      </c>
      <c r="L312" s="289" t="n">
        <f aca="false">-IF(SUMMARY!$D$21*12&gt;=K312,IPMT(SUMMARY!$D$22/12,K312,SUMMARY!$D$21*12,SUMMARY!$D$20),0)</f>
        <v>-0</v>
      </c>
      <c r="M312" s="289" t="n">
        <f aca="false">IF(SUMMARY!$D$21*12&gt;=K312,-PPMT(SUMMARY!$D$22/12,K312,SUMMARY!$D$21*12,SUMMARY!$D$20),0)</f>
        <v>0</v>
      </c>
      <c r="N312" s="290" t="n">
        <f aca="false">+M312+L312</f>
        <v>0</v>
      </c>
      <c r="P312" s="308"/>
      <c r="Q312" s="309"/>
      <c r="R312" s="309"/>
      <c r="S312" s="309"/>
    </row>
    <row r="313" customFormat="false" ht="12.75" hidden="false" customHeight="false" outlineLevel="0" collapsed="false">
      <c r="K313" s="288" t="n">
        <v>305</v>
      </c>
      <c r="L313" s="289" t="n">
        <f aca="false">-IF(SUMMARY!$D$21*12&gt;=K313,IPMT(SUMMARY!$D$22/12,K313,SUMMARY!$D$21*12,SUMMARY!$D$20),0)</f>
        <v>-0</v>
      </c>
      <c r="M313" s="289" t="n">
        <f aca="false">IF(SUMMARY!$D$21*12&gt;=K313,-PPMT(SUMMARY!$D$22/12,K313,SUMMARY!$D$21*12,SUMMARY!$D$20),0)</f>
        <v>0</v>
      </c>
      <c r="N313" s="290" t="n">
        <f aca="false">+M313+L313</f>
        <v>0</v>
      </c>
      <c r="P313" s="308"/>
      <c r="Q313" s="309"/>
      <c r="R313" s="309"/>
      <c r="S313" s="309"/>
    </row>
    <row r="314" customFormat="false" ht="12.75" hidden="false" customHeight="false" outlineLevel="0" collapsed="false">
      <c r="K314" s="288" t="n">
        <v>306</v>
      </c>
      <c r="L314" s="289" t="n">
        <f aca="false">-IF(SUMMARY!$D$21*12&gt;=K314,IPMT(SUMMARY!$D$22/12,K314,SUMMARY!$D$21*12,SUMMARY!$D$20),0)</f>
        <v>-0</v>
      </c>
      <c r="M314" s="289" t="n">
        <f aca="false">IF(SUMMARY!$D$21*12&gt;=K314,-PPMT(SUMMARY!$D$22/12,K314,SUMMARY!$D$21*12,SUMMARY!$D$20),0)</f>
        <v>0</v>
      </c>
      <c r="N314" s="290" t="n">
        <f aca="false">+M314+L314</f>
        <v>0</v>
      </c>
      <c r="P314" s="308"/>
      <c r="Q314" s="309"/>
      <c r="R314" s="309"/>
      <c r="S314" s="309"/>
    </row>
    <row r="315" customFormat="false" ht="12.75" hidden="false" customHeight="false" outlineLevel="0" collapsed="false">
      <c r="K315" s="288" t="n">
        <v>307</v>
      </c>
      <c r="L315" s="289" t="n">
        <f aca="false">-IF(SUMMARY!$D$21*12&gt;=K315,IPMT(SUMMARY!$D$22/12,K315,SUMMARY!$D$21*12,SUMMARY!$D$20),0)</f>
        <v>-0</v>
      </c>
      <c r="M315" s="289" t="n">
        <f aca="false">IF(SUMMARY!$D$21*12&gt;=K315,-PPMT(SUMMARY!$D$22/12,K315,SUMMARY!$D$21*12,SUMMARY!$D$20),0)</f>
        <v>0</v>
      </c>
      <c r="N315" s="290" t="n">
        <f aca="false">+M315+L315</f>
        <v>0</v>
      </c>
      <c r="P315" s="308"/>
      <c r="Q315" s="309"/>
      <c r="R315" s="309"/>
      <c r="S315" s="309"/>
    </row>
    <row r="316" customFormat="false" ht="12.75" hidden="false" customHeight="false" outlineLevel="0" collapsed="false">
      <c r="K316" s="288" t="n">
        <v>308</v>
      </c>
      <c r="L316" s="289" t="n">
        <f aca="false">-IF(SUMMARY!$D$21*12&gt;=K316,IPMT(SUMMARY!$D$22/12,K316,SUMMARY!$D$21*12,SUMMARY!$D$20),0)</f>
        <v>-0</v>
      </c>
      <c r="M316" s="289" t="n">
        <f aca="false">IF(SUMMARY!$D$21*12&gt;=K316,-PPMT(SUMMARY!$D$22/12,K316,SUMMARY!$D$21*12,SUMMARY!$D$20),0)</f>
        <v>0</v>
      </c>
      <c r="N316" s="290" t="n">
        <f aca="false">+M316+L316</f>
        <v>0</v>
      </c>
      <c r="P316" s="308"/>
      <c r="Q316" s="309"/>
      <c r="R316" s="309"/>
      <c r="S316" s="309"/>
    </row>
    <row r="317" customFormat="false" ht="12.75" hidden="false" customHeight="false" outlineLevel="0" collapsed="false">
      <c r="K317" s="288" t="n">
        <v>309</v>
      </c>
      <c r="L317" s="289" t="n">
        <f aca="false">-IF(SUMMARY!$D$21*12&gt;=K317,IPMT(SUMMARY!$D$22/12,K317,SUMMARY!$D$21*12,SUMMARY!$D$20),0)</f>
        <v>-0</v>
      </c>
      <c r="M317" s="289" t="n">
        <f aca="false">IF(SUMMARY!$D$21*12&gt;=K317,-PPMT(SUMMARY!$D$22/12,K317,SUMMARY!$D$21*12,SUMMARY!$D$20),0)</f>
        <v>0</v>
      </c>
      <c r="N317" s="290" t="n">
        <f aca="false">+M317+L317</f>
        <v>0</v>
      </c>
      <c r="P317" s="308"/>
      <c r="Q317" s="309"/>
      <c r="R317" s="309"/>
      <c r="S317" s="309"/>
    </row>
    <row r="318" customFormat="false" ht="12.75" hidden="false" customHeight="false" outlineLevel="0" collapsed="false">
      <c r="K318" s="288" t="n">
        <v>310</v>
      </c>
      <c r="L318" s="289" t="n">
        <f aca="false">-IF(SUMMARY!$D$21*12&gt;=K318,IPMT(SUMMARY!$D$22/12,K318,SUMMARY!$D$21*12,SUMMARY!$D$20),0)</f>
        <v>-0</v>
      </c>
      <c r="M318" s="289" t="n">
        <f aca="false">IF(SUMMARY!$D$21*12&gt;=K318,-PPMT(SUMMARY!$D$22/12,K318,SUMMARY!$D$21*12,SUMMARY!$D$20),0)</f>
        <v>0</v>
      </c>
      <c r="N318" s="290" t="n">
        <f aca="false">+M318+L318</f>
        <v>0</v>
      </c>
      <c r="P318" s="308"/>
      <c r="Q318" s="309"/>
      <c r="R318" s="309"/>
      <c r="S318" s="309"/>
    </row>
    <row r="319" customFormat="false" ht="12.75" hidden="false" customHeight="false" outlineLevel="0" collapsed="false">
      <c r="K319" s="288" t="n">
        <v>311</v>
      </c>
      <c r="L319" s="289" t="n">
        <f aca="false">-IF(SUMMARY!$D$21*12&gt;=K319,IPMT(SUMMARY!$D$22/12,K319,SUMMARY!$D$21*12,SUMMARY!$D$20),0)</f>
        <v>-0</v>
      </c>
      <c r="M319" s="289" t="n">
        <f aca="false">IF(SUMMARY!$D$21*12&gt;=K319,-PPMT(SUMMARY!$D$22/12,K319,SUMMARY!$D$21*12,SUMMARY!$D$20),0)</f>
        <v>0</v>
      </c>
      <c r="N319" s="290" t="n">
        <f aca="false">+M319+L319</f>
        <v>0</v>
      </c>
      <c r="P319" s="308"/>
      <c r="Q319" s="309"/>
      <c r="R319" s="309"/>
      <c r="S319" s="309"/>
    </row>
    <row r="320" customFormat="false" ht="12.75" hidden="false" customHeight="false" outlineLevel="0" collapsed="false">
      <c r="K320" s="288" t="n">
        <v>312</v>
      </c>
      <c r="L320" s="289" t="n">
        <f aca="false">-IF(SUMMARY!$D$21*12&gt;=K320,IPMT(SUMMARY!$D$22/12,K320,SUMMARY!$D$21*12,SUMMARY!$D$20),0)</f>
        <v>-0</v>
      </c>
      <c r="M320" s="289" t="n">
        <f aca="false">IF(SUMMARY!$D$21*12&gt;=K320,-PPMT(SUMMARY!$D$22/12,K320,SUMMARY!$D$21*12,SUMMARY!$D$20),0)</f>
        <v>0</v>
      </c>
      <c r="N320" s="290" t="n">
        <f aca="false">+M320+L320</f>
        <v>0</v>
      </c>
      <c r="P320" s="308"/>
      <c r="Q320" s="309"/>
      <c r="R320" s="309"/>
      <c r="S320" s="309"/>
    </row>
    <row r="321" customFormat="false" ht="12.75" hidden="false" customHeight="false" outlineLevel="0" collapsed="false">
      <c r="K321" s="288" t="n">
        <v>313</v>
      </c>
      <c r="L321" s="289" t="n">
        <f aca="false">-IF(SUMMARY!$D$21*12&gt;=K321,IPMT(SUMMARY!$D$22/12,K321,SUMMARY!$D$21*12,SUMMARY!$D$20),0)</f>
        <v>-0</v>
      </c>
      <c r="M321" s="289" t="n">
        <f aca="false">IF(SUMMARY!$D$21*12&gt;=K321,-PPMT(SUMMARY!$D$22/12,K321,SUMMARY!$D$21*12,SUMMARY!$D$20),0)</f>
        <v>0</v>
      </c>
      <c r="N321" s="290" t="n">
        <f aca="false">+M321+L321</f>
        <v>0</v>
      </c>
      <c r="P321" s="308"/>
      <c r="Q321" s="309"/>
      <c r="R321" s="309"/>
      <c r="S321" s="309"/>
    </row>
    <row r="322" customFormat="false" ht="12.75" hidden="false" customHeight="false" outlineLevel="0" collapsed="false">
      <c r="K322" s="288" t="n">
        <v>314</v>
      </c>
      <c r="L322" s="289" t="n">
        <f aca="false">-IF(SUMMARY!$D$21*12&gt;=K322,IPMT(SUMMARY!$D$22/12,K322,SUMMARY!$D$21*12,SUMMARY!$D$20),0)</f>
        <v>-0</v>
      </c>
      <c r="M322" s="289" t="n">
        <f aca="false">IF(SUMMARY!$D$21*12&gt;=K322,-PPMT(SUMMARY!$D$22/12,K322,SUMMARY!$D$21*12,SUMMARY!$D$20),0)</f>
        <v>0</v>
      </c>
      <c r="N322" s="290" t="n">
        <f aca="false">+M322+L322</f>
        <v>0</v>
      </c>
      <c r="P322" s="308"/>
      <c r="Q322" s="309"/>
      <c r="R322" s="309"/>
      <c r="S322" s="309"/>
    </row>
    <row r="323" customFormat="false" ht="12.75" hidden="false" customHeight="false" outlineLevel="0" collapsed="false">
      <c r="K323" s="288" t="n">
        <v>315</v>
      </c>
      <c r="L323" s="289" t="n">
        <f aca="false">-IF(SUMMARY!$D$21*12&gt;=K323,IPMT(SUMMARY!$D$22/12,K323,SUMMARY!$D$21*12,SUMMARY!$D$20),0)</f>
        <v>-0</v>
      </c>
      <c r="M323" s="289" t="n">
        <f aca="false">IF(SUMMARY!$D$21*12&gt;=K323,-PPMT(SUMMARY!$D$22/12,K323,SUMMARY!$D$21*12,SUMMARY!$D$20),0)</f>
        <v>0</v>
      </c>
      <c r="N323" s="290" t="n">
        <f aca="false">+M323+L323</f>
        <v>0</v>
      </c>
      <c r="P323" s="308"/>
      <c r="Q323" s="309"/>
      <c r="R323" s="309"/>
      <c r="S323" s="309"/>
    </row>
    <row r="324" customFormat="false" ht="12.75" hidden="false" customHeight="false" outlineLevel="0" collapsed="false">
      <c r="K324" s="288" t="n">
        <v>316</v>
      </c>
      <c r="L324" s="289" t="n">
        <f aca="false">-IF(SUMMARY!$D$21*12&gt;=K324,IPMT(SUMMARY!$D$22/12,K324,SUMMARY!$D$21*12,SUMMARY!$D$20),0)</f>
        <v>-0</v>
      </c>
      <c r="M324" s="289" t="n">
        <f aca="false">IF(SUMMARY!$D$21*12&gt;=K324,-PPMT(SUMMARY!$D$22/12,K324,SUMMARY!$D$21*12,SUMMARY!$D$20),0)</f>
        <v>0</v>
      </c>
      <c r="N324" s="290" t="n">
        <f aca="false">+M324+L324</f>
        <v>0</v>
      </c>
      <c r="P324" s="308"/>
      <c r="Q324" s="309"/>
      <c r="R324" s="309"/>
      <c r="S324" s="309"/>
    </row>
    <row r="325" customFormat="false" ht="12.75" hidden="false" customHeight="false" outlineLevel="0" collapsed="false">
      <c r="K325" s="288" t="n">
        <v>317</v>
      </c>
      <c r="L325" s="289" t="n">
        <f aca="false">-IF(SUMMARY!$D$21*12&gt;=K325,IPMT(SUMMARY!$D$22/12,K325,SUMMARY!$D$21*12,SUMMARY!$D$20),0)</f>
        <v>-0</v>
      </c>
      <c r="M325" s="289" t="n">
        <f aca="false">IF(SUMMARY!$D$21*12&gt;=K325,-PPMT(SUMMARY!$D$22/12,K325,SUMMARY!$D$21*12,SUMMARY!$D$20),0)</f>
        <v>0</v>
      </c>
      <c r="N325" s="290" t="n">
        <f aca="false">+M325+L325</f>
        <v>0</v>
      </c>
      <c r="P325" s="308"/>
      <c r="Q325" s="309"/>
      <c r="R325" s="309"/>
      <c r="S325" s="309"/>
    </row>
    <row r="326" customFormat="false" ht="12.75" hidden="false" customHeight="false" outlineLevel="0" collapsed="false">
      <c r="K326" s="288" t="n">
        <v>318</v>
      </c>
      <c r="L326" s="289" t="n">
        <f aca="false">-IF(SUMMARY!$D$21*12&gt;=K326,IPMT(SUMMARY!$D$22/12,K326,SUMMARY!$D$21*12,SUMMARY!$D$20),0)</f>
        <v>-0</v>
      </c>
      <c r="M326" s="289" t="n">
        <f aca="false">IF(SUMMARY!$D$21*12&gt;=K326,-PPMT(SUMMARY!$D$22/12,K326,SUMMARY!$D$21*12,SUMMARY!$D$20),0)</f>
        <v>0</v>
      </c>
      <c r="N326" s="290" t="n">
        <f aca="false">+M326+L326</f>
        <v>0</v>
      </c>
      <c r="P326" s="308"/>
      <c r="Q326" s="309"/>
      <c r="R326" s="309"/>
      <c r="S326" s="309"/>
    </row>
    <row r="327" customFormat="false" ht="12.75" hidden="false" customHeight="false" outlineLevel="0" collapsed="false">
      <c r="K327" s="288" t="n">
        <v>319</v>
      </c>
      <c r="L327" s="289" t="n">
        <f aca="false">-IF(SUMMARY!$D$21*12&gt;=K327,IPMT(SUMMARY!$D$22/12,K327,SUMMARY!$D$21*12,SUMMARY!$D$20),0)</f>
        <v>-0</v>
      </c>
      <c r="M327" s="289" t="n">
        <f aca="false">IF(SUMMARY!$D$21*12&gt;=K327,-PPMT(SUMMARY!$D$22/12,K327,SUMMARY!$D$21*12,SUMMARY!$D$20),0)</f>
        <v>0</v>
      </c>
      <c r="N327" s="290" t="n">
        <f aca="false">+M327+L327</f>
        <v>0</v>
      </c>
      <c r="P327" s="308"/>
      <c r="Q327" s="309"/>
      <c r="R327" s="309"/>
      <c r="S327" s="309"/>
    </row>
    <row r="328" customFormat="false" ht="12.75" hidden="false" customHeight="false" outlineLevel="0" collapsed="false">
      <c r="K328" s="288" t="n">
        <v>320</v>
      </c>
      <c r="L328" s="289" t="n">
        <f aca="false">-IF(SUMMARY!$D$21*12&gt;=K328,IPMT(SUMMARY!$D$22/12,K328,SUMMARY!$D$21*12,SUMMARY!$D$20),0)</f>
        <v>-0</v>
      </c>
      <c r="M328" s="289" t="n">
        <f aca="false">IF(SUMMARY!$D$21*12&gt;=K328,-PPMT(SUMMARY!$D$22/12,K328,SUMMARY!$D$21*12,SUMMARY!$D$20),0)</f>
        <v>0</v>
      </c>
      <c r="N328" s="290" t="n">
        <f aca="false">+M328+L328</f>
        <v>0</v>
      </c>
      <c r="P328" s="308"/>
      <c r="Q328" s="309"/>
      <c r="R328" s="309"/>
      <c r="S328" s="309"/>
    </row>
    <row r="329" customFormat="false" ht="12.75" hidden="false" customHeight="false" outlineLevel="0" collapsed="false">
      <c r="K329" s="288" t="n">
        <v>321</v>
      </c>
      <c r="L329" s="289" t="n">
        <f aca="false">-IF(SUMMARY!$D$21*12&gt;=K329,IPMT(SUMMARY!$D$22/12,K329,SUMMARY!$D$21*12,SUMMARY!$D$20),0)</f>
        <v>-0</v>
      </c>
      <c r="M329" s="289" t="n">
        <f aca="false">IF(SUMMARY!$D$21*12&gt;=K329,-PPMT(SUMMARY!$D$22/12,K329,SUMMARY!$D$21*12,SUMMARY!$D$20),0)</f>
        <v>0</v>
      </c>
      <c r="N329" s="290" t="n">
        <f aca="false">+M329+L329</f>
        <v>0</v>
      </c>
      <c r="P329" s="308"/>
      <c r="Q329" s="309"/>
      <c r="R329" s="309"/>
      <c r="S329" s="309"/>
    </row>
    <row r="330" customFormat="false" ht="12.75" hidden="false" customHeight="false" outlineLevel="0" collapsed="false">
      <c r="K330" s="288" t="n">
        <v>322</v>
      </c>
      <c r="L330" s="289" t="n">
        <f aca="false">-IF(SUMMARY!$D$21*12&gt;=K330,IPMT(SUMMARY!$D$22/12,K330,SUMMARY!$D$21*12,SUMMARY!$D$20),0)</f>
        <v>-0</v>
      </c>
      <c r="M330" s="289" t="n">
        <f aca="false">IF(SUMMARY!$D$21*12&gt;=K330,-PPMT(SUMMARY!$D$22/12,K330,SUMMARY!$D$21*12,SUMMARY!$D$20),0)</f>
        <v>0</v>
      </c>
      <c r="N330" s="290" t="n">
        <f aca="false">+M330+L330</f>
        <v>0</v>
      </c>
      <c r="P330" s="308"/>
      <c r="Q330" s="309"/>
      <c r="R330" s="309"/>
      <c r="S330" s="309"/>
    </row>
    <row r="331" customFormat="false" ht="12.75" hidden="false" customHeight="false" outlineLevel="0" collapsed="false">
      <c r="K331" s="288" t="n">
        <v>323</v>
      </c>
      <c r="L331" s="289" t="n">
        <f aca="false">-IF(SUMMARY!$D$21*12&gt;=K331,IPMT(SUMMARY!$D$22/12,K331,SUMMARY!$D$21*12,SUMMARY!$D$20),0)</f>
        <v>-0</v>
      </c>
      <c r="M331" s="289" t="n">
        <f aca="false">IF(SUMMARY!$D$21*12&gt;=K331,-PPMT(SUMMARY!$D$22/12,K331,SUMMARY!$D$21*12,SUMMARY!$D$20),0)</f>
        <v>0</v>
      </c>
      <c r="N331" s="290" t="n">
        <f aca="false">+M331+L331</f>
        <v>0</v>
      </c>
      <c r="P331" s="308"/>
      <c r="Q331" s="309"/>
      <c r="R331" s="309"/>
      <c r="S331" s="309"/>
    </row>
    <row r="332" customFormat="false" ht="12.75" hidden="false" customHeight="false" outlineLevel="0" collapsed="false">
      <c r="K332" s="288" t="n">
        <v>324</v>
      </c>
      <c r="L332" s="289" t="n">
        <f aca="false">-IF(SUMMARY!$D$21*12&gt;=K332,IPMT(SUMMARY!$D$22/12,K332,SUMMARY!$D$21*12,SUMMARY!$D$20),0)</f>
        <v>-0</v>
      </c>
      <c r="M332" s="289" t="n">
        <f aca="false">IF(SUMMARY!$D$21*12&gt;=K332,-PPMT(SUMMARY!$D$22/12,K332,SUMMARY!$D$21*12,SUMMARY!$D$20),0)</f>
        <v>0</v>
      </c>
      <c r="N332" s="290" t="n">
        <f aca="false">+M332+L332</f>
        <v>0</v>
      </c>
      <c r="P332" s="308"/>
      <c r="Q332" s="309"/>
      <c r="R332" s="309"/>
      <c r="S332" s="309"/>
    </row>
    <row r="333" customFormat="false" ht="12.75" hidden="false" customHeight="false" outlineLevel="0" collapsed="false">
      <c r="K333" s="288" t="n">
        <v>325</v>
      </c>
      <c r="L333" s="289" t="n">
        <f aca="false">-IF(SUMMARY!$D$21*12&gt;=K333,IPMT(SUMMARY!$D$22/12,K333,SUMMARY!$D$21*12,SUMMARY!$D$20),0)</f>
        <v>-0</v>
      </c>
      <c r="M333" s="289" t="n">
        <f aca="false">IF(SUMMARY!$D$21*12&gt;=K333,-PPMT(SUMMARY!$D$22/12,K333,SUMMARY!$D$21*12,SUMMARY!$D$20),0)</f>
        <v>0</v>
      </c>
      <c r="N333" s="290" t="n">
        <f aca="false">+M333+L333</f>
        <v>0</v>
      </c>
      <c r="P333" s="308"/>
      <c r="Q333" s="309"/>
      <c r="R333" s="309"/>
      <c r="S333" s="309"/>
    </row>
    <row r="334" customFormat="false" ht="12.75" hidden="false" customHeight="false" outlineLevel="0" collapsed="false">
      <c r="K334" s="288" t="n">
        <v>326</v>
      </c>
      <c r="L334" s="289" t="n">
        <f aca="false">-IF(SUMMARY!$D$21*12&gt;=K334,IPMT(SUMMARY!$D$22/12,K334,SUMMARY!$D$21*12,SUMMARY!$D$20),0)</f>
        <v>-0</v>
      </c>
      <c r="M334" s="289" t="n">
        <f aca="false">IF(SUMMARY!$D$21*12&gt;=K334,-PPMT(SUMMARY!$D$22/12,K334,SUMMARY!$D$21*12,SUMMARY!$D$20),0)</f>
        <v>0</v>
      </c>
      <c r="N334" s="290" t="n">
        <f aca="false">+M334+L334</f>
        <v>0</v>
      </c>
      <c r="P334" s="308"/>
      <c r="Q334" s="309"/>
      <c r="R334" s="309"/>
      <c r="S334" s="309"/>
    </row>
    <row r="335" customFormat="false" ht="12.75" hidden="false" customHeight="false" outlineLevel="0" collapsed="false">
      <c r="K335" s="288" t="n">
        <v>327</v>
      </c>
      <c r="L335" s="289" t="n">
        <f aca="false">-IF(SUMMARY!$D$21*12&gt;=K335,IPMT(SUMMARY!$D$22/12,K335,SUMMARY!$D$21*12,SUMMARY!$D$20),0)</f>
        <v>-0</v>
      </c>
      <c r="M335" s="289" t="n">
        <f aca="false">IF(SUMMARY!$D$21*12&gt;=K335,-PPMT(SUMMARY!$D$22/12,K335,SUMMARY!$D$21*12,SUMMARY!$D$20),0)</f>
        <v>0</v>
      </c>
      <c r="N335" s="290" t="n">
        <f aca="false">+M335+L335</f>
        <v>0</v>
      </c>
      <c r="P335" s="308"/>
      <c r="Q335" s="309"/>
      <c r="R335" s="309"/>
      <c r="S335" s="309"/>
    </row>
    <row r="336" customFormat="false" ht="12.75" hidden="false" customHeight="false" outlineLevel="0" collapsed="false">
      <c r="K336" s="288" t="n">
        <v>328</v>
      </c>
      <c r="L336" s="289" t="n">
        <f aca="false">-IF(SUMMARY!$D$21*12&gt;=K336,IPMT(SUMMARY!$D$22/12,K336,SUMMARY!$D$21*12,SUMMARY!$D$20),0)</f>
        <v>-0</v>
      </c>
      <c r="M336" s="289" t="n">
        <f aca="false">IF(SUMMARY!$D$21*12&gt;=K336,-PPMT(SUMMARY!$D$22/12,K336,SUMMARY!$D$21*12,SUMMARY!$D$20),0)</f>
        <v>0</v>
      </c>
      <c r="N336" s="290" t="n">
        <f aca="false">+M336+L336</f>
        <v>0</v>
      </c>
      <c r="P336" s="308"/>
      <c r="Q336" s="309"/>
      <c r="R336" s="309"/>
      <c r="S336" s="309"/>
    </row>
    <row r="337" customFormat="false" ht="12.75" hidden="false" customHeight="false" outlineLevel="0" collapsed="false">
      <c r="K337" s="288" t="n">
        <v>329</v>
      </c>
      <c r="L337" s="289" t="n">
        <f aca="false">-IF(SUMMARY!$D$21*12&gt;=K337,IPMT(SUMMARY!$D$22/12,K337,SUMMARY!$D$21*12,SUMMARY!$D$20),0)</f>
        <v>-0</v>
      </c>
      <c r="M337" s="289" t="n">
        <f aca="false">IF(SUMMARY!$D$21*12&gt;=K337,-PPMT(SUMMARY!$D$22/12,K337,SUMMARY!$D$21*12,SUMMARY!$D$20),0)</f>
        <v>0</v>
      </c>
      <c r="N337" s="290" t="n">
        <f aca="false">+M337+L337</f>
        <v>0</v>
      </c>
      <c r="P337" s="308"/>
      <c r="Q337" s="309"/>
      <c r="R337" s="309"/>
      <c r="S337" s="309"/>
    </row>
    <row r="338" customFormat="false" ht="12.75" hidden="false" customHeight="false" outlineLevel="0" collapsed="false">
      <c r="K338" s="288" t="n">
        <v>330</v>
      </c>
      <c r="L338" s="289" t="n">
        <f aca="false">-IF(SUMMARY!$D$21*12&gt;=K338,IPMT(SUMMARY!$D$22/12,K338,SUMMARY!$D$21*12,SUMMARY!$D$20),0)</f>
        <v>-0</v>
      </c>
      <c r="M338" s="289" t="n">
        <f aca="false">IF(SUMMARY!$D$21*12&gt;=K338,-PPMT(SUMMARY!$D$22/12,K338,SUMMARY!$D$21*12,SUMMARY!$D$20),0)</f>
        <v>0</v>
      </c>
      <c r="N338" s="290" t="n">
        <f aca="false">+M338+L338</f>
        <v>0</v>
      </c>
      <c r="P338" s="308"/>
      <c r="Q338" s="309"/>
      <c r="R338" s="309"/>
      <c r="S338" s="309"/>
    </row>
    <row r="339" customFormat="false" ht="12.75" hidden="false" customHeight="false" outlineLevel="0" collapsed="false">
      <c r="K339" s="288" t="n">
        <v>331</v>
      </c>
      <c r="L339" s="289" t="n">
        <f aca="false">-IF(SUMMARY!$D$21*12&gt;=K339,IPMT(SUMMARY!$D$22/12,K339,SUMMARY!$D$21*12,SUMMARY!$D$20),0)</f>
        <v>-0</v>
      </c>
      <c r="M339" s="289" t="n">
        <f aca="false">IF(SUMMARY!$D$21*12&gt;=K339,-PPMT(SUMMARY!$D$22/12,K339,SUMMARY!$D$21*12,SUMMARY!$D$20),0)</f>
        <v>0</v>
      </c>
      <c r="N339" s="290" t="n">
        <f aca="false">+M339+L339</f>
        <v>0</v>
      </c>
      <c r="P339" s="308"/>
      <c r="Q339" s="309"/>
      <c r="R339" s="309"/>
      <c r="S339" s="309"/>
    </row>
    <row r="340" customFormat="false" ht="12.75" hidden="false" customHeight="false" outlineLevel="0" collapsed="false">
      <c r="K340" s="288" t="n">
        <v>332</v>
      </c>
      <c r="L340" s="289" t="n">
        <f aca="false">-IF(SUMMARY!$D$21*12&gt;=K340,IPMT(SUMMARY!$D$22/12,K340,SUMMARY!$D$21*12,SUMMARY!$D$20),0)</f>
        <v>-0</v>
      </c>
      <c r="M340" s="289" t="n">
        <f aca="false">IF(SUMMARY!$D$21*12&gt;=K340,-PPMT(SUMMARY!$D$22/12,K340,SUMMARY!$D$21*12,SUMMARY!$D$20),0)</f>
        <v>0</v>
      </c>
      <c r="N340" s="290" t="n">
        <f aca="false">+M340+L340</f>
        <v>0</v>
      </c>
      <c r="P340" s="308"/>
      <c r="Q340" s="309"/>
      <c r="R340" s="309"/>
      <c r="S340" s="309"/>
    </row>
    <row r="341" customFormat="false" ht="12.75" hidden="false" customHeight="false" outlineLevel="0" collapsed="false">
      <c r="K341" s="288" t="n">
        <v>333</v>
      </c>
      <c r="L341" s="289" t="n">
        <f aca="false">-IF(SUMMARY!$D$21*12&gt;=K341,IPMT(SUMMARY!$D$22/12,K341,SUMMARY!$D$21*12,SUMMARY!$D$20),0)</f>
        <v>-0</v>
      </c>
      <c r="M341" s="289" t="n">
        <f aca="false">IF(SUMMARY!$D$21*12&gt;=K341,-PPMT(SUMMARY!$D$22/12,K341,SUMMARY!$D$21*12,SUMMARY!$D$20),0)</f>
        <v>0</v>
      </c>
      <c r="N341" s="290" t="n">
        <f aca="false">+M341+L341</f>
        <v>0</v>
      </c>
      <c r="P341" s="308"/>
      <c r="Q341" s="309"/>
      <c r="R341" s="309"/>
      <c r="S341" s="309"/>
    </row>
    <row r="342" customFormat="false" ht="12.75" hidden="false" customHeight="false" outlineLevel="0" collapsed="false">
      <c r="K342" s="288" t="n">
        <v>334</v>
      </c>
      <c r="L342" s="289" t="n">
        <f aca="false">-IF(SUMMARY!$D$21*12&gt;=K342,IPMT(SUMMARY!$D$22/12,K342,SUMMARY!$D$21*12,SUMMARY!$D$20),0)</f>
        <v>-0</v>
      </c>
      <c r="M342" s="289" t="n">
        <f aca="false">IF(SUMMARY!$D$21*12&gt;=K342,-PPMT(SUMMARY!$D$22/12,K342,SUMMARY!$D$21*12,SUMMARY!$D$20),0)</f>
        <v>0</v>
      </c>
      <c r="N342" s="290" t="n">
        <f aca="false">+M342+L342</f>
        <v>0</v>
      </c>
      <c r="P342" s="308"/>
      <c r="Q342" s="309"/>
      <c r="R342" s="309"/>
      <c r="S342" s="309"/>
    </row>
    <row r="343" customFormat="false" ht="12.75" hidden="false" customHeight="false" outlineLevel="0" collapsed="false">
      <c r="K343" s="288" t="n">
        <v>335</v>
      </c>
      <c r="L343" s="289" t="n">
        <f aca="false">-IF(SUMMARY!$D$21*12&gt;=K343,IPMT(SUMMARY!$D$22/12,K343,SUMMARY!$D$21*12,SUMMARY!$D$20),0)</f>
        <v>-0</v>
      </c>
      <c r="M343" s="289" t="n">
        <f aca="false">IF(SUMMARY!$D$21*12&gt;=K343,-PPMT(SUMMARY!$D$22/12,K343,SUMMARY!$D$21*12,SUMMARY!$D$20),0)</f>
        <v>0</v>
      </c>
      <c r="N343" s="290" t="n">
        <f aca="false">+M343+L343</f>
        <v>0</v>
      </c>
      <c r="P343" s="308"/>
      <c r="Q343" s="309"/>
      <c r="R343" s="309"/>
      <c r="S343" s="309"/>
    </row>
    <row r="344" customFormat="false" ht="12.75" hidden="false" customHeight="false" outlineLevel="0" collapsed="false">
      <c r="K344" s="288" t="n">
        <v>336</v>
      </c>
      <c r="L344" s="289" t="n">
        <f aca="false">-IF(SUMMARY!$D$21*12&gt;=K344,IPMT(SUMMARY!$D$22/12,K344,SUMMARY!$D$21*12,SUMMARY!$D$20),0)</f>
        <v>-0</v>
      </c>
      <c r="M344" s="289" t="n">
        <f aca="false">IF(SUMMARY!$D$21*12&gt;=K344,-PPMT(SUMMARY!$D$22/12,K344,SUMMARY!$D$21*12,SUMMARY!$D$20),0)</f>
        <v>0</v>
      </c>
      <c r="N344" s="290" t="n">
        <f aca="false">+M344+L344</f>
        <v>0</v>
      </c>
      <c r="P344" s="308"/>
      <c r="Q344" s="309"/>
      <c r="R344" s="309"/>
      <c r="S344" s="309"/>
    </row>
    <row r="345" customFormat="false" ht="12.75" hidden="false" customHeight="false" outlineLevel="0" collapsed="false">
      <c r="K345" s="288" t="n">
        <v>337</v>
      </c>
      <c r="L345" s="289" t="n">
        <f aca="false">-IF(SUMMARY!$D$21*12&gt;=K345,IPMT(SUMMARY!$D$22/12,K345,SUMMARY!$D$21*12,SUMMARY!$D$20),0)</f>
        <v>-0</v>
      </c>
      <c r="M345" s="289" t="n">
        <f aca="false">IF(SUMMARY!$D$21*12&gt;=K345,-PPMT(SUMMARY!$D$22/12,K345,SUMMARY!$D$21*12,SUMMARY!$D$20),0)</f>
        <v>0</v>
      </c>
      <c r="N345" s="290" t="n">
        <f aca="false">+M345+L345</f>
        <v>0</v>
      </c>
      <c r="P345" s="308"/>
      <c r="Q345" s="309"/>
      <c r="R345" s="309"/>
      <c r="S345" s="309"/>
    </row>
    <row r="346" customFormat="false" ht="12.75" hidden="false" customHeight="false" outlineLevel="0" collapsed="false">
      <c r="K346" s="288" t="n">
        <v>338</v>
      </c>
      <c r="L346" s="289" t="n">
        <f aca="false">-IF(SUMMARY!$D$21*12&gt;=K346,IPMT(SUMMARY!$D$22/12,K346,SUMMARY!$D$21*12,SUMMARY!$D$20),0)</f>
        <v>-0</v>
      </c>
      <c r="M346" s="289" t="n">
        <f aca="false">IF(SUMMARY!$D$21*12&gt;=K346,-PPMT(SUMMARY!$D$22/12,K346,SUMMARY!$D$21*12,SUMMARY!$D$20),0)</f>
        <v>0</v>
      </c>
      <c r="N346" s="290" t="n">
        <f aca="false">+M346+L346</f>
        <v>0</v>
      </c>
      <c r="P346" s="308"/>
      <c r="Q346" s="309"/>
      <c r="R346" s="309"/>
      <c r="S346" s="309"/>
    </row>
    <row r="347" customFormat="false" ht="12.75" hidden="false" customHeight="false" outlineLevel="0" collapsed="false">
      <c r="K347" s="288" t="n">
        <v>339</v>
      </c>
      <c r="L347" s="289" t="n">
        <f aca="false">-IF(SUMMARY!$D$21*12&gt;=K347,IPMT(SUMMARY!$D$22/12,K347,SUMMARY!$D$21*12,SUMMARY!$D$20),0)</f>
        <v>-0</v>
      </c>
      <c r="M347" s="289" t="n">
        <f aca="false">IF(SUMMARY!$D$21*12&gt;=K347,-PPMT(SUMMARY!$D$22/12,K347,SUMMARY!$D$21*12,SUMMARY!$D$20),0)</f>
        <v>0</v>
      </c>
      <c r="N347" s="290" t="n">
        <f aca="false">+M347+L347</f>
        <v>0</v>
      </c>
      <c r="P347" s="308"/>
      <c r="Q347" s="309"/>
      <c r="R347" s="309"/>
      <c r="S347" s="309"/>
    </row>
    <row r="348" customFormat="false" ht="12.75" hidden="false" customHeight="false" outlineLevel="0" collapsed="false">
      <c r="K348" s="288" t="n">
        <v>340</v>
      </c>
      <c r="L348" s="289" t="n">
        <f aca="false">-IF(SUMMARY!$D$21*12&gt;=K348,IPMT(SUMMARY!$D$22/12,K348,SUMMARY!$D$21*12,SUMMARY!$D$20),0)</f>
        <v>-0</v>
      </c>
      <c r="M348" s="289" t="n">
        <f aca="false">IF(SUMMARY!$D$21*12&gt;=K348,-PPMT(SUMMARY!$D$22/12,K348,SUMMARY!$D$21*12,SUMMARY!$D$20),0)</f>
        <v>0</v>
      </c>
      <c r="N348" s="290" t="n">
        <f aca="false">+M348+L348</f>
        <v>0</v>
      </c>
      <c r="P348" s="308"/>
      <c r="Q348" s="309"/>
      <c r="R348" s="309"/>
      <c r="S348" s="309"/>
    </row>
    <row r="349" customFormat="false" ht="12.75" hidden="false" customHeight="false" outlineLevel="0" collapsed="false">
      <c r="K349" s="288" t="n">
        <v>341</v>
      </c>
      <c r="L349" s="289" t="n">
        <f aca="false">-IF(SUMMARY!$D$21*12&gt;=K349,IPMT(SUMMARY!$D$22/12,K349,SUMMARY!$D$21*12,SUMMARY!$D$20),0)</f>
        <v>-0</v>
      </c>
      <c r="M349" s="289" t="n">
        <f aca="false">IF(SUMMARY!$D$21*12&gt;=K349,-PPMT(SUMMARY!$D$22/12,K349,SUMMARY!$D$21*12,SUMMARY!$D$20),0)</f>
        <v>0</v>
      </c>
      <c r="N349" s="290" t="n">
        <f aca="false">+M349+L349</f>
        <v>0</v>
      </c>
      <c r="P349" s="308"/>
      <c r="Q349" s="309"/>
      <c r="R349" s="309"/>
      <c r="S349" s="309"/>
    </row>
    <row r="350" customFormat="false" ht="12.75" hidden="false" customHeight="false" outlineLevel="0" collapsed="false">
      <c r="K350" s="288" t="n">
        <v>342</v>
      </c>
      <c r="L350" s="289" t="n">
        <f aca="false">-IF(SUMMARY!$D$21*12&gt;=K350,IPMT(SUMMARY!$D$22/12,K350,SUMMARY!$D$21*12,SUMMARY!$D$20),0)</f>
        <v>-0</v>
      </c>
      <c r="M350" s="289" t="n">
        <f aca="false">IF(SUMMARY!$D$21*12&gt;=K350,-PPMT(SUMMARY!$D$22/12,K350,SUMMARY!$D$21*12,SUMMARY!$D$20),0)</f>
        <v>0</v>
      </c>
      <c r="N350" s="290" t="n">
        <f aca="false">+M350+L350</f>
        <v>0</v>
      </c>
      <c r="P350" s="308"/>
      <c r="Q350" s="309"/>
      <c r="R350" s="309"/>
      <c r="S350" s="309"/>
    </row>
    <row r="351" customFormat="false" ht="12.75" hidden="false" customHeight="false" outlineLevel="0" collapsed="false">
      <c r="K351" s="288" t="n">
        <v>343</v>
      </c>
      <c r="L351" s="289" t="n">
        <f aca="false">-IF(SUMMARY!$D$21*12&gt;=K351,IPMT(SUMMARY!$D$22/12,K351,SUMMARY!$D$21*12,SUMMARY!$D$20),0)</f>
        <v>-0</v>
      </c>
      <c r="M351" s="289" t="n">
        <f aca="false">IF(SUMMARY!$D$21*12&gt;=K351,-PPMT(SUMMARY!$D$22/12,K351,SUMMARY!$D$21*12,SUMMARY!$D$20),0)</f>
        <v>0</v>
      </c>
      <c r="N351" s="290" t="n">
        <f aca="false">+M351+L351</f>
        <v>0</v>
      </c>
      <c r="P351" s="308"/>
      <c r="Q351" s="309"/>
      <c r="R351" s="309"/>
      <c r="S351" s="309"/>
    </row>
    <row r="352" customFormat="false" ht="12.75" hidden="false" customHeight="false" outlineLevel="0" collapsed="false">
      <c r="K352" s="288" t="n">
        <v>344</v>
      </c>
      <c r="L352" s="289" t="n">
        <f aca="false">-IF(SUMMARY!$D$21*12&gt;=K352,IPMT(SUMMARY!$D$22/12,K352,SUMMARY!$D$21*12,SUMMARY!$D$20),0)</f>
        <v>-0</v>
      </c>
      <c r="M352" s="289" t="n">
        <f aca="false">IF(SUMMARY!$D$21*12&gt;=K352,-PPMT(SUMMARY!$D$22/12,K352,SUMMARY!$D$21*12,SUMMARY!$D$20),0)</f>
        <v>0</v>
      </c>
      <c r="N352" s="290" t="n">
        <f aca="false">+M352+L352</f>
        <v>0</v>
      </c>
      <c r="P352" s="308"/>
      <c r="Q352" s="309"/>
      <c r="R352" s="309"/>
      <c r="S352" s="309"/>
    </row>
    <row r="353" customFormat="false" ht="12.75" hidden="false" customHeight="false" outlineLevel="0" collapsed="false">
      <c r="K353" s="288" t="n">
        <v>345</v>
      </c>
      <c r="L353" s="289" t="n">
        <f aca="false">-IF(SUMMARY!$D$21*12&gt;=K353,IPMT(SUMMARY!$D$22/12,K353,SUMMARY!$D$21*12,SUMMARY!$D$20),0)</f>
        <v>-0</v>
      </c>
      <c r="M353" s="289" t="n">
        <f aca="false">IF(SUMMARY!$D$21*12&gt;=K353,-PPMT(SUMMARY!$D$22/12,K353,SUMMARY!$D$21*12,SUMMARY!$D$20),0)</f>
        <v>0</v>
      </c>
      <c r="N353" s="290" t="n">
        <f aca="false">+M353+L353</f>
        <v>0</v>
      </c>
      <c r="P353" s="308"/>
      <c r="Q353" s="309"/>
      <c r="R353" s="309"/>
      <c r="S353" s="309"/>
    </row>
    <row r="354" customFormat="false" ht="12.75" hidden="false" customHeight="false" outlineLevel="0" collapsed="false">
      <c r="K354" s="288" t="n">
        <v>346</v>
      </c>
      <c r="L354" s="289" t="n">
        <f aca="false">-IF(SUMMARY!$D$21*12&gt;=K354,IPMT(SUMMARY!$D$22/12,K354,SUMMARY!$D$21*12,SUMMARY!$D$20),0)</f>
        <v>-0</v>
      </c>
      <c r="M354" s="289" t="n">
        <f aca="false">IF(SUMMARY!$D$21*12&gt;=K354,-PPMT(SUMMARY!$D$22/12,K354,SUMMARY!$D$21*12,SUMMARY!$D$20),0)</f>
        <v>0</v>
      </c>
      <c r="N354" s="290" t="n">
        <f aca="false">+M354+L354</f>
        <v>0</v>
      </c>
      <c r="P354" s="308"/>
      <c r="Q354" s="309"/>
      <c r="R354" s="309"/>
      <c r="S354" s="309"/>
    </row>
    <row r="355" customFormat="false" ht="12.75" hidden="false" customHeight="false" outlineLevel="0" collapsed="false">
      <c r="K355" s="288" t="n">
        <v>347</v>
      </c>
      <c r="L355" s="289" t="n">
        <f aca="false">-IF(SUMMARY!$D$21*12&gt;=K355,IPMT(SUMMARY!$D$22/12,K355,SUMMARY!$D$21*12,SUMMARY!$D$20),0)</f>
        <v>-0</v>
      </c>
      <c r="M355" s="289" t="n">
        <f aca="false">IF(SUMMARY!$D$21*12&gt;=K355,-PPMT(SUMMARY!$D$22/12,K355,SUMMARY!$D$21*12,SUMMARY!$D$20),0)</f>
        <v>0</v>
      </c>
      <c r="N355" s="290" t="n">
        <f aca="false">+M355+L355</f>
        <v>0</v>
      </c>
      <c r="P355" s="308"/>
      <c r="Q355" s="309"/>
      <c r="R355" s="309"/>
      <c r="S355" s="309"/>
    </row>
    <row r="356" customFormat="false" ht="12.75" hidden="false" customHeight="false" outlineLevel="0" collapsed="false">
      <c r="K356" s="288" t="n">
        <v>348</v>
      </c>
      <c r="L356" s="289" t="n">
        <f aca="false">-IF(SUMMARY!$D$21*12&gt;=K356,IPMT(SUMMARY!$D$22/12,K356,SUMMARY!$D$21*12,SUMMARY!$D$20),0)</f>
        <v>-0</v>
      </c>
      <c r="M356" s="289" t="n">
        <f aca="false">IF(SUMMARY!$D$21*12&gt;=K356,-PPMT(SUMMARY!$D$22/12,K356,SUMMARY!$D$21*12,SUMMARY!$D$20),0)</f>
        <v>0</v>
      </c>
      <c r="N356" s="290" t="n">
        <f aca="false">+M356+L356</f>
        <v>0</v>
      </c>
      <c r="P356" s="308"/>
      <c r="Q356" s="309"/>
      <c r="R356" s="309"/>
      <c r="S356" s="309"/>
    </row>
    <row r="357" customFormat="false" ht="12.75" hidden="false" customHeight="false" outlineLevel="0" collapsed="false">
      <c r="K357" s="288" t="n">
        <v>349</v>
      </c>
      <c r="L357" s="289" t="n">
        <f aca="false">-IF(SUMMARY!$D$21*12&gt;=K357,IPMT(SUMMARY!$D$22/12,K357,SUMMARY!$D$21*12,SUMMARY!$D$20),0)</f>
        <v>-0</v>
      </c>
      <c r="M357" s="289" t="n">
        <f aca="false">IF(SUMMARY!$D$21*12&gt;=K357,-PPMT(SUMMARY!$D$22/12,K357,SUMMARY!$D$21*12,SUMMARY!$D$20),0)</f>
        <v>0</v>
      </c>
      <c r="N357" s="290" t="n">
        <f aca="false">+M357+L357</f>
        <v>0</v>
      </c>
      <c r="P357" s="308"/>
      <c r="Q357" s="309"/>
      <c r="R357" s="309"/>
      <c r="S357" s="309"/>
    </row>
    <row r="358" customFormat="false" ht="12.75" hidden="false" customHeight="false" outlineLevel="0" collapsed="false">
      <c r="K358" s="288" t="n">
        <v>350</v>
      </c>
      <c r="L358" s="289" t="n">
        <f aca="false">-IF(SUMMARY!$D$21*12&gt;=K358,IPMT(SUMMARY!$D$22/12,K358,SUMMARY!$D$21*12,SUMMARY!$D$20),0)</f>
        <v>-0</v>
      </c>
      <c r="M358" s="289" t="n">
        <f aca="false">IF(SUMMARY!$D$21*12&gt;=K358,-PPMT(SUMMARY!$D$22/12,K358,SUMMARY!$D$21*12,SUMMARY!$D$20),0)</f>
        <v>0</v>
      </c>
      <c r="N358" s="290" t="n">
        <f aca="false">+M358+L358</f>
        <v>0</v>
      </c>
      <c r="P358" s="308"/>
      <c r="Q358" s="309"/>
      <c r="R358" s="309"/>
      <c r="S358" s="309"/>
    </row>
    <row r="359" customFormat="false" ht="12.75" hidden="false" customHeight="false" outlineLevel="0" collapsed="false">
      <c r="K359" s="288" t="n">
        <v>351</v>
      </c>
      <c r="L359" s="289" t="n">
        <f aca="false">-IF(SUMMARY!$D$21*12&gt;=K359,IPMT(SUMMARY!$D$22/12,K359,SUMMARY!$D$21*12,SUMMARY!$D$20),0)</f>
        <v>-0</v>
      </c>
      <c r="M359" s="289" t="n">
        <f aca="false">IF(SUMMARY!$D$21*12&gt;=K359,-PPMT(SUMMARY!$D$22/12,K359,SUMMARY!$D$21*12,SUMMARY!$D$20),0)</f>
        <v>0</v>
      </c>
      <c r="N359" s="290" t="n">
        <f aca="false">+M359+L359</f>
        <v>0</v>
      </c>
      <c r="P359" s="308"/>
      <c r="Q359" s="309"/>
      <c r="R359" s="309"/>
      <c r="S359" s="309"/>
    </row>
    <row r="360" customFormat="false" ht="12.75" hidden="false" customHeight="false" outlineLevel="0" collapsed="false">
      <c r="K360" s="288" t="n">
        <v>352</v>
      </c>
      <c r="L360" s="289" t="n">
        <f aca="false">-IF(SUMMARY!$D$21*12&gt;=K360,IPMT(SUMMARY!$D$22/12,K360,SUMMARY!$D$21*12,SUMMARY!$D$20),0)</f>
        <v>-0</v>
      </c>
      <c r="M360" s="289" t="n">
        <f aca="false">IF(SUMMARY!$D$21*12&gt;=K360,-PPMT(SUMMARY!$D$22/12,K360,SUMMARY!$D$21*12,SUMMARY!$D$20),0)</f>
        <v>0</v>
      </c>
      <c r="N360" s="290" t="n">
        <f aca="false">+M360+L360</f>
        <v>0</v>
      </c>
      <c r="P360" s="308"/>
      <c r="Q360" s="309"/>
      <c r="R360" s="309"/>
      <c r="S360" s="309"/>
    </row>
    <row r="361" customFormat="false" ht="12.75" hidden="false" customHeight="false" outlineLevel="0" collapsed="false">
      <c r="K361" s="288" t="n">
        <v>353</v>
      </c>
      <c r="L361" s="289" t="n">
        <f aca="false">-IF(SUMMARY!$D$21*12&gt;=K361,IPMT(SUMMARY!$D$22/12,K361,SUMMARY!$D$21*12,SUMMARY!$D$20),0)</f>
        <v>-0</v>
      </c>
      <c r="M361" s="289" t="n">
        <f aca="false">IF(SUMMARY!$D$21*12&gt;=K361,-PPMT(SUMMARY!$D$22/12,K361,SUMMARY!$D$21*12,SUMMARY!$D$20),0)</f>
        <v>0</v>
      </c>
      <c r="N361" s="290" t="n">
        <f aca="false">+M361+L361</f>
        <v>0</v>
      </c>
      <c r="P361" s="308"/>
      <c r="Q361" s="309"/>
      <c r="R361" s="309"/>
      <c r="S361" s="309"/>
    </row>
    <row r="362" customFormat="false" ht="12.75" hidden="false" customHeight="false" outlineLevel="0" collapsed="false">
      <c r="K362" s="288" t="n">
        <v>354</v>
      </c>
      <c r="L362" s="289" t="n">
        <f aca="false">-IF(SUMMARY!$D$21*12&gt;=K362,IPMT(SUMMARY!$D$22/12,K362,SUMMARY!$D$21*12,SUMMARY!$D$20),0)</f>
        <v>-0</v>
      </c>
      <c r="M362" s="289" t="n">
        <f aca="false">IF(SUMMARY!$D$21*12&gt;=K362,-PPMT(SUMMARY!$D$22/12,K362,SUMMARY!$D$21*12,SUMMARY!$D$20),0)</f>
        <v>0</v>
      </c>
      <c r="N362" s="290" t="n">
        <f aca="false">+M362+L362</f>
        <v>0</v>
      </c>
      <c r="P362" s="308"/>
      <c r="Q362" s="309"/>
      <c r="R362" s="309"/>
      <c r="S362" s="309"/>
    </row>
    <row r="363" customFormat="false" ht="12.75" hidden="false" customHeight="false" outlineLevel="0" collapsed="false">
      <c r="K363" s="288" t="n">
        <v>355</v>
      </c>
      <c r="L363" s="289" t="n">
        <f aca="false">-IF(SUMMARY!$D$21*12&gt;=K363,IPMT(SUMMARY!$D$22/12,K363,SUMMARY!$D$21*12,SUMMARY!$D$20),0)</f>
        <v>-0</v>
      </c>
      <c r="M363" s="289" t="n">
        <f aca="false">IF(SUMMARY!$D$21*12&gt;=K363,-PPMT(SUMMARY!$D$22/12,K363,SUMMARY!$D$21*12,SUMMARY!$D$20),0)</f>
        <v>0</v>
      </c>
      <c r="N363" s="290" t="n">
        <f aca="false">+M363+L363</f>
        <v>0</v>
      </c>
      <c r="P363" s="308"/>
      <c r="Q363" s="309"/>
      <c r="R363" s="309"/>
      <c r="S363" s="309"/>
    </row>
    <row r="364" customFormat="false" ht="12.75" hidden="false" customHeight="false" outlineLevel="0" collapsed="false">
      <c r="K364" s="288" t="n">
        <v>356</v>
      </c>
      <c r="L364" s="289" t="n">
        <f aca="false">-IF(SUMMARY!$D$21*12&gt;=K364,IPMT(SUMMARY!$D$22/12,K364,SUMMARY!$D$21*12,SUMMARY!$D$20),0)</f>
        <v>-0</v>
      </c>
      <c r="M364" s="289" t="n">
        <f aca="false">IF(SUMMARY!$D$21*12&gt;=K364,-PPMT(SUMMARY!$D$22/12,K364,SUMMARY!$D$21*12,SUMMARY!$D$20),0)</f>
        <v>0</v>
      </c>
      <c r="N364" s="290" t="n">
        <f aca="false">+M364+L364</f>
        <v>0</v>
      </c>
      <c r="P364" s="308"/>
      <c r="Q364" s="309"/>
      <c r="R364" s="309"/>
      <c r="S364" s="309"/>
    </row>
    <row r="365" customFormat="false" ht="12.75" hidden="false" customHeight="false" outlineLevel="0" collapsed="false">
      <c r="K365" s="288" t="n">
        <v>357</v>
      </c>
      <c r="L365" s="289" t="n">
        <f aca="false">-IF(SUMMARY!$D$21*12&gt;=K365,IPMT(SUMMARY!$D$22/12,K365,SUMMARY!$D$21*12,SUMMARY!$D$20),0)</f>
        <v>-0</v>
      </c>
      <c r="M365" s="289" t="n">
        <f aca="false">IF(SUMMARY!$D$21*12&gt;=K365,-PPMT(SUMMARY!$D$22/12,K365,SUMMARY!$D$21*12,SUMMARY!$D$20),0)</f>
        <v>0</v>
      </c>
      <c r="N365" s="290" t="n">
        <f aca="false">+M365+L365</f>
        <v>0</v>
      </c>
      <c r="P365" s="308"/>
      <c r="Q365" s="309"/>
      <c r="R365" s="309"/>
      <c r="S365" s="309"/>
    </row>
    <row r="366" customFormat="false" ht="12.75" hidden="false" customHeight="false" outlineLevel="0" collapsed="false">
      <c r="K366" s="288" t="n">
        <v>358</v>
      </c>
      <c r="L366" s="289" t="n">
        <f aca="false">-IF(SUMMARY!$D$21*12&gt;=K366,IPMT(SUMMARY!$D$22/12,K366,SUMMARY!$D$21*12,SUMMARY!$D$20),0)</f>
        <v>-0</v>
      </c>
      <c r="M366" s="289" t="n">
        <f aca="false">IF(SUMMARY!$D$21*12&gt;=K366,-PPMT(SUMMARY!$D$22/12,K366,SUMMARY!$D$21*12,SUMMARY!$D$20),0)</f>
        <v>0</v>
      </c>
      <c r="N366" s="290" t="n">
        <f aca="false">+M366+L366</f>
        <v>0</v>
      </c>
      <c r="P366" s="308"/>
      <c r="Q366" s="309"/>
      <c r="R366" s="309"/>
      <c r="S366" s="309"/>
    </row>
    <row r="367" customFormat="false" ht="12.75" hidden="false" customHeight="false" outlineLevel="0" collapsed="false">
      <c r="K367" s="288" t="n">
        <v>359</v>
      </c>
      <c r="L367" s="289" t="n">
        <f aca="false">-IF(SUMMARY!$D$21*12&gt;=K367,IPMT(SUMMARY!$D$22/12,K367,SUMMARY!$D$21*12,SUMMARY!$D$20),0)</f>
        <v>-0</v>
      </c>
      <c r="M367" s="289" t="n">
        <f aca="false">IF(SUMMARY!$D$21*12&gt;=K367,-PPMT(SUMMARY!$D$22/12,K367,SUMMARY!$D$21*12,SUMMARY!$D$20),0)</f>
        <v>0</v>
      </c>
      <c r="N367" s="290" t="n">
        <f aca="false">+M367+L367</f>
        <v>0</v>
      </c>
      <c r="P367" s="308"/>
      <c r="Q367" s="309"/>
      <c r="R367" s="309"/>
      <c r="S367" s="309"/>
    </row>
    <row r="368" customFormat="false" ht="13.5" hidden="false" customHeight="false" outlineLevel="0" collapsed="false">
      <c r="K368" s="305" t="n">
        <v>360</v>
      </c>
      <c r="L368" s="310" t="n">
        <f aca="false">-IF(SUMMARY!$D$21*12&gt;=K368,IPMT(SUMMARY!$D$22/12,K368,SUMMARY!$D$21*12,SUMMARY!$D$20),0)</f>
        <v>-0</v>
      </c>
      <c r="M368" s="310" t="n">
        <f aca="false">IF(SUMMARY!$D$21*12&gt;=K368,-PPMT(SUMMARY!$D$22/12,K368,SUMMARY!$D$21*12,SUMMARY!$D$20),0)</f>
        <v>0</v>
      </c>
      <c r="N368" s="311" t="n">
        <f aca="false">+M368+L368</f>
        <v>0</v>
      </c>
      <c r="P368" s="308"/>
      <c r="Q368" s="309"/>
      <c r="R368" s="309"/>
      <c r="S368" s="309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12" t="s">
        <v>246</v>
      </c>
      <c r="C2" s="312"/>
      <c r="D2" s="312"/>
      <c r="E2" s="312"/>
    </row>
    <row r="5" customFormat="false" ht="12.75" hidden="false" customHeight="false" outlineLevel="0" collapsed="false">
      <c r="B5" s="313" t="s">
        <v>247</v>
      </c>
      <c r="C5" s="313" t="s">
        <v>248</v>
      </c>
      <c r="D5" s="313" t="s">
        <v>134</v>
      </c>
      <c r="E5" s="313" t="s">
        <v>249</v>
      </c>
      <c r="G5" s="115"/>
    </row>
    <row r="6" customFormat="false" ht="13.5" hidden="false" customHeight="false" outlineLevel="0" collapsed="false">
      <c r="B6" s="313" t="s">
        <v>250</v>
      </c>
      <c r="C6" s="313" t="s">
        <v>251</v>
      </c>
      <c r="D6" s="313" t="s">
        <v>252</v>
      </c>
      <c r="E6" s="313" t="s">
        <v>253</v>
      </c>
      <c r="F6" s="115"/>
    </row>
    <row r="7" customFormat="false" ht="12.75" hidden="false" customHeight="false" outlineLevel="0" collapsed="false">
      <c r="B7" s="314" t="s">
        <v>254</v>
      </c>
      <c r="C7" s="315" t="n">
        <v>3</v>
      </c>
      <c r="D7" s="316" t="n">
        <v>36737</v>
      </c>
      <c r="E7" s="317" t="n">
        <v>36829</v>
      </c>
    </row>
    <row r="8" customFormat="false" ht="12.75" hidden="false" customHeight="false" outlineLevel="0" collapsed="false">
      <c r="B8" s="318" t="s">
        <v>255</v>
      </c>
      <c r="C8" s="319" t="n">
        <v>3</v>
      </c>
      <c r="D8" s="320" t="n">
        <v>36768</v>
      </c>
      <c r="E8" s="321" t="n">
        <v>36829</v>
      </c>
    </row>
    <row r="9" customFormat="false" ht="12.75" hidden="false" customHeight="false" outlineLevel="0" collapsed="false">
      <c r="B9" s="318" t="s">
        <v>256</v>
      </c>
      <c r="C9" s="319" t="n">
        <v>2</v>
      </c>
      <c r="D9" s="320" t="n">
        <v>36799</v>
      </c>
      <c r="E9" s="321" t="n">
        <v>36829</v>
      </c>
    </row>
    <row r="10" customFormat="false" ht="12.75" hidden="false" customHeight="false" outlineLevel="0" collapsed="false">
      <c r="B10" s="318" t="s">
        <v>257</v>
      </c>
      <c r="C10" s="319" t="n">
        <v>3</v>
      </c>
      <c r="D10" s="320" t="n">
        <v>36829</v>
      </c>
      <c r="E10" s="321" t="n">
        <v>36829</v>
      </c>
    </row>
    <row r="11" customFormat="false" ht="12.75" hidden="false" customHeight="false" outlineLevel="0" collapsed="false">
      <c r="B11" s="318" t="s">
        <v>258</v>
      </c>
      <c r="C11" s="319" t="n">
        <v>2</v>
      </c>
      <c r="D11" s="320" t="n">
        <v>36860</v>
      </c>
      <c r="E11" s="321" t="n">
        <v>36860</v>
      </c>
    </row>
    <row r="12" customFormat="false" ht="12.75" hidden="false" customHeight="false" outlineLevel="0" collapsed="false">
      <c r="B12" s="318" t="s">
        <v>259</v>
      </c>
      <c r="C12" s="319" t="n">
        <v>2</v>
      </c>
      <c r="D12" s="320" t="n">
        <v>36890</v>
      </c>
      <c r="E12" s="321" t="n">
        <v>36890</v>
      </c>
    </row>
    <row r="13" customFormat="false" ht="12.75" hidden="false" customHeight="false" outlineLevel="0" collapsed="false">
      <c r="B13" s="318" t="s">
        <v>260</v>
      </c>
      <c r="C13" s="319" t="n">
        <v>3</v>
      </c>
      <c r="D13" s="320" t="n">
        <v>36555</v>
      </c>
      <c r="E13" s="321" t="n">
        <v>36555</v>
      </c>
    </row>
    <row r="14" customFormat="false" ht="12.75" hidden="false" customHeight="false" outlineLevel="0" collapsed="false">
      <c r="B14" s="318" t="s">
        <v>261</v>
      </c>
      <c r="C14" s="319" t="n">
        <v>2</v>
      </c>
      <c r="D14" s="320" t="n">
        <v>36950</v>
      </c>
      <c r="E14" s="321" t="n">
        <v>36950</v>
      </c>
    </row>
    <row r="15" customFormat="false" ht="12.75" hidden="false" customHeight="false" outlineLevel="0" collapsed="false">
      <c r="B15" s="318" t="s">
        <v>262</v>
      </c>
      <c r="C15" s="319" t="n">
        <v>2</v>
      </c>
      <c r="D15" s="320" t="n">
        <v>36980</v>
      </c>
      <c r="E15" s="321" t="n">
        <v>36980</v>
      </c>
    </row>
    <row r="16" customFormat="false" ht="13.5" hidden="false" customHeight="false" outlineLevel="0" collapsed="false">
      <c r="B16" s="322" t="s">
        <v>263</v>
      </c>
      <c r="C16" s="323" t="n">
        <v>2</v>
      </c>
      <c r="D16" s="324" t="n">
        <v>37011</v>
      </c>
      <c r="E16" s="325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85" t="s">
        <v>130</v>
      </c>
      <c r="E19" s="326" t="n">
        <v>13500000</v>
      </c>
    </row>
    <row r="20" customFormat="false" ht="12.75" hidden="false" customHeight="false" outlineLevel="0" collapsed="false">
      <c r="D20" s="81" t="s">
        <v>264</v>
      </c>
      <c r="E20" s="327" t="n">
        <v>450000</v>
      </c>
    </row>
    <row r="21" customFormat="false" ht="13.5" hidden="false" customHeight="false" outlineLevel="0" collapsed="false">
      <c r="D21" s="168" t="s">
        <v>265</v>
      </c>
      <c r="E21" s="328" t="n">
        <v>62000</v>
      </c>
      <c r="F21" s="135"/>
    </row>
    <row r="22" customFormat="false" ht="13.5" hidden="false" customHeight="false" outlineLevel="0" collapsed="false">
      <c r="D22" s="329" t="s">
        <v>266</v>
      </c>
      <c r="E22" s="328" t="n">
        <f aca="false">+SUM(E19:E21)</f>
        <v>14012000</v>
      </c>
      <c r="F22" s="135"/>
    </row>
    <row r="23" customFormat="false" ht="12.75" hidden="false" customHeight="false" outlineLevel="0" collapsed="false">
      <c r="D23" s="135"/>
      <c r="E23" s="135"/>
      <c r="F23" s="135"/>
    </row>
    <row r="24" customFormat="false" ht="12.75" hidden="false" customHeight="false" outlineLevel="0" collapsed="false">
      <c r="C24" s="135"/>
      <c r="D24" s="135"/>
      <c r="E24" s="135"/>
      <c r="F24" s="135"/>
    </row>
    <row r="25" customFormat="false" ht="12.75" hidden="false" customHeight="false" outlineLevel="0" collapsed="false">
      <c r="B25" s="135"/>
      <c r="C25" s="135"/>
      <c r="D25" s="135"/>
      <c r="E25" s="135"/>
      <c r="F25" s="135"/>
    </row>
    <row r="26" customFormat="false" ht="12.75" hidden="false" customHeight="false" outlineLevel="0" collapsed="false">
      <c r="B26" s="135"/>
      <c r="C26" s="135"/>
      <c r="D26" s="135"/>
      <c r="E26" s="135"/>
      <c r="F26" s="135"/>
    </row>
    <row r="27" customFormat="false" ht="12.75" hidden="false" customHeight="false" outlineLevel="0" collapsed="false">
      <c r="B27" s="135"/>
      <c r="C27" s="135"/>
      <c r="D27" s="135"/>
      <c r="E27" s="135"/>
      <c r="F27" s="135"/>
    </row>
    <row r="28" customFormat="false" ht="12.75" hidden="false" customHeight="false" outlineLevel="0" collapsed="false">
      <c r="B28" s="135"/>
      <c r="C28" s="135"/>
      <c r="D28" s="135"/>
      <c r="E28" s="135"/>
      <c r="F28" s="135"/>
    </row>
    <row r="29" customFormat="false" ht="12.75" hidden="false" customHeight="false" outlineLevel="0" collapsed="false">
      <c r="B29" s="135"/>
      <c r="C29" s="135"/>
      <c r="D29" s="135"/>
      <c r="E29" s="135"/>
      <c r="F29" s="135"/>
    </row>
    <row r="30" customFormat="false" ht="12.75" hidden="false" customHeight="false" outlineLevel="0" collapsed="false">
      <c r="B30" s="135"/>
      <c r="C30" s="135"/>
      <c r="D30" s="135"/>
      <c r="E30" s="135"/>
      <c r="F30" s="135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N25" activeCellId="0" sqref="N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267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30" t="s">
        <v>63</v>
      </c>
      <c r="B3" s="141" t="n">
        <v>1</v>
      </c>
      <c r="C3" s="141" t="n">
        <v>2</v>
      </c>
      <c r="D3" s="141" t="n">
        <v>3</v>
      </c>
      <c r="E3" s="141" t="n">
        <v>4</v>
      </c>
      <c r="F3" s="141" t="n">
        <v>5</v>
      </c>
      <c r="G3" s="141" t="n">
        <v>6</v>
      </c>
      <c r="H3" s="141" t="n">
        <v>7</v>
      </c>
      <c r="I3" s="141" t="n">
        <v>8</v>
      </c>
      <c r="J3" s="141" t="n">
        <v>9</v>
      </c>
      <c r="K3" s="141" t="n">
        <v>10</v>
      </c>
      <c r="L3" s="80"/>
    </row>
    <row r="4" customFormat="false" ht="12.75" hidden="false" customHeight="false" outlineLevel="0" collapsed="false">
      <c r="A4" s="331"/>
      <c r="B4" s="135" t="n">
        <f aca="false">13500+450+62</f>
        <v>14012</v>
      </c>
      <c r="C4" s="135" t="n">
        <f aca="false">+$B$4*C3</f>
        <v>28024</v>
      </c>
      <c r="D4" s="135" t="n">
        <f aca="false">+$B$4*D3</f>
        <v>42036</v>
      </c>
      <c r="E4" s="135" t="n">
        <f aca="false">+$B$4*E3</f>
        <v>56048</v>
      </c>
      <c r="F4" s="135" t="n">
        <f aca="false">+$B$4*F3</f>
        <v>70060</v>
      </c>
      <c r="G4" s="135" t="n">
        <f aca="false">+$B$4*G3</f>
        <v>84072</v>
      </c>
      <c r="H4" s="135" t="n">
        <f aca="false">+$B$4*H3</f>
        <v>98084</v>
      </c>
      <c r="I4" s="135" t="n">
        <f aca="false">+$B$4*I3</f>
        <v>112096</v>
      </c>
      <c r="J4" s="135" t="n">
        <f aca="false">+$B$4*J3</f>
        <v>126108</v>
      </c>
      <c r="K4" s="135" t="n">
        <f aca="false">+$B$4*K3</f>
        <v>140120</v>
      </c>
      <c r="L4" s="149"/>
      <c r="N4" s="0" t="s">
        <v>268</v>
      </c>
    </row>
    <row r="5" customFormat="false" ht="13.5" hidden="false" customHeight="false" outlineLevel="0" collapsed="false">
      <c r="A5" s="332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64"/>
    </row>
    <row r="6" customFormat="false" ht="12.75" hidden="false" customHeight="false" outlineLevel="0" collapsed="false">
      <c r="A6" s="330" t="s">
        <v>65</v>
      </c>
      <c r="B6" s="333" t="n">
        <f aca="false">9300-(685/2)</f>
        <v>8957.5</v>
      </c>
      <c r="C6" s="334" t="n">
        <f aca="false">$B$6*(C3^$P$7)</f>
        <v>15595.9133414501</v>
      </c>
      <c r="D6" s="334" t="n">
        <f aca="false">$B$6*(D3^$P$7)</f>
        <v>21571.6726184018</v>
      </c>
      <c r="E6" s="334" t="n">
        <f aca="false">$B$6*(E3^$P$7)</f>
        <v>27154.0622890338</v>
      </c>
      <c r="F6" s="334" t="n">
        <f aca="false">$B$6*(F3^$P$7)</f>
        <v>32461.0691869648</v>
      </c>
      <c r="G6" s="334" t="n">
        <f aca="false">$B$6*(G3^$P$7)</f>
        <v>37558.4634983785</v>
      </c>
      <c r="H6" s="334" t="n">
        <f aca="false">$B$6*(H3^$P$7)</f>
        <v>42487.8982974937</v>
      </c>
      <c r="I6" s="334" t="n">
        <f aca="false">$B$6*(I3^$P$7)</f>
        <v>47277.9684429928</v>
      </c>
      <c r="J6" s="334" t="n">
        <f aca="false">$B$6*(J3^$P$7)</f>
        <v>51949.4345024288</v>
      </c>
      <c r="K6" s="334" t="n">
        <f aca="false">$B$6*(K3^$P$7)</f>
        <v>56518.0041318133</v>
      </c>
      <c r="L6" s="80"/>
      <c r="N6" s="104" t="s">
        <v>269</v>
      </c>
      <c r="O6" s="104"/>
      <c r="P6" s="335" t="n">
        <v>0.7</v>
      </c>
      <c r="Q6" s="0" t="s">
        <v>270</v>
      </c>
    </row>
    <row r="7" customFormat="false" ht="13.5" hidden="false" customHeight="false" outlineLevel="0" collapsed="false">
      <c r="A7" s="332"/>
      <c r="B7" s="336" t="n">
        <f aca="false">B6/B3</f>
        <v>8957.5</v>
      </c>
      <c r="C7" s="336" t="n">
        <f aca="false">C6/C3</f>
        <v>7797.95667072503</v>
      </c>
      <c r="D7" s="336" t="n">
        <f aca="false">D6/D3</f>
        <v>7190.55753946727</v>
      </c>
      <c r="E7" s="336" t="n">
        <f aca="false">E6/E3</f>
        <v>6788.51557225845</v>
      </c>
      <c r="F7" s="336" t="n">
        <f aca="false">F6/F3</f>
        <v>6492.21383739296</v>
      </c>
      <c r="G7" s="336" t="n">
        <f aca="false">G6/G3</f>
        <v>6259.74391639642</v>
      </c>
      <c r="H7" s="336" t="n">
        <f aca="false">H6/H3</f>
        <v>6069.69975678481</v>
      </c>
      <c r="I7" s="336" t="n">
        <f aca="false">I6/I3</f>
        <v>5909.7460553741</v>
      </c>
      <c r="J7" s="336" t="n">
        <f aca="false">J6/J3</f>
        <v>5772.15938915876</v>
      </c>
      <c r="K7" s="336" t="n">
        <f aca="false">K6/K3</f>
        <v>5651.80041318133</v>
      </c>
      <c r="L7" s="164"/>
      <c r="N7" s="104" t="s">
        <v>26</v>
      </c>
      <c r="O7" s="104"/>
      <c r="P7" s="337" t="n">
        <v>0.8</v>
      </c>
    </row>
    <row r="8" customFormat="false" ht="12.75" hidden="false" customHeight="false" outlineLevel="0" collapsed="false">
      <c r="A8" s="330" t="s">
        <v>271</v>
      </c>
      <c r="B8" s="141" t="n">
        <v>4</v>
      </c>
      <c r="C8" s="141" t="n">
        <v>10</v>
      </c>
      <c r="D8" s="141" t="n">
        <v>16</v>
      </c>
      <c r="E8" s="141" t="n">
        <v>24</v>
      </c>
      <c r="F8" s="79"/>
      <c r="G8" s="79"/>
      <c r="H8" s="79"/>
      <c r="I8" s="79"/>
      <c r="J8" s="79"/>
      <c r="K8" s="79"/>
      <c r="L8" s="80"/>
    </row>
    <row r="9" customFormat="false" ht="13.5" hidden="false" customHeight="false" outlineLevel="0" collapsed="false">
      <c r="A9" s="332"/>
      <c r="B9" s="338" t="n">
        <v>250</v>
      </c>
      <c r="C9" s="338" t="n">
        <v>400</v>
      </c>
      <c r="D9" s="338" t="n">
        <v>600</v>
      </c>
      <c r="E9" s="338" t="n">
        <v>1000</v>
      </c>
      <c r="F9" s="110"/>
      <c r="G9" s="110"/>
      <c r="H9" s="110"/>
      <c r="I9" s="110"/>
      <c r="J9" s="110"/>
      <c r="K9" s="110"/>
      <c r="L9" s="164"/>
    </row>
    <row r="10" customFormat="false" ht="12.75" hidden="true" customHeight="false" outlineLevel="0" collapsed="false">
      <c r="A10" s="339"/>
      <c r="B10" s="340"/>
      <c r="C10" s="340"/>
      <c r="D10" s="340"/>
      <c r="E10" s="340"/>
    </row>
    <row r="11" customFormat="false" ht="13.5" hidden="true" customHeight="false" outlineLevel="0" collapsed="false">
      <c r="A11" s="339"/>
      <c r="B11" s="340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30" t="s">
        <v>71</v>
      </c>
      <c r="B12" s="79"/>
      <c r="C12" s="141" t="n">
        <v>69</v>
      </c>
      <c r="D12" s="141" t="n">
        <v>138</v>
      </c>
      <c r="E12" s="141" t="n">
        <v>240</v>
      </c>
      <c r="F12" s="141" t="n">
        <v>345</v>
      </c>
      <c r="G12" s="141" t="n">
        <v>500</v>
      </c>
      <c r="H12" s="141" t="n">
        <v>745</v>
      </c>
      <c r="I12" s="79"/>
      <c r="J12" s="79"/>
      <c r="K12" s="79"/>
      <c r="L12" s="80"/>
    </row>
    <row r="13" customFormat="false" ht="12.75" hidden="false" customHeight="false" outlineLevel="0" collapsed="false">
      <c r="A13" s="339"/>
      <c r="B13" s="150" t="s">
        <v>272</v>
      </c>
      <c r="C13" s="341" t="n">
        <f aca="false">50+30+120+35</f>
        <v>235</v>
      </c>
      <c r="D13" s="341" t="n">
        <f aca="false">C13</f>
        <v>235</v>
      </c>
      <c r="E13" s="341" t="n">
        <f aca="false">D13</f>
        <v>235</v>
      </c>
      <c r="F13" s="341" t="n">
        <f aca="false">E13</f>
        <v>235</v>
      </c>
      <c r="G13" s="341" t="n">
        <f aca="false">F13</f>
        <v>235</v>
      </c>
      <c r="H13" s="341" t="n">
        <f aca="false">G13</f>
        <v>235</v>
      </c>
      <c r="I13" s="68"/>
      <c r="J13" s="68"/>
      <c r="K13" s="68"/>
      <c r="L13" s="149"/>
      <c r="N13" s="0" t="s">
        <v>273</v>
      </c>
    </row>
    <row r="14" customFormat="false" ht="12.75" hidden="false" customHeight="false" outlineLevel="0" collapsed="false">
      <c r="A14" s="339"/>
      <c r="B14" s="150" t="s">
        <v>274</v>
      </c>
      <c r="C14" s="341" t="n">
        <v>250</v>
      </c>
      <c r="D14" s="341" t="n">
        <v>250</v>
      </c>
      <c r="E14" s="341" t="n">
        <v>350</v>
      </c>
      <c r="F14" s="341" t="n">
        <v>500</v>
      </c>
      <c r="G14" s="341" t="n">
        <v>750</v>
      </c>
      <c r="H14" s="341" t="n">
        <v>1000</v>
      </c>
      <c r="I14" s="68"/>
      <c r="J14" s="68"/>
      <c r="K14" s="68"/>
      <c r="L14" s="149"/>
      <c r="N14" s="0" t="s">
        <v>275</v>
      </c>
    </row>
    <row r="15" customFormat="false" ht="12.75" hidden="false" customHeight="false" outlineLevel="0" collapsed="false">
      <c r="A15" s="339"/>
      <c r="B15" s="150" t="s">
        <v>276</v>
      </c>
      <c r="C15" s="341" t="n">
        <v>150</v>
      </c>
      <c r="D15" s="341" t="n">
        <v>200</v>
      </c>
      <c r="E15" s="341" t="n">
        <v>300</v>
      </c>
      <c r="F15" s="341" t="n">
        <v>400</v>
      </c>
      <c r="G15" s="341" t="n">
        <v>500</v>
      </c>
      <c r="H15" s="341" t="n">
        <v>600</v>
      </c>
      <c r="I15" s="68"/>
      <c r="J15" s="68"/>
      <c r="K15" s="68"/>
      <c r="L15" s="149"/>
      <c r="N15" s="0" t="s">
        <v>277</v>
      </c>
    </row>
    <row r="16" customFormat="false" ht="12.75" hidden="false" customHeight="false" outlineLevel="0" collapsed="false">
      <c r="A16" s="331"/>
      <c r="B16" s="222" t="n">
        <v>1</v>
      </c>
      <c r="C16" s="160" t="n">
        <f aca="false">C$15*ROUND(B16/2,0)+C$13+C$14*2</f>
        <v>885</v>
      </c>
      <c r="D16" s="160" t="n">
        <f aca="false">D$15*ROUND(B16/2,0)+D$13+D$14*2</f>
        <v>935</v>
      </c>
      <c r="E16" s="160" t="n">
        <f aca="false">E$15*ROUND(B16/2,0)+E$13+E$14*2</f>
        <v>1235</v>
      </c>
      <c r="F16" s="160" t="n">
        <f aca="false">F$15*ROUND(B16/2,0)+F$13+F$14*2</f>
        <v>1635</v>
      </c>
      <c r="G16" s="160" t="n">
        <f aca="false">G$15*ROUND(B16/2,0)+G$13+G$14*2</f>
        <v>2235</v>
      </c>
      <c r="H16" s="160" t="n">
        <f aca="false">H$15*ROUND(B16/2,0)+H$13+H$14*2</f>
        <v>2835</v>
      </c>
      <c r="I16" s="68"/>
      <c r="J16" s="68"/>
      <c r="K16" s="68"/>
      <c r="L16" s="149"/>
      <c r="N16" s="0" t="s">
        <v>278</v>
      </c>
    </row>
    <row r="17" customFormat="false" ht="12.75" hidden="false" customHeight="false" outlineLevel="0" collapsed="false">
      <c r="A17" s="331"/>
      <c r="B17" s="222" t="n">
        <v>2</v>
      </c>
      <c r="C17" s="160" t="n">
        <f aca="false">C$15*ROUND(B17/2,0)+C$13+C$14*2</f>
        <v>885</v>
      </c>
      <c r="D17" s="160" t="n">
        <f aca="false">D$15*ROUND(B17/2,0)+D$13+D$14*2</f>
        <v>935</v>
      </c>
      <c r="E17" s="160" t="n">
        <f aca="false">E$15*ROUND(B17/2,0)+E$13+E$14*2</f>
        <v>1235</v>
      </c>
      <c r="F17" s="160" t="n">
        <f aca="false">F$15*ROUND(B17/2,0)+F$13+F$14*2</f>
        <v>1635</v>
      </c>
      <c r="G17" s="160" t="n">
        <f aca="false">G$15*ROUND(B17/2,0)+G$13+G$14*2</f>
        <v>2235</v>
      </c>
      <c r="H17" s="160" t="n">
        <f aca="false">H$15*ROUND(B17/2,0)+H$13+H$14*2</f>
        <v>2835</v>
      </c>
      <c r="I17" s="68"/>
      <c r="J17" s="68"/>
      <c r="K17" s="68"/>
      <c r="L17" s="149"/>
      <c r="N17" s="0" t="s">
        <v>279</v>
      </c>
    </row>
    <row r="18" customFormat="false" ht="12.75" hidden="false" customHeight="false" outlineLevel="0" collapsed="false">
      <c r="A18" s="331"/>
      <c r="B18" s="222" t="n">
        <v>3</v>
      </c>
      <c r="C18" s="160" t="n">
        <f aca="false">C$15*ROUND(B18/2,0)+C$13+C$14*2</f>
        <v>1035</v>
      </c>
      <c r="D18" s="160" t="n">
        <f aca="false">D$15*ROUND(B18/2,0)+D$13+D$14*2</f>
        <v>1135</v>
      </c>
      <c r="E18" s="160" t="n">
        <f aca="false">E$15*ROUND(B18/2,0)+E$13+E$14*2</f>
        <v>1535</v>
      </c>
      <c r="F18" s="160" t="n">
        <f aca="false">F$15*ROUND(B18/2,0)+F$13+F$14*2</f>
        <v>2035</v>
      </c>
      <c r="G18" s="160" t="n">
        <f aca="false">G$15*ROUND(B18/2,0)+G$13+G$14*2</f>
        <v>2735</v>
      </c>
      <c r="H18" s="160" t="n">
        <f aca="false">H$15*ROUND(B18/2,0)+H$13+H$14*2</f>
        <v>3435</v>
      </c>
      <c r="I18" s="68"/>
      <c r="J18" s="68"/>
      <c r="K18" s="68"/>
      <c r="L18" s="149"/>
      <c r="N18" s="0" t="s">
        <v>280</v>
      </c>
    </row>
    <row r="19" customFormat="false" ht="12.75" hidden="false" customHeight="false" outlineLevel="0" collapsed="false">
      <c r="A19" s="331"/>
      <c r="B19" s="222" t="n">
        <v>4</v>
      </c>
      <c r="C19" s="160" t="n">
        <f aca="false">C$15*ROUND(B19/2,0)+C$13+C$14*2</f>
        <v>1035</v>
      </c>
      <c r="D19" s="160" t="n">
        <f aca="false">D$15*ROUND(B19/2,0)+D$13+D$14*2</f>
        <v>1135</v>
      </c>
      <c r="E19" s="160" t="n">
        <f aca="false">E$15*ROUND(B19/2,0)+E$13+E$14*2</f>
        <v>1535</v>
      </c>
      <c r="F19" s="160" t="n">
        <f aca="false">F$15*ROUND(B19/2,0)+F$13+F$14*2</f>
        <v>2035</v>
      </c>
      <c r="G19" s="160" t="n">
        <f aca="false">G$15*ROUND(B19/2,0)+G$13+G$14*2</f>
        <v>2735</v>
      </c>
      <c r="H19" s="160" t="n">
        <f aca="false">H$15*ROUND(B19/2,0)+H$13+H$14*2</f>
        <v>3435</v>
      </c>
      <c r="I19" s="68"/>
      <c r="J19" s="68"/>
      <c r="K19" s="68"/>
      <c r="L19" s="149"/>
    </row>
    <row r="20" customFormat="false" ht="12.75" hidden="false" customHeight="false" outlineLevel="0" collapsed="false">
      <c r="A20" s="331"/>
      <c r="B20" s="222" t="n">
        <v>5</v>
      </c>
      <c r="C20" s="160" t="n">
        <f aca="false">C$15*ROUND(B20/2,0)+C$13+C$14*2</f>
        <v>1185</v>
      </c>
      <c r="D20" s="160" t="n">
        <f aca="false">D$15*ROUND(B20/2,0)+D$13+D$14*2</f>
        <v>1335</v>
      </c>
      <c r="E20" s="160" t="n">
        <f aca="false">E$15*ROUND(B20/2,0)+E$13+E$14*2</f>
        <v>1835</v>
      </c>
      <c r="F20" s="160" t="n">
        <f aca="false">F$15*ROUND(B20/2,0)+F$13+F$14*2</f>
        <v>2435</v>
      </c>
      <c r="G20" s="160" t="n">
        <f aca="false">G$15*ROUND(B20/2,0)+G$13+G$14*2</f>
        <v>3235</v>
      </c>
      <c r="H20" s="160" t="n">
        <f aca="false">H$15*ROUND(B20/2,0)+H$13+H$14*2</f>
        <v>4035</v>
      </c>
      <c r="I20" s="68"/>
      <c r="J20" s="68"/>
      <c r="K20" s="68"/>
      <c r="L20" s="149"/>
    </row>
    <row r="21" customFormat="false" ht="12.75" hidden="false" customHeight="false" outlineLevel="0" collapsed="false">
      <c r="A21" s="331"/>
      <c r="B21" s="222" t="n">
        <v>6</v>
      </c>
      <c r="C21" s="160" t="n">
        <f aca="false">C$15*ROUND(B21/2,0)+C$13+C$14*2</f>
        <v>1185</v>
      </c>
      <c r="D21" s="160" t="n">
        <f aca="false">D$15*ROUND(B21/2,0)+D$13+D$14*2</f>
        <v>1335</v>
      </c>
      <c r="E21" s="160" t="n">
        <f aca="false">E$15*ROUND(B21/2,0)+E$13+E$14*2</f>
        <v>1835</v>
      </c>
      <c r="F21" s="160" t="n">
        <f aca="false">F$15*ROUND(B21/2,0)+F$13+F$14*2</f>
        <v>2435</v>
      </c>
      <c r="G21" s="160" t="n">
        <f aca="false">G$15*ROUND(B21/2,0)+G$13+G$14*2</f>
        <v>3235</v>
      </c>
      <c r="H21" s="160" t="n">
        <f aca="false">H$15*ROUND(B21/2,0)+H$13+H$14*2</f>
        <v>4035</v>
      </c>
      <c r="I21" s="68"/>
      <c r="J21" s="68"/>
      <c r="K21" s="68"/>
      <c r="L21" s="149"/>
    </row>
    <row r="22" customFormat="false" ht="12.75" hidden="false" customHeight="false" outlineLevel="0" collapsed="false">
      <c r="A22" s="331"/>
      <c r="B22" s="222" t="n">
        <v>7</v>
      </c>
      <c r="C22" s="160" t="n">
        <f aca="false">C$15*ROUND(B22/2,0)+C$13+C$14*2</f>
        <v>1335</v>
      </c>
      <c r="D22" s="160" t="n">
        <f aca="false">D$15*ROUND(B22/2,0)+D$13+D$14*2</f>
        <v>1535</v>
      </c>
      <c r="E22" s="160" t="n">
        <f aca="false">E$15*ROUND(B22/2,0)+E$13+E$14*2</f>
        <v>2135</v>
      </c>
      <c r="F22" s="160" t="n">
        <f aca="false">F$15*ROUND(B22/2,0)+F$13+F$14*2</f>
        <v>2835</v>
      </c>
      <c r="G22" s="160" t="n">
        <f aca="false">G$15*ROUND(B22/2,0)+G$13+G$14*2</f>
        <v>3735</v>
      </c>
      <c r="H22" s="160" t="n">
        <f aca="false">H$15*ROUND(B22/2,0)+H$13+H$14*2</f>
        <v>4635</v>
      </c>
      <c r="I22" s="68"/>
      <c r="J22" s="68"/>
      <c r="K22" s="68"/>
      <c r="L22" s="149"/>
    </row>
    <row r="23" customFormat="false" ht="12.75" hidden="false" customHeight="false" outlineLevel="0" collapsed="false">
      <c r="A23" s="331"/>
      <c r="B23" s="222" t="n">
        <v>8</v>
      </c>
      <c r="C23" s="160" t="n">
        <f aca="false">C$15*ROUND(B23/2,0)+C$13+C$14*2</f>
        <v>1335</v>
      </c>
      <c r="D23" s="160" t="n">
        <f aca="false">D$15*ROUND(B23/2,0)+D$13+D$14*2</f>
        <v>1535</v>
      </c>
      <c r="E23" s="160" t="n">
        <f aca="false">E$15*ROUND(B23/2,0)+E$13+E$14*2</f>
        <v>2135</v>
      </c>
      <c r="F23" s="160" t="n">
        <f aca="false">F$15*ROUND(B23/2,0)+F$13+F$14*2</f>
        <v>2835</v>
      </c>
      <c r="G23" s="160" t="n">
        <f aca="false">G$15*ROUND(B23/2,0)+G$13+G$14*2</f>
        <v>3735</v>
      </c>
      <c r="H23" s="160" t="n">
        <f aca="false">H$15*ROUND(B23/2,0)+H$13+H$14*2</f>
        <v>4635</v>
      </c>
      <c r="I23" s="68"/>
      <c r="J23" s="68"/>
      <c r="K23" s="68"/>
      <c r="L23" s="149"/>
    </row>
    <row r="24" customFormat="false" ht="12.75" hidden="false" customHeight="false" outlineLevel="0" collapsed="false">
      <c r="A24" s="331"/>
      <c r="B24" s="222" t="n">
        <v>9</v>
      </c>
      <c r="C24" s="160" t="n">
        <f aca="false">C$15*ROUND(B24/2,0)+C$13+C$14*2</f>
        <v>1485</v>
      </c>
      <c r="D24" s="160" t="n">
        <f aca="false">D$15*ROUND(B24/2,0)+D$13+D$14*2</f>
        <v>1735</v>
      </c>
      <c r="E24" s="160" t="n">
        <f aca="false">E$15*ROUND(B24/2,0)+E$13+E$14*2</f>
        <v>2435</v>
      </c>
      <c r="F24" s="160" t="n">
        <f aca="false">F$15*ROUND(B24/2,0)+F$13+F$14*2</f>
        <v>3235</v>
      </c>
      <c r="G24" s="160" t="n">
        <f aca="false">G$15*ROUND(B24/2,0)+G$13+G$14*2</f>
        <v>4235</v>
      </c>
      <c r="H24" s="160" t="n">
        <f aca="false">H$15*ROUND(B24/2,0)+H$13+H$14*2</f>
        <v>5235</v>
      </c>
      <c r="I24" s="68"/>
      <c r="J24" s="68"/>
      <c r="K24" s="68"/>
      <c r="L24" s="149"/>
    </row>
    <row r="25" customFormat="false" ht="13.5" hidden="false" customHeight="false" outlineLevel="0" collapsed="false">
      <c r="A25" s="342"/>
      <c r="B25" s="343" t="n">
        <v>10</v>
      </c>
      <c r="C25" s="160" t="n">
        <f aca="false">C$15*ROUND(B25/2,0)+C$13+C$14*2</f>
        <v>1485</v>
      </c>
      <c r="D25" s="160" t="n">
        <f aca="false">D$15*ROUND(B25/2,0)+D$13+D$14*2</f>
        <v>1735</v>
      </c>
      <c r="E25" s="160" t="n">
        <f aca="false">E$15*ROUND(B25/2,0)+E$13+E$14*2</f>
        <v>2435</v>
      </c>
      <c r="F25" s="160" t="n">
        <f aca="false">F$15*ROUND(B25/2,0)+F$13+F$14*2</f>
        <v>3235</v>
      </c>
      <c r="G25" s="160" t="n">
        <f aca="false">G$15*ROUND(B25/2,0)+G$13+G$14*2</f>
        <v>4235</v>
      </c>
      <c r="H25" s="160" t="n">
        <f aca="false">H$15*ROUND(B25/2,0)+H$13+H$14*2</f>
        <v>5235</v>
      </c>
      <c r="I25" s="110"/>
      <c r="J25" s="110"/>
      <c r="K25" s="110"/>
      <c r="L25" s="164"/>
    </row>
    <row r="26" customFormat="false" ht="12.75" hidden="true" customHeight="false" outlineLevel="0" collapsed="false">
      <c r="A26" s="331"/>
      <c r="B26" s="135"/>
      <c r="C26" s="135"/>
      <c r="D26" s="135"/>
      <c r="E26" s="135"/>
      <c r="F26" s="135"/>
      <c r="G26" s="135"/>
      <c r="H26" s="135"/>
    </row>
    <row r="27" customFormat="false" ht="12.75" hidden="true" customHeight="false" outlineLevel="0" collapsed="false">
      <c r="A27" s="331"/>
      <c r="B27" s="135"/>
      <c r="C27" s="135"/>
      <c r="D27" s="135"/>
      <c r="E27" s="135"/>
      <c r="F27" s="135"/>
      <c r="G27" s="135"/>
      <c r="H27" s="135"/>
    </row>
    <row r="28" customFormat="false" ht="12.75" hidden="true" customHeight="false" outlineLevel="0" collapsed="false">
      <c r="A28" s="339"/>
    </row>
    <row r="29" customFormat="false" ht="12.75" hidden="true" customHeight="false" outlineLevel="0" collapsed="false">
      <c r="A29" s="331"/>
    </row>
    <row r="30" customFormat="false" ht="12.75" hidden="false" customHeight="false" outlineLevel="0" collapsed="false">
      <c r="A30" s="330" t="s">
        <v>36</v>
      </c>
      <c r="B30" s="141" t="n">
        <v>1</v>
      </c>
      <c r="C30" s="141" t="n">
        <v>2</v>
      </c>
      <c r="D30" s="141" t="n">
        <v>3</v>
      </c>
      <c r="E30" s="141" t="n">
        <v>4</v>
      </c>
      <c r="F30" s="141" t="n">
        <v>5</v>
      </c>
      <c r="G30" s="141" t="n">
        <v>6</v>
      </c>
      <c r="H30" s="141" t="n">
        <v>7</v>
      </c>
      <c r="I30" s="141" t="n">
        <v>8</v>
      </c>
      <c r="J30" s="141" t="n">
        <v>9</v>
      </c>
      <c r="K30" s="141" t="n">
        <v>10</v>
      </c>
      <c r="L30" s="80"/>
    </row>
    <row r="31" customFormat="false" ht="13.5" hidden="false" customHeight="false" outlineLevel="0" collapsed="false">
      <c r="A31" s="342"/>
      <c r="B31" s="344" t="n">
        <v>1000</v>
      </c>
      <c r="C31" s="345" t="n">
        <f aca="false">+$B$31*C30^$P$31</f>
        <v>1931.87265784969</v>
      </c>
      <c r="D31" s="345" t="n">
        <f aca="false">+$B$31*D30^$P$31</f>
        <v>2839.65246792048</v>
      </c>
      <c r="E31" s="345" t="n">
        <f aca="false">+$B$31*E30^$P$31</f>
        <v>3732.13196614723</v>
      </c>
      <c r="F31" s="345" t="n">
        <f aca="false">+$B$31*F30^$P$31</f>
        <v>4613.40417295294</v>
      </c>
      <c r="G31" s="345" t="n">
        <f aca="false">+$B$31*G30^$P$31</f>
        <v>5485.84696057097</v>
      </c>
      <c r="H31" s="345" t="n">
        <f aca="false">+$B$31*H30^$P$31</f>
        <v>6351.01499334234</v>
      </c>
      <c r="I31" s="345" t="n">
        <f aca="false">+$B$31*I30^$P$31</f>
        <v>7210.00370088664</v>
      </c>
      <c r="J31" s="345" t="n">
        <f aca="false">+$B$31*J30^$P$31</f>
        <v>8063.62613856686</v>
      </c>
      <c r="K31" s="345" t="n">
        <f aca="false">+$B$31*K30^$P$31</f>
        <v>8912.50938133745</v>
      </c>
      <c r="L31" s="164"/>
      <c r="N31" s="104" t="s">
        <v>26</v>
      </c>
      <c r="P31" s="335" t="n">
        <v>0.95</v>
      </c>
    </row>
    <row r="32" customFormat="false" ht="12.75" hidden="true" customHeight="false" outlineLevel="0" collapsed="false">
      <c r="A32" s="331"/>
    </row>
    <row r="33" customFormat="false" ht="12.75" hidden="false" customHeight="false" outlineLevel="0" collapsed="false">
      <c r="A33" s="330" t="s">
        <v>72</v>
      </c>
      <c r="B33" s="141" t="n">
        <f aca="false">+B30</f>
        <v>1</v>
      </c>
      <c r="C33" s="141" t="n">
        <f aca="false">+C30</f>
        <v>2</v>
      </c>
      <c r="D33" s="141" t="n">
        <f aca="false">+D30</f>
        <v>3</v>
      </c>
      <c r="E33" s="141" t="n">
        <f aca="false">+E30</f>
        <v>4</v>
      </c>
      <c r="F33" s="141" t="n">
        <f aca="false">+F30</f>
        <v>5</v>
      </c>
      <c r="G33" s="141" t="n">
        <f aca="false">+G30</f>
        <v>6</v>
      </c>
      <c r="H33" s="141" t="n">
        <f aca="false">+H30</f>
        <v>7</v>
      </c>
      <c r="I33" s="141" t="n">
        <f aca="false">+I30</f>
        <v>8</v>
      </c>
      <c r="J33" s="141" t="n">
        <f aca="false">+J30</f>
        <v>9</v>
      </c>
      <c r="K33" s="141" t="n">
        <f aca="false">+K30</f>
        <v>10</v>
      </c>
      <c r="L33" s="80"/>
    </row>
    <row r="34" customFormat="false" ht="13.5" hidden="false" customHeight="false" outlineLevel="0" collapsed="false">
      <c r="A34" s="342"/>
      <c r="B34" s="344" t="n">
        <f aca="false">280+225+175</f>
        <v>680</v>
      </c>
      <c r="C34" s="345" t="n">
        <f aca="false">+$B$34*C33^$P$34</f>
        <v>1268.92486849006</v>
      </c>
      <c r="D34" s="345" t="n">
        <f aca="false">+$B$34*D33^$P$34</f>
        <v>1827.75525807515</v>
      </c>
      <c r="E34" s="345" t="n">
        <f aca="false">+$B$34*E33^$P$34</f>
        <v>2367.89753216546</v>
      </c>
      <c r="F34" s="345" t="n">
        <f aca="false">+$B$34*F33^$P$34</f>
        <v>2894.55573657067</v>
      </c>
      <c r="G34" s="345" t="n">
        <f aca="false">+$B$34*G33^$P$34</f>
        <v>3410.71191247798</v>
      </c>
      <c r="H34" s="345" t="n">
        <f aca="false">+$B$34*H33^$P$34</f>
        <v>3918.29516900689</v>
      </c>
      <c r="I34" s="345" t="n">
        <f aca="false">+$B$34*I33^$P$34</f>
        <v>4418.65303617792</v>
      </c>
      <c r="J34" s="345" t="n">
        <f aca="false">+$B$34*J33^$P$34</f>
        <v>4912.77835797261</v>
      </c>
      <c r="K34" s="345" t="n">
        <f aca="false">+$B$34*K33^$P$34</f>
        <v>5401.43199612512</v>
      </c>
      <c r="L34" s="164"/>
      <c r="N34" s="104" t="s">
        <v>26</v>
      </c>
      <c r="P34" s="335" t="n">
        <v>0.9</v>
      </c>
      <c r="Q34" s="0" t="s">
        <v>281</v>
      </c>
    </row>
    <row r="35" customFormat="false" ht="12.75" hidden="true" customHeight="false" outlineLevel="0" collapsed="false">
      <c r="A35" s="331"/>
    </row>
    <row r="36" customFormat="false" ht="13.5" hidden="false" customHeight="false" outlineLevel="0" collapsed="false">
      <c r="A36" s="346" t="s">
        <v>282</v>
      </c>
      <c r="B36" s="347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9"/>
    </row>
    <row r="37" customFormat="false" ht="12.75" hidden="true" customHeight="false" outlineLevel="0" collapsed="false">
      <c r="A37" s="331"/>
    </row>
    <row r="38" customFormat="false" ht="13.5" hidden="false" customHeight="false" outlineLevel="0" collapsed="false">
      <c r="A38" s="346" t="s">
        <v>73</v>
      </c>
      <c r="B38" s="348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9"/>
    </row>
    <row r="39" customFormat="false" ht="12.75" hidden="true" customHeight="false" outlineLevel="0" collapsed="false">
      <c r="A39" s="331"/>
    </row>
    <row r="40" customFormat="false" ht="12.75" hidden="false" customHeight="false" outlineLevel="0" collapsed="false">
      <c r="A40" s="330" t="s">
        <v>82</v>
      </c>
      <c r="B40" s="285"/>
      <c r="C40" s="141" t="n">
        <f aca="false">+B33</f>
        <v>1</v>
      </c>
      <c r="D40" s="141" t="n">
        <f aca="false">+C40+1</f>
        <v>2</v>
      </c>
      <c r="E40" s="141" t="n">
        <f aca="false">+D40+1</f>
        <v>3</v>
      </c>
      <c r="F40" s="141" t="n">
        <f aca="false">+E40+1</f>
        <v>4</v>
      </c>
      <c r="G40" s="141" t="n">
        <f aca="false">+F40+1</f>
        <v>5</v>
      </c>
      <c r="H40" s="141" t="n">
        <f aca="false">+G40+1</f>
        <v>6</v>
      </c>
      <c r="I40" s="141" t="n">
        <f aca="false">+H40+1</f>
        <v>7</v>
      </c>
      <c r="J40" s="141" t="n">
        <f aca="false">+I40+1</f>
        <v>8</v>
      </c>
      <c r="K40" s="141" t="n">
        <f aca="false">+J40+1</f>
        <v>9</v>
      </c>
      <c r="L40" s="349" t="n">
        <f aca="false">+K40+1</f>
        <v>10</v>
      </c>
      <c r="N40" s="350" t="s">
        <v>283</v>
      </c>
      <c r="O40" s="351" t="s">
        <v>284</v>
      </c>
      <c r="P40" s="352" t="n">
        <f aca="false">PROJECTCONFIGURATION!$E$25</f>
        <v>400</v>
      </c>
    </row>
    <row r="41" customFormat="false" ht="12.75" hidden="false" customHeight="false" outlineLevel="0" collapsed="false">
      <c r="A41" s="339" t="s">
        <v>285</v>
      </c>
      <c r="B41" s="144" t="n">
        <v>100</v>
      </c>
      <c r="C41" s="160" t="n">
        <f aca="false">$C$43*$P$51*(66/244)*C40^$P$50</f>
        <v>267.786885245902</v>
      </c>
      <c r="D41" s="160" t="n">
        <f aca="false">$C$43*$P$51*(66/244)*D40^$P$50</f>
        <v>405.889018261432</v>
      </c>
      <c r="E41" s="160" t="n">
        <f aca="false">$C$43*$P$51*(66/244)*E40^$P$50</f>
        <v>517.68079842558</v>
      </c>
      <c r="F41" s="160" t="n">
        <f aca="false">$C$43*$P$51*(66/244)*F40^$P$50</f>
        <v>615.212709143494</v>
      </c>
      <c r="G41" s="160" t="n">
        <f aca="false">$C$43*$P$51*(66/244)*G40^$P$50</f>
        <v>703.349699753042</v>
      </c>
      <c r="H41" s="160" t="n">
        <f aca="false">$C$43*$P$51*(66/244)*H40^$P$50</f>
        <v>784.657362337981</v>
      </c>
      <c r="I41" s="160" t="n">
        <f aca="false">$C$43*$P$51*(66/244)*I40^$P$50</f>
        <v>860.692716477238</v>
      </c>
      <c r="J41" s="160" t="n">
        <f aca="false">$C$43*$P$51*(66/244)*J40^$P$50</f>
        <v>932.488095176537</v>
      </c>
      <c r="K41" s="160" t="n">
        <f aca="false">$C$43*$P$51*(66/244)*K40^$P$50</f>
        <v>1000.77122452227</v>
      </c>
      <c r="L41" s="161" t="n">
        <f aca="false">$C$43*$P$51*(66/244)*L40^$P$50</f>
        <v>1066.0787919658</v>
      </c>
      <c r="N41" s="353" t="s">
        <v>286</v>
      </c>
      <c r="O41" s="150" t="s">
        <v>284</v>
      </c>
      <c r="P41" s="161" t="n">
        <v>700</v>
      </c>
    </row>
    <row r="42" customFormat="false" ht="12.75" hidden="false" customHeight="false" outlineLevel="0" collapsed="false">
      <c r="A42" s="331"/>
      <c r="B42" s="144" t="n">
        <v>200</v>
      </c>
      <c r="C42" s="160" t="n">
        <f aca="false">$C$43*$P$51*(143/244)*C40^$P$50</f>
        <v>580.204918032787</v>
      </c>
      <c r="D42" s="160" t="n">
        <f aca="false">$C$43*$P$51*(143/244)*D40^$P$50</f>
        <v>879.426206233103</v>
      </c>
      <c r="E42" s="160" t="n">
        <f aca="false">$C$43*$P$51*(143/244)*E40^$P$50</f>
        <v>1121.64172992209</v>
      </c>
      <c r="F42" s="160" t="n">
        <f aca="false">$C$43*$P$51*(143/244)*F40^$P$50</f>
        <v>1332.9608698109</v>
      </c>
      <c r="G42" s="160" t="n">
        <f aca="false">$C$43*$P$51*(143/244)*G40^$P$50</f>
        <v>1523.92434946492</v>
      </c>
      <c r="H42" s="160" t="n">
        <f aca="false">$C$43*$P$51*(143/244)*H40^$P$50</f>
        <v>1700.09095173229</v>
      </c>
      <c r="I42" s="160" t="n">
        <f aca="false">$C$43*$P$51*(143/244)*I40^$P$50</f>
        <v>1864.83421903401</v>
      </c>
      <c r="J42" s="160" t="n">
        <f aca="false">$C$43*$P$51*(143/244)*J40^$P$50</f>
        <v>2020.3908728825</v>
      </c>
      <c r="K42" s="160" t="n">
        <f aca="false">$C$43*$P$51*(143/244)*K40^$P$50</f>
        <v>2168.33765313158</v>
      </c>
      <c r="L42" s="161" t="n">
        <f aca="false">$C$43*$P$51*(143/244)*L40^$P$50</f>
        <v>2309.83738259257</v>
      </c>
      <c r="N42" s="353" t="s">
        <v>287</v>
      </c>
      <c r="O42" s="150" t="s">
        <v>288</v>
      </c>
      <c r="P42" s="161" t="n">
        <v>80</v>
      </c>
    </row>
    <row r="43" customFormat="false" ht="12.75" hidden="false" customHeight="false" outlineLevel="0" collapsed="false">
      <c r="A43" s="339" t="s">
        <v>23</v>
      </c>
      <c r="B43" s="144" t="n">
        <v>300</v>
      </c>
      <c r="C43" s="341" t="n">
        <v>900</v>
      </c>
      <c r="D43" s="160" t="n">
        <f aca="false">$C$43*$P$51*D40^$P$50</f>
        <v>1500.55940084529</v>
      </c>
      <c r="E43" s="160" t="n">
        <f aca="false">$C$43*$P$51*E40^$P$50</f>
        <v>1913.85022448245</v>
      </c>
      <c r="F43" s="160" t="n">
        <f aca="false">$C$43*$P$51*F40^$P$50</f>
        <v>2274.42274289413</v>
      </c>
      <c r="G43" s="160" t="n">
        <f aca="false">$C$43*$P$51*G40^$P$50</f>
        <v>2600.26252635973</v>
      </c>
      <c r="H43" s="160" t="n">
        <f aca="false">$C$43*$P$51*H40^$P$50</f>
        <v>2900.85449106769</v>
      </c>
      <c r="I43" s="160" t="n">
        <f aca="false">$C$43*$P$51*I40^$P$50</f>
        <v>3181.95489121888</v>
      </c>
      <c r="J43" s="160" t="n">
        <f aca="false">$C$43*$P$51*J40^$P$50</f>
        <v>3447.38023065265</v>
      </c>
      <c r="K43" s="160" t="n">
        <f aca="false">$C$43*$P$51*K40^$P$50</f>
        <v>3699.82089065809</v>
      </c>
      <c r="L43" s="161" t="n">
        <f aca="false">$C$43*$P$51*L40^$P$50</f>
        <v>3941.26098847962</v>
      </c>
      <c r="N43" s="353" t="s">
        <v>289</v>
      </c>
      <c r="O43" s="150" t="s">
        <v>290</v>
      </c>
      <c r="P43" s="354" t="n">
        <v>0.82</v>
      </c>
    </row>
    <row r="44" customFormat="false" ht="12.75" hidden="false" customHeight="false" outlineLevel="0" collapsed="false">
      <c r="A44" s="331"/>
      <c r="B44" s="144" t="n">
        <v>400</v>
      </c>
      <c r="C44" s="160" t="n">
        <f aca="false">$C$43*$P$51*(369/244)*C40^$P$50</f>
        <v>1497.17213114754</v>
      </c>
      <c r="D44" s="160" t="n">
        <f aca="false">$C$43*$P$51*(369/244)*D40^$P$50</f>
        <v>2269.28860209801</v>
      </c>
      <c r="E44" s="160" t="n">
        <f aca="false">$C$43*$P$51*(369/244)*E40^$P$50</f>
        <v>2894.30628210665</v>
      </c>
      <c r="F44" s="160" t="n">
        <f aca="false">$C$43*$P$51*(369/244)*F40^$P$50</f>
        <v>3439.59832839317</v>
      </c>
      <c r="G44" s="160" t="n">
        <f aca="false">$C$43*$P$51*(369/244)*G40^$P$50</f>
        <v>3932.36423043746</v>
      </c>
      <c r="H44" s="160" t="n">
        <f aca="false">$C$43*$P$51*(369/244)*H40^$P$50</f>
        <v>4386.94798034417</v>
      </c>
      <c r="I44" s="160" t="n">
        <f aca="false">$C$43*$P$51*(369/244)*I40^$P$50</f>
        <v>4812.05473303183</v>
      </c>
      <c r="J44" s="160" t="n">
        <f aca="false">$C$43*$P$51*(369/244)*J40^$P$50</f>
        <v>5213.456168487</v>
      </c>
      <c r="K44" s="160" t="n">
        <f aca="false">$C$43*$P$51*(369/244)*K40^$P$50</f>
        <v>5595.22093710178</v>
      </c>
      <c r="L44" s="161" t="n">
        <f aca="false">$C$43*$P$51*(369/244)*L40^$P$50</f>
        <v>5960.34960962697</v>
      </c>
      <c r="N44" s="353" t="s">
        <v>291</v>
      </c>
      <c r="O44" s="150" t="s">
        <v>292</v>
      </c>
      <c r="P44" s="161" t="n">
        <v>10</v>
      </c>
    </row>
    <row r="45" customFormat="false" ht="13.5" hidden="false" customHeight="false" outlineLevel="0" collapsed="false">
      <c r="A45" s="332"/>
      <c r="B45" s="329" t="n">
        <v>500</v>
      </c>
      <c r="C45" s="345" t="n">
        <f aca="false">$C$43*$P$51*(619/244)*C40^$P$50</f>
        <v>2511.51639344262</v>
      </c>
      <c r="D45" s="345" t="n">
        <f aca="false">$C$43*$P$51*(619/244)*D40^$P$50</f>
        <v>3806.74700460343</v>
      </c>
      <c r="E45" s="345" t="n">
        <f aca="false">$C$43*$P$51*(619/244)*E40^$P$50</f>
        <v>4855.21839735506</v>
      </c>
      <c r="F45" s="345" t="n">
        <f aca="false">$C$43*$P$51*(619/244)*F40^$P$50</f>
        <v>5769.94949939125</v>
      </c>
      <c r="G45" s="345" t="n">
        <f aca="false">$C$43*$P$51*(619/244)*G40^$P$50</f>
        <v>6596.56763859292</v>
      </c>
      <c r="H45" s="345" t="n">
        <f aca="false">$C$43*$P$51*(619/244)*H40^$P$50</f>
        <v>7359.13495889712</v>
      </c>
      <c r="I45" s="345" t="n">
        <f aca="false">$C$43*$P$51*(619/244)*I40^$P$50</f>
        <v>8072.25441665773</v>
      </c>
      <c r="J45" s="345" t="n">
        <f aca="false">$C$43*$P$51*(619/244)*J40^$P$50</f>
        <v>8745.6080441557</v>
      </c>
      <c r="K45" s="345" t="n">
        <f aca="false">$C$43*$P$51*(619/244)*K40^$P$50</f>
        <v>9386.02102998916</v>
      </c>
      <c r="L45" s="355" t="n">
        <f aca="false">$C$43*$P$51*(619/244)*L40^$P$50</f>
        <v>9998.52685192167</v>
      </c>
      <c r="N45" s="353" t="s">
        <v>293</v>
      </c>
      <c r="O45" s="150" t="s">
        <v>23</v>
      </c>
      <c r="P45" s="158" t="n">
        <f aca="false">(0.91+(P42-70)/1000)*((P40+15)/650)^-0.1</f>
        <v>0.962219941843629</v>
      </c>
    </row>
    <row r="46" customFormat="false" ht="13.5" hidden="true" customHeight="false" outlineLevel="0" collapsed="false">
      <c r="A46" s="331"/>
      <c r="N46" s="353"/>
      <c r="O46" s="150"/>
      <c r="P46" s="158"/>
    </row>
    <row r="47" customFormat="false" ht="12.75" hidden="false" customHeight="false" outlineLevel="0" collapsed="false">
      <c r="A47" s="331"/>
      <c r="N47" s="353" t="s">
        <v>294</v>
      </c>
      <c r="O47" s="150" t="s">
        <v>23</v>
      </c>
      <c r="P47" s="158" t="n">
        <f aca="false">(P41+14.7+5)/(P40+14.7-5)</f>
        <v>1.75665120820112</v>
      </c>
    </row>
    <row r="48" customFormat="false" ht="13.5" hidden="false" customHeight="false" outlineLevel="0" collapsed="false">
      <c r="A48" s="331"/>
      <c r="N48" s="162" t="s">
        <v>295</v>
      </c>
      <c r="O48" s="163" t="s">
        <v>296</v>
      </c>
      <c r="P48" s="355" t="n">
        <f aca="false">P44*((8.584*(460+P42)*P45)/(P43*100*0.231))*((P47)^0.231-1)*0.747</f>
        <v>244.487246651473</v>
      </c>
    </row>
    <row r="49" customFormat="false" ht="12.75" hidden="true" customHeight="false" outlineLevel="0" collapsed="false">
      <c r="A49" s="331"/>
    </row>
    <row r="50" customFormat="false" ht="12.75" hidden="false" customHeight="false" outlineLevel="0" collapsed="false">
      <c r="A50" s="331"/>
      <c r="N50" s="104" t="s">
        <v>26</v>
      </c>
      <c r="P50" s="335" t="n">
        <v>0.6</v>
      </c>
    </row>
    <row r="51" customFormat="false" ht="12.75" hidden="false" customHeight="false" outlineLevel="0" collapsed="false">
      <c r="A51" s="331"/>
      <c r="N51" s="104" t="s">
        <v>297</v>
      </c>
      <c r="P51" s="356" t="n">
        <v>1.1</v>
      </c>
    </row>
    <row r="52" customFormat="false" ht="13.5" hidden="false" customHeight="false" outlineLevel="0" collapsed="false">
      <c r="A52" s="331"/>
    </row>
    <row r="53" customFormat="false" ht="12.75" hidden="false" customHeight="false" outlineLevel="0" collapsed="false">
      <c r="A53" s="330" t="s">
        <v>298</v>
      </c>
      <c r="B53" s="141" t="n">
        <f aca="false">+B33</f>
        <v>1</v>
      </c>
      <c r="C53" s="141" t="n">
        <f aca="false">+C33</f>
        <v>2</v>
      </c>
      <c r="D53" s="141" t="n">
        <f aca="false">+D33</f>
        <v>3</v>
      </c>
      <c r="E53" s="141" t="n">
        <f aca="false">+E33</f>
        <v>4</v>
      </c>
      <c r="F53" s="141" t="n">
        <f aca="false">+F33</f>
        <v>5</v>
      </c>
      <c r="G53" s="141" t="n">
        <f aca="false">+G33</f>
        <v>6</v>
      </c>
      <c r="H53" s="141" t="n">
        <f aca="false">+H33</f>
        <v>7</v>
      </c>
      <c r="I53" s="141" t="n">
        <f aca="false">+I33</f>
        <v>8</v>
      </c>
      <c r="J53" s="141" t="n">
        <f aca="false">+J33</f>
        <v>9</v>
      </c>
      <c r="K53" s="141" t="n">
        <f aca="false">+K33</f>
        <v>10</v>
      </c>
      <c r="L53" s="80"/>
    </row>
    <row r="54" customFormat="false" ht="13.5" hidden="false" customHeight="false" outlineLevel="0" collapsed="false">
      <c r="A54" s="332"/>
      <c r="B54" s="357" t="n">
        <v>600</v>
      </c>
      <c r="C54" s="345" t="n">
        <f aca="false">+$B$54*C53^$P$54</f>
        <v>848.528137423857</v>
      </c>
      <c r="D54" s="345" t="n">
        <f aca="false">+$B$54*D53^$P$54</f>
        <v>1039.23048454133</v>
      </c>
      <c r="E54" s="345" t="n">
        <f aca="false">+$B$54*E53^$P$54</f>
        <v>1200</v>
      </c>
      <c r="F54" s="345" t="n">
        <f aca="false">+$B$54*F53^$P$54</f>
        <v>1341.64078649987</v>
      </c>
      <c r="G54" s="345" t="n">
        <f aca="false">+$B$54*G53^$P$54</f>
        <v>1469.69384566991</v>
      </c>
      <c r="H54" s="345" t="n">
        <f aca="false">+$B$54*H53^$P$54</f>
        <v>1587.45078663875</v>
      </c>
      <c r="I54" s="345" t="n">
        <f aca="false">+$B$54*I53^$P$54</f>
        <v>1697.05627484771</v>
      </c>
      <c r="J54" s="345" t="n">
        <f aca="false">+$B$54*J53^$P$54</f>
        <v>1800</v>
      </c>
      <c r="K54" s="345" t="n">
        <f aca="false">+$B$54*K53^$P$54</f>
        <v>1897.36659610103</v>
      </c>
      <c r="L54" s="164"/>
      <c r="N54" s="104" t="s">
        <v>26</v>
      </c>
      <c r="O54" s="104"/>
      <c r="P54" s="335" t="n">
        <v>0.5</v>
      </c>
      <c r="Q54" s="0" t="s">
        <v>299</v>
      </c>
    </row>
    <row r="55" customFormat="false" ht="13.5" hidden="false" customHeight="false" outlineLevel="0" collapsed="false">
      <c r="A55" s="331"/>
    </row>
    <row r="56" customFormat="false" ht="12.75" hidden="false" customHeight="false" outlineLevel="0" collapsed="false">
      <c r="A56" s="330" t="s">
        <v>79</v>
      </c>
      <c r="B56" s="141" t="n">
        <f aca="false">+B53</f>
        <v>1</v>
      </c>
      <c r="C56" s="141" t="n">
        <f aca="false">+C53</f>
        <v>2</v>
      </c>
      <c r="D56" s="141" t="n">
        <f aca="false">+D53</f>
        <v>3</v>
      </c>
      <c r="E56" s="141" t="n">
        <f aca="false">+E53</f>
        <v>4</v>
      </c>
      <c r="F56" s="141" t="n">
        <f aca="false">+F53</f>
        <v>5</v>
      </c>
      <c r="G56" s="141" t="n">
        <f aca="false">+G53</f>
        <v>6</v>
      </c>
      <c r="H56" s="141" t="n">
        <f aca="false">+H53</f>
        <v>7</v>
      </c>
      <c r="I56" s="141" t="n">
        <f aca="false">+I53</f>
        <v>8</v>
      </c>
      <c r="J56" s="141" t="n">
        <f aca="false">+J53</f>
        <v>9</v>
      </c>
      <c r="K56" s="141" t="n">
        <f aca="false">+K53</f>
        <v>10</v>
      </c>
      <c r="L56" s="80"/>
    </row>
    <row r="57" customFormat="false" ht="13.5" hidden="false" customHeight="false" outlineLevel="0" collapsed="false">
      <c r="A57" s="342"/>
      <c r="B57" s="357" t="n">
        <v>500</v>
      </c>
      <c r="C57" s="345" t="n">
        <f aca="false">+$B$57*C56^$P$57</f>
        <v>812.252396356236</v>
      </c>
      <c r="D57" s="345" t="n">
        <f aca="false">+$B$57*D56^$P$57</f>
        <v>1078.8346399873</v>
      </c>
      <c r="E57" s="345" t="n">
        <f aca="false">+$B$57*E56^$P$57</f>
        <v>1319.50791077289</v>
      </c>
      <c r="F57" s="345" t="n">
        <f aca="false">+$B$57*F56^$P$57</f>
        <v>1542.58465680002</v>
      </c>
      <c r="G57" s="345" t="n">
        <f aca="false">+$B$57*G56^$P$57</f>
        <v>1752.5720432036</v>
      </c>
      <c r="H57" s="345" t="n">
        <f aca="false">+$B$57*H56^$P$57</f>
        <v>1952.26438856136</v>
      </c>
      <c r="I57" s="345" t="n">
        <f aca="false">+$B$57*I56^$P$57</f>
        <v>2143.54692507259</v>
      </c>
      <c r="J57" s="345" t="n">
        <f aca="false">+$B$57*J56^$P$57</f>
        <v>2327.76836087304</v>
      </c>
      <c r="K57" s="345" t="n">
        <f aca="false">+$B$57*K56^$P$57</f>
        <v>2505.93616813636</v>
      </c>
      <c r="L57" s="164"/>
      <c r="N57" s="104" t="s">
        <v>26</v>
      </c>
      <c r="O57" s="104"/>
      <c r="P57" s="335" t="n">
        <v>0.7</v>
      </c>
    </row>
    <row r="58" customFormat="false" ht="12.75" hidden="false" customHeight="false" outlineLevel="0" collapsed="false">
      <c r="A58" s="330" t="s">
        <v>78</v>
      </c>
      <c r="B58" s="141" t="n">
        <v>1</v>
      </c>
      <c r="C58" s="141" t="n">
        <v>2</v>
      </c>
      <c r="D58" s="141" t="n">
        <v>3</v>
      </c>
      <c r="E58" s="141" t="n">
        <v>4</v>
      </c>
      <c r="F58" s="141" t="n">
        <v>5</v>
      </c>
      <c r="G58" s="141" t="n">
        <v>6</v>
      </c>
      <c r="H58" s="141" t="n">
        <v>7</v>
      </c>
      <c r="I58" s="141" t="n">
        <v>8</v>
      </c>
      <c r="J58" s="141" t="n">
        <v>9</v>
      </c>
      <c r="K58" s="141" t="n">
        <v>10</v>
      </c>
      <c r="L58" s="80"/>
    </row>
    <row r="59" customFormat="false" ht="13.5" hidden="false" customHeight="false" outlineLevel="0" collapsed="false">
      <c r="A59" s="332"/>
      <c r="B59" s="344" t="n">
        <v>1250</v>
      </c>
      <c r="C59" s="345" t="n">
        <f aca="false">+$B$59*C58^$P$59</f>
        <v>2253.12615652708</v>
      </c>
      <c r="D59" s="345" t="n">
        <f aca="false">+$B$59*D58^$P$59</f>
        <v>3180.26331455131</v>
      </c>
      <c r="E59" s="345" t="n">
        <f aca="false">+$B$59*E58^$P$59</f>
        <v>4061.26198178118</v>
      </c>
      <c r="F59" s="345" t="n">
        <f aca="false">+$B$59*F58^$P$59</f>
        <v>4909.46893894853</v>
      </c>
      <c r="G59" s="345" t="n">
        <f aca="false">+$B$59*G58^$P$59</f>
        <v>5732.42756692725</v>
      </c>
      <c r="H59" s="345" t="n">
        <f aca="false">+$B$59*H58^$P$59</f>
        <v>6534.9662202478</v>
      </c>
      <c r="I59" s="345" t="n">
        <f aca="false">+$B$59*I58^$P$59</f>
        <v>7320.42847972813</v>
      </c>
      <c r="J59" s="345" t="n">
        <f aca="false">+$B$59*J58^$P$59</f>
        <v>8091.25979990472</v>
      </c>
      <c r="K59" s="345" t="n">
        <f aca="false">+$B$59*K58^$P$59</f>
        <v>8849.32230480172</v>
      </c>
      <c r="L59" s="164"/>
      <c r="N59" s="104" t="s">
        <v>26</v>
      </c>
      <c r="O59" s="104"/>
      <c r="P59" s="335" t="n">
        <v>0.85</v>
      </c>
      <c r="Q59" s="0" t="s">
        <v>300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50" t="s">
        <v>301</v>
      </c>
      <c r="B64" s="79"/>
      <c r="C64" s="351" t="s">
        <v>302</v>
      </c>
      <c r="D64" s="358" t="n">
        <f aca="false">(60*60)/47</f>
        <v>76.5957446808511</v>
      </c>
    </row>
    <row r="65" customFormat="false" ht="12.75" hidden="false" customHeight="false" outlineLevel="0" collapsed="false">
      <c r="A65" s="81"/>
      <c r="B65" s="150" t="s">
        <v>303</v>
      </c>
      <c r="C65" s="150" t="s">
        <v>304</v>
      </c>
      <c r="D65" s="359" t="n">
        <v>3.5</v>
      </c>
    </row>
    <row r="66" customFormat="false" ht="12.75" hidden="false" customHeight="false" outlineLevel="0" collapsed="false">
      <c r="A66" s="81"/>
      <c r="B66" s="68"/>
      <c r="C66" s="150" t="s">
        <v>305</v>
      </c>
      <c r="D66" s="359" t="n">
        <f aca="false">D65/(1000/D64)</f>
        <v>0.268085106382979</v>
      </c>
    </row>
    <row r="67" customFormat="false" ht="12.75" hidden="false" customHeight="false" outlineLevel="0" collapsed="false">
      <c r="A67" s="81"/>
      <c r="B67" s="68"/>
      <c r="C67" s="68"/>
      <c r="D67" s="149"/>
    </row>
    <row r="68" customFormat="false" ht="12.75" hidden="false" customHeight="false" outlineLevel="0" collapsed="false">
      <c r="A68" s="353" t="s">
        <v>306</v>
      </c>
      <c r="B68" s="150"/>
      <c r="C68" s="150" t="s">
        <v>302</v>
      </c>
      <c r="D68" s="152" t="n">
        <f aca="false">((60+60)*1.1*60)/47</f>
        <v>168.510638297872</v>
      </c>
    </row>
    <row r="69" customFormat="false" ht="12.75" hidden="false" customHeight="false" outlineLevel="0" collapsed="false">
      <c r="A69" s="353"/>
      <c r="B69" s="150" t="s">
        <v>303</v>
      </c>
      <c r="C69" s="150" t="s">
        <v>304</v>
      </c>
      <c r="D69" s="359" t="n">
        <v>1.6</v>
      </c>
    </row>
    <row r="70" customFormat="false" ht="12.75" hidden="false" customHeight="false" outlineLevel="0" collapsed="false">
      <c r="A70" s="81"/>
      <c r="B70" s="68"/>
      <c r="C70" s="150" t="s">
        <v>305</v>
      </c>
      <c r="D70" s="359" t="n">
        <f aca="false">D69/(1000/D68)</f>
        <v>0.269617021276596</v>
      </c>
    </row>
    <row r="71" customFormat="false" ht="12.75" hidden="false" customHeight="false" outlineLevel="0" collapsed="false">
      <c r="A71" s="81"/>
      <c r="B71" s="68"/>
      <c r="C71" s="68"/>
      <c r="D71" s="149"/>
    </row>
    <row r="72" customFormat="false" ht="13.5" hidden="false" customHeight="false" outlineLevel="0" collapsed="false">
      <c r="A72" s="162" t="s">
        <v>307</v>
      </c>
      <c r="B72" s="110"/>
      <c r="C72" s="163" t="s">
        <v>305</v>
      </c>
      <c r="D72" s="360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50" t="s">
        <v>308</v>
      </c>
      <c r="B74" s="351"/>
      <c r="C74" s="351" t="s">
        <v>309</v>
      </c>
      <c r="D74" s="361" t="n">
        <f aca="false">480000/2</f>
        <v>240000</v>
      </c>
      <c r="E74" s="351" t="s">
        <v>310</v>
      </c>
      <c r="F74" s="79"/>
      <c r="G74" s="80"/>
    </row>
    <row r="75" customFormat="false" ht="12.75" hidden="false" customHeight="false" outlineLevel="0" collapsed="false">
      <c r="A75" s="353" t="s">
        <v>311</v>
      </c>
      <c r="B75" s="150"/>
      <c r="C75" s="150" t="s">
        <v>312</v>
      </c>
      <c r="D75" s="160" t="n">
        <v>1314</v>
      </c>
      <c r="E75" s="68"/>
      <c r="F75" s="68"/>
      <c r="G75" s="149"/>
    </row>
    <row r="76" customFormat="false" ht="13.5" hidden="false" customHeight="false" outlineLevel="0" collapsed="false">
      <c r="A76" s="162" t="s">
        <v>308</v>
      </c>
      <c r="B76" s="163"/>
      <c r="C76" s="163" t="s">
        <v>313</v>
      </c>
      <c r="D76" s="362" t="n">
        <f aca="false">D74/D75</f>
        <v>182.648401826484</v>
      </c>
      <c r="E76" s="110"/>
      <c r="F76" s="110"/>
      <c r="G76" s="164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314</v>
      </c>
    </row>
    <row r="4" customFormat="false" ht="12.75" hidden="false" customHeight="false" outlineLevel="0" collapsed="false">
      <c r="A4" s="0" t="n">
        <v>1</v>
      </c>
      <c r="B4" s="0" t="s">
        <v>315</v>
      </c>
    </row>
    <row r="5" customFormat="false" ht="12.75" hidden="false" customHeight="false" outlineLevel="0" collapsed="false">
      <c r="A5" s="0" t="n">
        <f aca="false">A4+1</f>
        <v>2</v>
      </c>
      <c r="B5" s="0" t="s">
        <v>316</v>
      </c>
    </row>
    <row r="6" customFormat="false" ht="12.75" hidden="false" customHeight="false" outlineLevel="0" collapsed="false">
      <c r="A6" s="0" t="n">
        <f aca="false">A5+1</f>
        <v>3</v>
      </c>
      <c r="B6" s="0" t="s">
        <v>317</v>
      </c>
    </row>
    <row r="7" customFormat="false" ht="12.75" hidden="false" customHeight="false" outlineLevel="0" collapsed="false">
      <c r="A7" s="0" t="n">
        <f aca="false">A6+1</f>
        <v>4</v>
      </c>
      <c r="B7" s="0" t="s">
        <v>318</v>
      </c>
    </row>
    <row r="8" customFormat="false" ht="12.75" hidden="false" customHeight="false" outlineLevel="0" collapsed="false">
      <c r="A8" s="0" t="n">
        <f aca="false">A7+1</f>
        <v>5</v>
      </c>
      <c r="B8" s="0" t="s">
        <v>319</v>
      </c>
    </row>
    <row r="9" customFormat="false" ht="12.75" hidden="false" customHeight="false" outlineLevel="0" collapsed="false">
      <c r="A9" s="0" t="n">
        <f aca="false">A8+1</f>
        <v>6</v>
      </c>
      <c r="B9" s="0" t="s">
        <v>320</v>
      </c>
    </row>
    <row r="10" customFormat="false" ht="12.75" hidden="false" customHeight="false" outlineLevel="0" collapsed="false">
      <c r="C10" s="0" t="s">
        <v>321</v>
      </c>
    </row>
    <row r="11" customFormat="false" ht="12.75" hidden="false" customHeight="false" outlineLevel="0" collapsed="false">
      <c r="C11" s="0" t="s">
        <v>322</v>
      </c>
    </row>
    <row r="12" customFormat="false" ht="12.75" hidden="false" customHeight="false" outlineLevel="0" collapsed="false">
      <c r="C12" s="0" t="s">
        <v>323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324</v>
      </c>
    </row>
    <row r="16" customFormat="false" ht="12.75" hidden="false" customHeight="false" outlineLevel="0" collapsed="false">
      <c r="C16" s="0" t="s">
        <v>325</v>
      </c>
    </row>
    <row r="17" customFormat="false" ht="12.75" hidden="false" customHeight="false" outlineLevel="0" collapsed="false">
      <c r="C17" s="0" t="s">
        <v>326</v>
      </c>
    </row>
    <row r="18" customFormat="false" ht="12.75" hidden="false" customHeight="false" outlineLevel="0" collapsed="false">
      <c r="C18" s="0" t="s">
        <v>327</v>
      </c>
    </row>
    <row r="19" customFormat="false" ht="12.75" hidden="false" customHeight="false" outlineLevel="0" collapsed="false">
      <c r="C19" s="0" t="s">
        <v>328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329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330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331</v>
      </c>
    </row>
    <row r="28" customFormat="false" ht="12.75" hidden="false" customHeight="false" outlineLevel="0" collapsed="false">
      <c r="A28" s="0" t="n">
        <v>1</v>
      </c>
      <c r="B28" s="0" t="s">
        <v>332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333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334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335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336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337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338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339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340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341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342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343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344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345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346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347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348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349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350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351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352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353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354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Mark Bernstein</cp:lastModifiedBy>
  <cp:lastPrinted>2000-01-12T17:19:42Z</cp:lastPrinted>
  <cp:revision>0</cp:revision>
  <dc:subject/>
  <dc:title/>
</cp:coreProperties>
</file>