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ptions and Methodology" sheetId="1" state="visible" r:id="rId3"/>
    <sheet name="Input and Calc" sheetId="2" state="visible" r:id="rId4"/>
    <sheet name="Raptor 1" sheetId="3" state="visible" r:id="rId5"/>
    <sheet name="Raptor 2" sheetId="4" state="visible" r:id="rId6"/>
    <sheet name="Raptor 3" sheetId="5" state="visible" r:id="rId7"/>
    <sheet name="Raptor 4" sheetId="6" state="visible" r:id="rId8"/>
    <sheet name="Sheet4" sheetId="7" state="hidden" r:id="rId9"/>
  </sheets>
  <externalReferences>
    <externalReference r:id="rId10"/>
    <externalReference r:id="rId11"/>
  </externalReferences>
  <definedNames>
    <definedName function="false" hidden="false" name="Privates" vbProcedure="false">'[1]Private Values'!$A$4:$AH$374</definedName>
    <definedName function="false" hidden="false" localSheetId="1" name="ZA0" vbProcedure="false">"Crystal Ball Data : Ver. 4.0.7"</definedName>
    <definedName function="false" hidden="false" localSheetId="1" name="ZA0A" vbProcedure="false">30+129</definedName>
    <definedName function="false" hidden="false" localSheetId="1" name="ZA0C" vbProcedure="false">0+0</definedName>
    <definedName function="false" hidden="false" localSheetId="1" name="ZA0D" vbProcedure="false">0+0</definedName>
    <definedName function="false" hidden="false" localSheetId="1" name="ZA0F" vbProcedure="false">8+108</definedName>
    <definedName function="false" hidden="false" localSheetId="1" name="ZA0T" vbProcedure="false">78158235+0</definedName>
    <definedName function="false" hidden="false" localSheetId="1" name="ZA100" vbProcedure="false">'Input and Calc'!$B$32+"aRandom Shock Main (to WW)"+545+0+1</definedName>
    <definedName function="false" hidden="false" localSheetId="1" name="ZA101" vbProcedure="false">'Input and Calc'!$C$32+"aC32"+16929+0+1</definedName>
    <definedName function="false" hidden="false" localSheetId="1" name="ZA102" vbProcedure="false">'Input and Calc'!$D$32+"aD32"+16929+0+1</definedName>
    <definedName function="false" hidden="false" localSheetId="1" name="ZA103" vbProcedure="false">'Input and Calc'!$E$32+"aE32"+16929+0+1</definedName>
    <definedName function="false" hidden="false" localSheetId="1" name="ZA104" vbProcedure="false">'Input and Calc'!$F$32+"aF32"+16929+0+1</definedName>
    <definedName function="false" hidden="false" localSheetId="1" name="ZA105" vbProcedure="false">'Input and Calc'!$G$32+"aG32"+16929+0+1</definedName>
    <definedName function="false" hidden="false" localSheetId="1" name="ZA106" vbProcedure="false">'Input and Calc'!$B$33+"aRandom Shock 1 (to R1)"+545+0+1</definedName>
    <definedName function="false" hidden="false" localSheetId="1" name="ZA107" vbProcedure="false">'Input and Calc'!$C$33+"aC33"+16929+0+1</definedName>
    <definedName function="false" hidden="false" localSheetId="1" name="ZA108" vbProcedure="false">'Input and Calc'!$D$33+"aD33"+16929+0+1</definedName>
    <definedName function="false" hidden="false" localSheetId="1" name="ZA109" vbProcedure="false">'Input and Calc'!$E$33+"aE33"+545+0+1</definedName>
    <definedName function="false" hidden="false" localSheetId="1" name="ZA110" vbProcedure="false">'Input and Calc'!$F$33+"aF33"+16929+0+1</definedName>
    <definedName function="false" hidden="false" localSheetId="1" name="ZA111" vbProcedure="false">'Input and Calc'!$G$33+"aG33"+16929+0+1</definedName>
    <definedName function="false" hidden="false" localSheetId="1" name="ZA112" vbProcedure="false">'Input and Calc'!$B$34+"aRandom Shock 2 (to R2)"+545+0+1</definedName>
    <definedName function="false" hidden="false" localSheetId="1" name="ZA113" vbProcedure="false">'Input and Calc'!$C$34+"aC34"+16929+0+1</definedName>
    <definedName function="false" hidden="false" localSheetId="1" name="ZA114" vbProcedure="false">'Input and Calc'!$D$34+"aD34"+16929+0+1</definedName>
    <definedName function="false" hidden="false" localSheetId="1" name="ZA115" vbProcedure="false">'Input and Calc'!$E$34+"aE34"+545+0+1</definedName>
    <definedName function="false" hidden="false" localSheetId="1" name="ZA116" vbProcedure="false">'Input and Calc'!$F$34+"aF34"+16929+0+1</definedName>
    <definedName function="false" hidden="false" localSheetId="1" name="ZA117" vbProcedure="false">'Input and Calc'!$G$34+"aG34"+16929+0+1</definedName>
    <definedName function="false" hidden="false" localSheetId="1" name="ZA118" vbProcedure="false">'Input and Calc'!$B$35+"aRandom Shock 3 (to R3)"+545+0+1</definedName>
    <definedName function="false" hidden="false" localSheetId="1" name="ZA119" vbProcedure="false">'Input and Calc'!$C$35+"aC35"+16929+0+1</definedName>
    <definedName function="false" hidden="false" localSheetId="1" name="ZA120" vbProcedure="false">'Input and Calc'!$D$35+"aD35"+16929+0+1</definedName>
    <definedName function="false" hidden="false" localSheetId="1" name="ZA121" vbProcedure="false">'Input and Calc'!$E$35+"aE35"+545+0+1</definedName>
    <definedName function="false" hidden="false" localSheetId="1" name="ZA122" vbProcedure="false">'Input and Calc'!$F$35+"aF35"+16929+0+1</definedName>
    <definedName function="false" hidden="false" localSheetId="1" name="ZA123" vbProcedure="false">'Input and Calc'!$G$35+"aG35"+16929+0+1</definedName>
    <definedName function="false" hidden="false" localSheetId="1" name="ZA124" vbProcedure="false">'Input and Calc'!$B$36+"aRandom Shock 4 (to R4)"+545+0+1</definedName>
    <definedName function="false" hidden="false" localSheetId="1" name="ZA125" vbProcedure="false">'Input and Calc'!$C$36+"aC36"+16929+0+1</definedName>
    <definedName function="false" hidden="false" localSheetId="1" name="ZA126" vbProcedure="false">'Input and Calc'!$D$36+"aD36"+16929+0+1</definedName>
    <definedName function="false" hidden="false" localSheetId="1" name="ZA127" vbProcedure="false">'Input and Calc'!$E$36+"aE36"+545+0+1</definedName>
    <definedName function="false" hidden="false" localSheetId="1" name="ZA128" vbProcedure="false">'Input and Calc'!$F$36+"aF36"+16929+0+1</definedName>
    <definedName function="false" hidden="false" localSheetId="1" name="ZA129" vbProcedure="false">'Input and Calc'!$G$36+"aG36"+16929+0+1</definedName>
    <definedName function="false" hidden="false" localSheetId="1" name="ZF100" vbProcedure="false">'Input and Calc'!$B$66+"LJM's Payoff (R1)"+""+33+33+441+-5+-10+280+449+4+3+"-"+"+"+2.6+50+2+4+95+0+5</definedName>
    <definedName function="false" hidden="false" localSheetId="1" name="ZF101" vbProcedure="false">'Input and Calc'!$B$76+"LJM's Payoff (R2)"+""+33+33+441+266+0+551+459+4+3+"-"+"+"+2.6+50+2+4+95+0+5</definedName>
    <definedName function="false" hidden="false" localSheetId="1" name="ZF102" vbProcedure="false">'Input and Calc'!$B$83+"LJM's Payoff (R3)"+""+33+33+441+353+-10+638+449+4+3+"-"+"+"+2.6+50+2+4+95+0+5</definedName>
    <definedName function="false" hidden="false" localSheetId="1" name="ZF103" vbProcedure="false">'Input and Calc'!$B$90+"LJM's Payoff (R4)"+""+33+33+441+-6+452+279+911+4+3+"-"+"+"+2.6+50+2+4+95+0+5</definedName>
    <definedName function="false" hidden="false" localSheetId="1" name="ZF104" vbProcedure="false">'Input and Calc'!$B$95+"LJM's Cross-Guaranteed Payoff"+""+33+33+441+5+520+290+979+4+3+"-"+"+"+2.6+50+2+4+95+0+5</definedName>
    <definedName function="false" hidden="false" localSheetId="1" name="ZF106" vbProcedure="false">'Input and Calc'!$B$91+"LJM's Payoff w/o Cross-Guarantees"+""+33+33+441+336+506+621+965+4+3+"-"+"+"+2.6+50+2+4+95+0+5</definedName>
    <definedName function="false" hidden="false" localSheetId="1" name="ZF107" vbProcedure="false">'Input and Calc'!$B$100+"LJM's CrossGuaranteed Payoff (One-sided)"+""+33+33+441+319+5+604+464+4+3+"-"+"+"+2.6+50+2+4+95+0+5</definedName>
    <definedName function="false" hidden="false" localSheetId="1" name="ZF108" vbProcedure="false">'Input and Calc'!$B$102+"ENE's payoff (under 1-sided cross-guaran"+""+33+33+441+-6+7+279+466+4+3+"-"+"+"+2.6+50+2+4+95+0+5</definedName>
    <definedName function="true" hidden="false" name="xCholeski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81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Assumption: R3 receives float pays fixed @ $21 for each series separately.  Payoff is short put, long call (Ep &lt; Ec)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8</xdr:colOff>
                <xdr:row>79</xdr:row>
                <xdr:rowOff>5</xdr:rowOff>
              </xdr:from>
              <xdr:to>
                <xdr:col>2</xdr:col>
                <xdr:colOff>43</xdr:colOff>
                <xdr:row>84</xdr:row>
                <xdr:rowOff>4</xdr:rowOff>
              </xdr:to>
            </anchor>
          </commentPr>
        </mc:Choice>
        <mc:Fallback/>
      </mc:AlternateContent>
    </comment>
    <comment ref="E3" authorId="0">
      <text>
        <r>
          <rPr>
            <b val="true"/>
            <sz val="8"/>
            <color rgb="FF000000"/>
            <rFont val="Tahoma"/>
            <family val="0"/>
          </rPr>
          <t xml:space="preserve">See Raptor 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29</xdr:colOff>
                <xdr:row>1</xdr:row>
                <xdr:rowOff>5</xdr:rowOff>
              </xdr:from>
              <xdr:to>
                <xdr:col>5</xdr:col>
                <xdr:colOff>76</xdr:colOff>
                <xdr:row>6</xdr:row>
                <xdr:rowOff>4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9" authorId="0">
      <text>
        <r>
          <rPr>
            <b val="true"/>
            <sz val="8"/>
            <color rgb="FF000000"/>
            <rFont val="Tahoma"/>
            <family val="0"/>
          </rPr>
          <t xml:space="preserve">Converted in a cash flow particpation certificate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27</xdr:row>
                <xdr:rowOff>5</xdr:rowOff>
              </xdr:from>
              <xdr:to>
                <xdr:col>2</xdr:col>
                <xdr:colOff>67</xdr:colOff>
                <xdr:row>32</xdr:row>
                <xdr:rowOff>4</xdr:rowOff>
              </xdr:to>
            </anchor>
          </commentPr>
        </mc:Choice>
        <mc:Fallback/>
      </mc:AlternateContent>
    </comment>
    <comment ref="A30" authorId="0">
      <text>
        <r>
          <rPr>
            <b val="true"/>
            <sz val="8"/>
            <color rgb="FF000000"/>
            <rFont val="Tahoma"/>
            <family val="0"/>
          </rPr>
          <t xml:space="preserve">Settled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28</xdr:row>
                <xdr:rowOff>5</xdr:rowOff>
              </xdr:from>
              <xdr:to>
                <xdr:col>2</xdr:col>
                <xdr:colOff>67</xdr:colOff>
                <xdr:row>33</xdr:row>
                <xdr:rowOff>4</xdr:rowOff>
              </xdr:to>
            </anchor>
          </commentPr>
        </mc:Choice>
        <mc:Fallback/>
      </mc:AlternateContent>
    </comment>
    <comment ref="A31" authorId="0">
      <text>
        <r>
          <rPr>
            <b val="true"/>
            <sz val="8"/>
            <color rgb="FF000000"/>
            <rFont val="Tahoma"/>
            <family val="0"/>
          </rPr>
          <t xml:space="preserve">Settled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29</xdr:row>
                <xdr:rowOff>5</xdr:rowOff>
              </xdr:from>
              <xdr:to>
                <xdr:col>2</xdr:col>
                <xdr:colOff>67</xdr:colOff>
                <xdr:row>34</xdr:row>
                <xdr:rowOff>4</xdr:rowOff>
              </xdr:to>
            </anchor>
          </commentPr>
        </mc:Choice>
        <mc:Fallback/>
      </mc:AlternateContent>
    </comment>
    <comment ref="A32" authorId="0">
      <text>
        <r>
          <rPr>
            <b val="true"/>
            <sz val="8"/>
            <color rgb="FF000000"/>
            <rFont val="Tahoma"/>
            <family val="0"/>
          </rPr>
          <t xml:space="preserve">Went public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30</xdr:row>
                <xdr:rowOff>5</xdr:rowOff>
              </xdr:from>
              <xdr:to>
                <xdr:col>2</xdr:col>
                <xdr:colOff>67</xdr:colOff>
                <xdr:row>35</xdr:row>
                <xdr:rowOff>4</xdr:rowOff>
              </xdr:to>
            </anchor>
          </commentPr>
        </mc:Choice>
        <mc:Fallback/>
      </mc:AlternateContent>
    </comment>
    <comment ref="A34" authorId="0">
      <text>
        <r>
          <rPr>
            <b val="true"/>
            <sz val="8"/>
            <color rgb="FF000000"/>
            <rFont val="Tahoma"/>
            <family val="0"/>
          </rPr>
          <t xml:space="preserve">Being written down to zero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32</xdr:row>
                <xdr:rowOff>5</xdr:rowOff>
              </xdr:from>
              <xdr:to>
                <xdr:col>2</xdr:col>
                <xdr:colOff>67</xdr:colOff>
                <xdr:row>37</xdr:row>
                <xdr:rowOff>4</xdr:rowOff>
              </xdr:to>
            </anchor>
          </commentPr>
        </mc:Choice>
        <mc:Fallback/>
      </mc:AlternateContent>
    </comment>
    <comment ref="A35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33</xdr:row>
                <xdr:rowOff>5</xdr:rowOff>
              </xdr:from>
              <xdr:to>
                <xdr:col>2</xdr:col>
                <xdr:colOff>67</xdr:colOff>
                <xdr:row>38</xdr:row>
                <xdr:rowOff>4</xdr:rowOff>
              </xdr:to>
            </anchor>
          </commentPr>
        </mc:Choice>
        <mc:Fallback/>
      </mc:AlternateContent>
    </comment>
    <comment ref="A36" authorId="0">
      <text>
        <r>
          <rPr>
            <b val="true"/>
            <sz val="8"/>
            <color rgb="FF000000"/>
            <rFont val="Tahoma"/>
            <family val="0"/>
          </rPr>
          <t xml:space="preserve">Being discussed for write down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34</xdr:row>
                <xdr:rowOff>5</xdr:rowOff>
              </xdr:from>
              <xdr:to>
                <xdr:col>2</xdr:col>
                <xdr:colOff>67</xdr:colOff>
                <xdr:row>39</xdr:row>
                <xdr:rowOff>4</xdr:rowOff>
              </xdr:to>
            </anchor>
          </commentPr>
        </mc:Choice>
        <mc:Fallback/>
      </mc:AlternateContent>
    </comment>
    <comment ref="A37" authorId="0">
      <text>
        <r>
          <rPr>
            <b val="true"/>
            <sz val="8"/>
            <color rgb="FF000000"/>
            <rFont val="Tahoma"/>
            <family val="0"/>
          </rPr>
          <t xml:space="preserve">Write-down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35</xdr:row>
                <xdr:rowOff>5</xdr:rowOff>
              </xdr:from>
              <xdr:to>
                <xdr:col>2</xdr:col>
                <xdr:colOff>67</xdr:colOff>
                <xdr:row>40</xdr:row>
                <xdr:rowOff>4</xdr:rowOff>
              </xdr:to>
            </anchor>
          </commentPr>
        </mc:Choice>
        <mc:Fallback/>
      </mc:AlternateContent>
    </comment>
    <comment ref="A38" authorId="0">
      <text>
        <r>
          <rPr>
            <b val="true"/>
            <sz val="8"/>
            <color rgb="FF000000"/>
            <rFont val="Tahoma"/>
            <family val="0"/>
          </rPr>
          <t xml:space="preserve">Write 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36</xdr:row>
                <xdr:rowOff>5</xdr:rowOff>
              </xdr:from>
              <xdr:to>
                <xdr:col>2</xdr:col>
                <xdr:colOff>67</xdr:colOff>
                <xdr:row>41</xdr:row>
                <xdr:rowOff>4</xdr:rowOff>
              </xdr:to>
            </anchor>
          </commentPr>
        </mc:Choice>
        <mc:Fallback/>
      </mc:AlternateContent>
    </comment>
    <comment ref="A39" authorId="0">
      <text>
        <r>
          <rPr>
            <b val="true"/>
            <sz val="8"/>
            <color rgb="FF000000"/>
            <rFont val="Tahoma"/>
            <family val="0"/>
          </rPr>
          <t xml:space="preserve">Write 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37</xdr:row>
                <xdr:rowOff>5</xdr:rowOff>
              </xdr:from>
              <xdr:to>
                <xdr:col>2</xdr:col>
                <xdr:colOff>67</xdr:colOff>
                <xdr:row>42</xdr:row>
                <xdr:rowOff>4</xdr:rowOff>
              </xdr:to>
            </anchor>
          </commentPr>
        </mc:Choice>
        <mc:Fallback/>
      </mc:AlternateContent>
    </comment>
    <comment ref="A47" authorId="0">
      <text>
        <r>
          <rPr>
            <b val="true"/>
            <sz val="8"/>
            <color rgb="FF000000"/>
            <rFont val="Tahoma"/>
            <family val="0"/>
          </rPr>
          <t xml:space="preserve">Sold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45</xdr:row>
                <xdr:rowOff>5</xdr:rowOff>
              </xdr:from>
              <xdr:to>
                <xdr:col>2</xdr:col>
                <xdr:colOff>67</xdr:colOff>
                <xdr:row>50</xdr:row>
                <xdr:rowOff>4</xdr:rowOff>
              </xdr:to>
            </anchor>
          </commentPr>
        </mc:Choice>
        <mc:Fallback/>
      </mc:AlternateContent>
    </comment>
    <comment ref="A50" authorId="0">
      <text>
        <r>
          <rPr>
            <b val="true"/>
            <sz val="8"/>
            <color rgb="FF000000"/>
            <rFont val="Tahoma"/>
            <family val="0"/>
          </rPr>
          <t xml:space="preserve">Under restructuring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48</xdr:row>
                <xdr:rowOff>5</xdr:rowOff>
              </xdr:from>
              <xdr:to>
                <xdr:col>2</xdr:col>
                <xdr:colOff>67</xdr:colOff>
                <xdr:row>53</xdr:row>
                <xdr:rowOff>4</xdr:rowOff>
              </xdr:to>
            </anchor>
          </commentPr>
        </mc:Choice>
        <mc:Fallback/>
      </mc:AlternateContent>
    </comment>
    <comment ref="A51" authorId="0">
      <text>
        <r>
          <rPr>
            <b val="true"/>
            <sz val="8"/>
            <color rgb="FF000000"/>
            <rFont val="Tahoma"/>
            <family val="0"/>
          </rPr>
          <t xml:space="preserve">Under Restructuring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49</xdr:row>
                <xdr:rowOff>5</xdr:rowOff>
              </xdr:from>
              <xdr:to>
                <xdr:col>2</xdr:col>
                <xdr:colOff>67</xdr:colOff>
                <xdr:row>54</xdr:row>
                <xdr:rowOff>4</xdr:rowOff>
              </xdr:to>
            </anchor>
          </commentPr>
        </mc:Choice>
        <mc:Fallback/>
      </mc:AlternateContent>
    </comment>
    <comment ref="A61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59</xdr:row>
                <xdr:rowOff>5</xdr:rowOff>
              </xdr:from>
              <xdr:to>
                <xdr:col>2</xdr:col>
                <xdr:colOff>67</xdr:colOff>
                <xdr:row>64</xdr:row>
                <xdr:rowOff>4</xdr:rowOff>
              </xdr:to>
            </anchor>
          </commentPr>
        </mc:Choice>
        <mc:Fallback/>
      </mc:AlternateContent>
    </comment>
    <comment ref="A63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61</xdr:row>
                <xdr:rowOff>5</xdr:rowOff>
              </xdr:from>
              <xdr:to>
                <xdr:col>2</xdr:col>
                <xdr:colOff>67</xdr:colOff>
                <xdr:row>66</xdr:row>
                <xdr:rowOff>4</xdr:rowOff>
              </xdr:to>
            </anchor>
          </commentPr>
        </mc:Choice>
        <mc:Fallback/>
      </mc:AlternateContent>
    </comment>
    <comment ref="A64" authorId="0">
      <text>
        <r>
          <rPr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62</xdr:row>
                <xdr:rowOff>5</xdr:rowOff>
              </xdr:from>
              <xdr:to>
                <xdr:col>2</xdr:col>
                <xdr:colOff>67</xdr:colOff>
                <xdr:row>67</xdr:row>
                <xdr:rowOff>4</xdr:rowOff>
              </xdr:to>
            </anchor>
          </commentPr>
        </mc:Choice>
        <mc:Fallback/>
      </mc:AlternateContent>
    </comment>
    <comment ref="E60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included above in the public exposure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58</xdr:row>
                <xdr:rowOff>5</xdr:rowOff>
              </xdr:from>
              <xdr:to>
                <xdr:col>6</xdr:col>
                <xdr:colOff>65</xdr:colOff>
                <xdr:row>63</xdr:row>
                <xdr:rowOff>4</xdr:rowOff>
              </xdr:to>
            </anchor>
          </commentPr>
        </mc:Choice>
        <mc:Fallback/>
      </mc:AlternateContent>
    </comment>
    <comment ref="E62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Included above in the public exposure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60</xdr:row>
                <xdr:rowOff>5</xdr:rowOff>
              </xdr:from>
              <xdr:to>
                <xdr:col>6</xdr:col>
                <xdr:colOff>65</xdr:colOff>
                <xdr:row>65</xdr:row>
                <xdr:rowOff>4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15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Notional as Rac numbers not available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52</xdr:colOff>
                <xdr:row>13</xdr:row>
                <xdr:rowOff>5</xdr:rowOff>
              </xdr:from>
              <xdr:to>
                <xdr:col>7</xdr:col>
                <xdr:colOff>16</xdr:colOff>
                <xdr:row>18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<sst xmlns="http://schemas.openxmlformats.org/spreadsheetml/2006/main" count="549" uniqueCount="328">
  <si>
    <t xml:space="preserve">Goals of the model:</t>
  </si>
  <si>
    <t xml:space="preserve">      to model the terminal values of the raptor structures</t>
  </si>
  <si>
    <t xml:space="preserve">      to study the implication of cross-guarantees among raptors on LJM</t>
  </si>
  <si>
    <t xml:space="preserve">Methodology:</t>
  </si>
  <si>
    <t xml:space="preserve">      Estimate drift and volatility terms from a two year history of daily stock prices by using market data on self or comparables</t>
  </si>
  <si>
    <t xml:space="preserve">      Use portfolio approach to reduce the size of the covariance matrix (Portfolio definition included in the raptor sheets)</t>
  </si>
  <si>
    <t xml:space="preserve">      Simulate to obtain the distribution of the terminal values of the raptors</t>
  </si>
  <si>
    <t xml:space="preserve">      Calculate the impact on LJM</t>
  </si>
  <si>
    <t xml:space="preserve">      The assets in the vehicles are aggregated in the following portfolios</t>
  </si>
  <si>
    <t xml:space="preserve">         ENE Stock (ENE)</t>
  </si>
  <si>
    <t xml:space="preserve">         Total Public Exposure of Raptor 1 (PUBR1)</t>
  </si>
  <si>
    <t xml:space="preserve">         Total Private Exposure except Merlin Put of Raptor 1 (PRIVR1)</t>
  </si>
  <si>
    <t xml:space="preserve">         Merlin Put in Raptor 1 (MERL)</t>
  </si>
  <si>
    <t xml:space="preserve">         Total Brazilian Exposure (CEG+Gaspart+Riogas+Other) in Raptor 2 (BRASR2)</t>
  </si>
  <si>
    <t xml:space="preserve">         TNPC Stock (TNPC)</t>
  </si>
  <si>
    <t xml:space="preserve">Data:</t>
  </si>
  <si>
    <t xml:space="preserve">      The following inputs are needed for the simulation</t>
  </si>
  <si>
    <t xml:space="preserve">         The drift parameters for portfolio returns</t>
  </si>
  <si>
    <t xml:space="preserve">         The covariance matrix of portfolio returns</t>
  </si>
  <si>
    <t xml:space="preserve">         The LIBOR curve</t>
  </si>
  <si>
    <t xml:space="preserve">      The sources of data for the valuation are as follows</t>
  </si>
  <si>
    <t xml:space="preserve">         The raptor spreadsheets (obtained from Kevin D. Jordan) provided information on the assets and liabilities of raptor vehicles (raptor1h, raptor2b, raptor3b, and raptor4.xls)</t>
  </si>
  <si>
    <t xml:space="preserve">         RAC (Mark Bonney) provided the spreadsheet, Raptor Value Summary.xls, for data on market values of Raptor 1 private exposure and Raptor 2 Brazilian exposure.</t>
  </si>
  <si>
    <t xml:space="preserve">         Gordon McKillop's spreadsheets provided more up-to-date figures on the raptors.</t>
  </si>
  <si>
    <t xml:space="preserve">Assumptions/Questions/Notes</t>
  </si>
  <si>
    <t xml:space="preserve">      The drifts for assets are beta based except for privates in R1 (set to 10%)</t>
  </si>
  <si>
    <t xml:space="preserve">          Riskfree Rate = 6%, Market Return = 16%, Betas calculated using last two years' data, unless not available.</t>
  </si>
  <si>
    <t xml:space="preserve">      Volatilities are historical (haircut down to 100% for NPW) and historical correlations (using last two years' data if available)</t>
  </si>
  <si>
    <t xml:space="preserve">      Privates are marked to the market for strike prices, publics and Brazilians have definite prices</t>
  </si>
  <si>
    <t xml:space="preserve">      Private exposure debt added directly to equity and convertibility of Venoco is ignored</t>
  </si>
  <si>
    <t xml:space="preserve">      Brazilian exposure uses RAC numbers except for the category "Others" where notional is used due to the inavailability of RAC figures</t>
  </si>
  <si>
    <t xml:space="preserve">      Has there been a collar placed on R4?  If so, what are the terms?</t>
  </si>
  <si>
    <t xml:space="preserve">      We need to clean up the values of the privates and merlin, exclude bankrupt assets.  Whose values should we use?  RAC or Gordon's.  Presently cell values closely approximate Gordon's values.</t>
  </si>
  <si>
    <t xml:space="preserve">      What are the most recent values of the notes in the raptors, debt and equity in Hawaiian?</t>
  </si>
  <si>
    <t xml:space="preserve">The following are the inputs to the programs (in the order of enumeration in the sheet "Assumptions and Methodology")</t>
  </si>
  <si>
    <t xml:space="preserve">Swap Portfolio Strike Value</t>
  </si>
  <si>
    <t xml:space="preserve">ENE</t>
  </si>
  <si>
    <t xml:space="preserve">PUBR1</t>
  </si>
  <si>
    <t xml:space="preserve">PRIVR1</t>
  </si>
  <si>
    <t xml:space="preserve">Hanover</t>
  </si>
  <si>
    <t xml:space="preserve">BRASR2</t>
  </si>
  <si>
    <t xml:space="preserve">NPW</t>
  </si>
  <si>
    <t xml:space="preserve">WhiteWing Assets and Liabilities</t>
  </si>
  <si>
    <t xml:space="preserve">Years from t = 0</t>
  </si>
  <si>
    <t xml:space="preserve"># of ENE on WW</t>
  </si>
  <si>
    <t xml:space="preserve">Price</t>
  </si>
  <si>
    <t xml:space="preserve">Debt on WW</t>
  </si>
  <si>
    <t xml:space="preserve">Drift</t>
  </si>
  <si>
    <t xml:space="preserve">Closure Date</t>
  </si>
  <si>
    <t xml:space="preserve">Dividend Yield</t>
  </si>
  <si>
    <t xml:space="preserve"> </t>
  </si>
  <si>
    <t xml:space="preserve">Portfolio Value</t>
  </si>
  <si>
    <t xml:space="preserve">Max ENE </t>
  </si>
  <si>
    <t xml:space="preserve">Years</t>
  </si>
  <si>
    <t xml:space="preserve">Maximum</t>
  </si>
  <si>
    <t xml:space="preserve">Volatility</t>
  </si>
  <si>
    <t xml:space="preserve">Closing </t>
  </si>
  <si>
    <t xml:space="preserve">Shares</t>
  </si>
  <si>
    <t xml:space="preserve">since the </t>
  </si>
  <si>
    <t xml:space="preserve">LMJ </t>
  </si>
  <si>
    <t xml:space="preserve">Notes</t>
  </si>
  <si>
    <t xml:space="preserve">Portfolio Strike Price</t>
  </si>
  <si>
    <t xml:space="preserve">Raptor Charactieristics</t>
  </si>
  <si>
    <t xml:space="preserve">Date</t>
  </si>
  <si>
    <t xml:space="preserve">from WW</t>
  </si>
  <si>
    <t xml:space="preserve">Last Closing</t>
  </si>
  <si>
    <t xml:space="preserve">Payoff</t>
  </si>
  <si>
    <t xml:space="preserve">Due</t>
  </si>
  <si>
    <t xml:space="preserve">Raptor1</t>
  </si>
  <si>
    <t xml:space="preserve">Riskless Rate</t>
  </si>
  <si>
    <t xml:space="preserve">Raptor2</t>
  </si>
  <si>
    <t xml:space="preserve">Raptor3</t>
  </si>
  <si>
    <t xml:space="preserve">Correlation Matrix</t>
  </si>
  <si>
    <t xml:space="preserve">Raptor4</t>
  </si>
  <si>
    <t xml:space="preserve">Today's Date </t>
  </si>
  <si>
    <t xml:space="preserve">Divisor</t>
  </si>
  <si>
    <t xml:space="preserve">ENE Price Points for the pay-off of each Raptor from the Waterfall</t>
  </si>
  <si>
    <t xml:space="preserve">TNPC</t>
  </si>
  <si>
    <t xml:space="preserve">Beg. of R1 payout</t>
  </si>
  <si>
    <t xml:space="preserve">Beg. of R2 payout</t>
  </si>
  <si>
    <t xml:space="preserve">Cholesky Factorization</t>
  </si>
  <si>
    <t xml:space="preserve">Beg. of R4 payout</t>
  </si>
  <si>
    <t xml:space="preserve">Complete R4 payout</t>
  </si>
  <si>
    <t xml:space="preserve">ENE Shares</t>
  </si>
  <si>
    <t xml:space="preserve">Raptor 1</t>
  </si>
  <si>
    <t xml:space="preserve">Discount Rate (Risky)</t>
  </si>
  <si>
    <t xml:space="preserve">Discounting Rate choice (risky = 0)</t>
  </si>
  <si>
    <t xml:space="preserve">TNPC Shares</t>
  </si>
  <si>
    <t xml:space="preserve">Compounding Rate choice (risky = 0)</t>
  </si>
  <si>
    <t xml:space="preserve">Raptor 3</t>
  </si>
  <si>
    <t xml:space="preserve">Random Shock Main (to WW)</t>
  </si>
  <si>
    <t xml:space="preserve">No. of NPW in TRS</t>
  </si>
  <si>
    <t xml:space="preserve">at</t>
  </si>
  <si>
    <t xml:space="preserve">per share</t>
  </si>
  <si>
    <t xml:space="preserve">Random Shock 1 (to R1)</t>
  </si>
  <si>
    <t xml:space="preserve">Merlin Put(Raptor 1)</t>
  </si>
  <si>
    <t xml:space="preserve">Random Shock 2 (to R2)</t>
  </si>
  <si>
    <t xml:space="preserve">Units</t>
  </si>
  <si>
    <t xml:space="preserve">Random Shock 3 (to R3)</t>
  </si>
  <si>
    <t xml:space="preserve">Strike Price</t>
  </si>
  <si>
    <t xml:space="preserve">Random Shock 4 (to R4)</t>
  </si>
  <si>
    <t xml:space="preserve">Collars</t>
  </si>
  <si>
    <t xml:space="preserve">Units equal shares held and maximum from Waterfall</t>
  </si>
  <si>
    <t xml:space="preserve">Correlated Random Shock (Main)</t>
  </si>
  <si>
    <t xml:space="preserve">Raptor 1 Call Price</t>
  </si>
  <si>
    <t xml:space="preserve">Correlated Random Shock 1 (to R1)</t>
  </si>
  <si>
    <t xml:space="preserve">Raptor 1 Put Price</t>
  </si>
  <si>
    <t xml:space="preserve">Correlated Random Shock 2 (to R2)</t>
  </si>
  <si>
    <t xml:space="preserve">Raptor 2 Call Price</t>
  </si>
  <si>
    <t xml:space="preserve">Raptor 4 Call Price</t>
  </si>
  <si>
    <t xml:space="preserve">Correlated Random Shock 3 (to R3)</t>
  </si>
  <si>
    <t xml:space="preserve">Raptor 2 Put Price</t>
  </si>
  <si>
    <t xml:space="preserve">Raptor 4 Put Price</t>
  </si>
  <si>
    <t xml:space="preserve">Correlated Random Shock 4 (to R4)</t>
  </si>
  <si>
    <t xml:space="preserve">Compunding Rate Chosen</t>
  </si>
  <si>
    <t xml:space="preserve">Discount Rate Chosen</t>
  </si>
  <si>
    <t xml:space="preserve">Waterfall Structure</t>
  </si>
  <si>
    <t xml:space="preserve">Number of Shares</t>
  </si>
  <si>
    <t xml:space="preserve">Residual</t>
  </si>
  <si>
    <t xml:space="preserve">Paid</t>
  </si>
  <si>
    <t xml:space="preserve">after paying</t>
  </si>
  <si>
    <t xml:space="preserve">WhiteWing</t>
  </si>
  <si>
    <t xml:space="preserve">Interim Period</t>
  </si>
  <si>
    <t xml:space="preserve">ENE Stock Price</t>
  </si>
  <si>
    <t xml:space="preserve">NPW Stock Price</t>
  </si>
  <si>
    <t xml:space="preserve">Closing Date</t>
  </si>
  <si>
    <t xml:space="preserve">(Years)</t>
  </si>
  <si>
    <t xml:space="preserve">Asset Values (Today)</t>
  </si>
  <si>
    <t xml:space="preserve">Raptor 2</t>
  </si>
  <si>
    <t xml:space="preserve">Asset Values at the close of WW</t>
  </si>
  <si>
    <t xml:space="preserve">Asset Values at the close of Raptor 1</t>
  </si>
  <si>
    <t xml:space="preserve">Raptor 4</t>
  </si>
  <si>
    <t xml:space="preserve">Asset Values at the close of Raptor 2</t>
  </si>
  <si>
    <t xml:space="preserve">Asset Values at the close of Raptor 3</t>
  </si>
  <si>
    <t xml:space="preserve">Asset Values at the close of Raptor 4</t>
  </si>
  <si>
    <t xml:space="preserve">Carryforward rate</t>
  </si>
  <si>
    <t xml:space="preserve">for Raptor Gains/Losses</t>
  </si>
  <si>
    <t xml:space="preserve">Raptor 1 Closing Value</t>
  </si>
  <si>
    <t xml:space="preserve">Value of ENE Stocks (Held+Waterfall)</t>
  </si>
  <si>
    <t xml:space="preserve">Drift Term Calculation:</t>
  </si>
  <si>
    <t xml:space="preserve">Collar Gains/Losses</t>
  </si>
  <si>
    <t xml:space="preserve">Public Swap Gains/Losses</t>
  </si>
  <si>
    <t xml:space="preserve">Rm =</t>
  </si>
  <si>
    <t xml:space="preserve">Private Swap Gains/Losses</t>
  </si>
  <si>
    <t xml:space="preserve">Rf =</t>
  </si>
  <si>
    <t xml:space="preserve">Merlin</t>
  </si>
  <si>
    <t xml:space="preserve">Note Resolution</t>
  </si>
  <si>
    <t xml:space="preserve">Asset</t>
  </si>
  <si>
    <t xml:space="preserve">beta</t>
  </si>
  <si>
    <t xml:space="preserve">drift</t>
  </si>
  <si>
    <t xml:space="preserve">Assets minus Liabilities</t>
  </si>
  <si>
    <t xml:space="preserve">LJM's Payoff (R1)</t>
  </si>
  <si>
    <t xml:space="preserve">PV</t>
  </si>
  <si>
    <t xml:space="preserve">BRAZIL</t>
  </si>
  <si>
    <t xml:space="preserve">Raptor 2 Closing Value</t>
  </si>
  <si>
    <t xml:space="preserve">pubr1</t>
  </si>
  <si>
    <t xml:space="preserve">Value of ENE Stocks (Waterfall)</t>
  </si>
  <si>
    <t xml:space="preserve">Brazilian Swap Gains/Losses</t>
  </si>
  <si>
    <t xml:space="preserve">Hawaii Structure</t>
  </si>
  <si>
    <t xml:space="preserve">Hanover Gains/Losses</t>
  </si>
  <si>
    <t xml:space="preserve">Maturity Date</t>
  </si>
  <si>
    <t xml:space="preserve">Value at</t>
  </si>
  <si>
    <t xml:space="preserve">float minus</t>
  </si>
  <si>
    <t xml:space="preserve">NPW Shares</t>
  </si>
  <si>
    <t xml:space="preserve">Debt</t>
  </si>
  <si>
    <t xml:space="preserve">Equity</t>
  </si>
  <si>
    <t xml:space="preserve">fixed</t>
  </si>
  <si>
    <t xml:space="preserve">Series A</t>
  </si>
  <si>
    <t xml:space="preserve">Series B/D</t>
  </si>
  <si>
    <t xml:space="preserve">LJM's Payoff (R2)</t>
  </si>
  <si>
    <t xml:space="preserve">Series C</t>
  </si>
  <si>
    <t xml:space="preserve">Raptor 3 Closing Value</t>
  </si>
  <si>
    <t xml:space="preserve">TNPC Stocks</t>
  </si>
  <si>
    <t xml:space="preserve">Future Value of Debt</t>
  </si>
  <si>
    <t xml:space="preserve">Future Value of Equity</t>
  </si>
  <si>
    <t xml:space="preserve">TRS (Series A, B, C, and D)</t>
  </si>
  <si>
    <t xml:space="preserve">Fixed Payment</t>
  </si>
  <si>
    <t xml:space="preserve">at price =</t>
  </si>
  <si>
    <t xml:space="preserve">LJM's Payoff (R3)</t>
  </si>
  <si>
    <t xml:space="preserve">Raptor 4 Closing Value</t>
  </si>
  <si>
    <t xml:space="preserve">LJM's Payoff (R4)</t>
  </si>
  <si>
    <t xml:space="preserve">LJM's Payoff (w/o cross-guarantees)</t>
  </si>
  <si>
    <t xml:space="preserve">CrossGuarantees (Two-sided for LJM)</t>
  </si>
  <si>
    <t xml:space="preserve">Combined A/L Position - close of Raptor4</t>
  </si>
  <si>
    <t xml:space="preserve">&lt;&lt; Simple sum</t>
  </si>
  <si>
    <t xml:space="preserve">LJM's Cross-Guaranteed Payoff</t>
  </si>
  <si>
    <t xml:space="preserve">Are we compounding the payments for LJM as they are being paid later as a result of the cross-guarantees?</t>
  </si>
  <si>
    <t xml:space="preserve">Early payoffs from cross-guarantees (not LJM's terminal payment)are being compunded at 7%.  Should we make it equal to risky or risk-free discount rate?</t>
  </si>
  <si>
    <t xml:space="preserve">Sum of individual note shortfalls</t>
  </si>
  <si>
    <t xml:space="preserve">Extracted Sum from LJM</t>
  </si>
  <si>
    <t xml:space="preserve">LJM's CrossGuaranteed Payoff (One-sided)</t>
  </si>
  <si>
    <t xml:space="preserve">ENE's payoff (under 1-sided cross-guarantee)</t>
  </si>
  <si>
    <t xml:space="preserve">Asset(s) Contributed</t>
  </si>
  <si>
    <t xml:space="preserve">Type</t>
  </si>
  <si>
    <t xml:space="preserve">Contributed Share Price</t>
  </si>
  <si>
    <t xml:space="preserve">Mkt. Price</t>
  </si>
  <si>
    <t xml:space="preserve">Portfolio Strike</t>
  </si>
  <si>
    <t xml:space="preserve">Market Value</t>
  </si>
  <si>
    <t xml:space="preserve">Div Yield</t>
  </si>
  <si>
    <t xml:space="preserve">P/L</t>
  </si>
  <si>
    <t xml:space="preserve">Terminal Value</t>
  </si>
  <si>
    <t xml:space="preserve">Stock</t>
  </si>
  <si>
    <t xml:space="preserve">(a)</t>
  </si>
  <si>
    <t xml:space="preserve">ENE (Waterfall)</t>
  </si>
  <si>
    <t xml:space="preserve">Forward</t>
  </si>
  <si>
    <t xml:space="preserve">(b)</t>
  </si>
  <si>
    <t xml:space="preserve">    </t>
  </si>
  <si>
    <t xml:space="preserve">Promissory Note</t>
  </si>
  <si>
    <t xml:space="preserve">Cash</t>
  </si>
  <si>
    <t xml:space="preserve">Total</t>
  </si>
  <si>
    <t xml:space="preserve">Hedged Exposures</t>
  </si>
  <si>
    <t xml:space="preserve">Revised as per</t>
  </si>
  <si>
    <t xml:space="preserve">McKillop</t>
  </si>
  <si>
    <t xml:space="preserve">Public</t>
  </si>
  <si>
    <t xml:space="preserve">Spreadsheet</t>
  </si>
  <si>
    <t xml:space="preserve">Strike</t>
  </si>
  <si>
    <t xml:space="preserve">3TEC Warrants</t>
  </si>
  <si>
    <t xml:space="preserve">Swap</t>
  </si>
  <si>
    <t xml:space="preserve">Long</t>
  </si>
  <si>
    <t xml:space="preserve">Active Power</t>
  </si>
  <si>
    <t xml:space="preserve">Avici Systems</t>
  </si>
  <si>
    <t xml:space="preserve">Carrizo Warrants</t>
  </si>
  <si>
    <t xml:space="preserve">Catalytica After 12/14</t>
  </si>
  <si>
    <t xml:space="preserve">Paradigm</t>
  </si>
  <si>
    <t xml:space="preserve">Place Resources</t>
  </si>
  <si>
    <t xml:space="preserve">DevX Energy Common</t>
  </si>
  <si>
    <t xml:space="preserve">DevX Energy Pref</t>
  </si>
  <si>
    <t xml:space="preserve">Quicksilver</t>
  </si>
  <si>
    <t xml:space="preserve">Total Public Exposure</t>
  </si>
  <si>
    <t xml:space="preserve">Publics</t>
  </si>
  <si>
    <t xml:space="preserve">Swap Price</t>
  </si>
  <si>
    <t xml:space="preserve">Effective Fix Price</t>
  </si>
  <si>
    <t xml:space="preserve">Market Price</t>
  </si>
  <si>
    <t xml:space="preserve">Public+Private</t>
  </si>
  <si>
    <t xml:space="preserve">Private</t>
  </si>
  <si>
    <t xml:space="preserve">From 29Jan Summary</t>
  </si>
  <si>
    <t xml:space="preserve">Amerada Hess Exposure</t>
  </si>
  <si>
    <t xml:space="preserve">e</t>
  </si>
  <si>
    <t xml:space="preserve">Ameritex</t>
  </si>
  <si>
    <t xml:space="preserve">Basic Energy Preferred </t>
  </si>
  <si>
    <t xml:space="preserve">p</t>
  </si>
  <si>
    <t xml:space="preserve">Black Bay</t>
  </si>
  <si>
    <t xml:space="preserve">settled</t>
  </si>
  <si>
    <t xml:space="preserve">Brigham Secured SubDebt</t>
  </si>
  <si>
    <t xml:space="preserve">d</t>
  </si>
  <si>
    <t xml:space="preserve">Catalytica Before 12/14</t>
  </si>
  <si>
    <t xml:space="preserve">City Forest IPC</t>
  </si>
  <si>
    <t xml:space="preserve">Ecogas Loan &amp; Equity</t>
  </si>
  <si>
    <t xml:space="preserve">Geo. Pursuit (EBGB)</t>
  </si>
  <si>
    <t xml:space="preserve">Heartland Common</t>
  </si>
  <si>
    <t xml:space="preserve">Heartland Common (Condor)</t>
  </si>
  <si>
    <t xml:space="preserve">Heartland Loan</t>
  </si>
  <si>
    <t xml:space="preserve">Heartland Warrants</t>
  </si>
  <si>
    <t xml:space="preserve">w</t>
  </si>
  <si>
    <t xml:space="preserve">Hughes Rawls Loan</t>
  </si>
  <si>
    <t xml:space="preserve">Hughes Rawls Note</t>
  </si>
  <si>
    <t xml:space="preserve">HV Marine Warrants</t>
  </si>
  <si>
    <t xml:space="preserve">Industrial Holdings</t>
  </si>
  <si>
    <t xml:space="preserve">Invasion Energy</t>
  </si>
  <si>
    <t xml:space="preserve">Juniper</t>
  </si>
  <si>
    <t xml:space="preserve">Juniper Committed Exposurer</t>
  </si>
  <si>
    <t xml:space="preserve">Keathley Canyon</t>
  </si>
  <si>
    <t xml:space="preserve">LSI Preferred</t>
  </si>
  <si>
    <t xml:space="preserve">LSI Warrants</t>
  </si>
  <si>
    <t xml:space="preserve">Oconto Falls Common</t>
  </si>
  <si>
    <t xml:space="preserve">Oconto Falls IPC</t>
  </si>
  <si>
    <t xml:space="preserve">Texland</t>
  </si>
  <si>
    <t xml:space="preserve">Texland Committed Exposurer</t>
  </si>
  <si>
    <t xml:space="preserve">Vastar</t>
  </si>
  <si>
    <t xml:space="preserve">Vastar Exposure</t>
  </si>
  <si>
    <t xml:space="preserve">Venoco Convertible</t>
  </si>
  <si>
    <t xml:space="preserve">pc</t>
  </si>
  <si>
    <t xml:space="preserve">WB Oil &amp; Gas</t>
  </si>
  <si>
    <t xml:space="preserve">Chewco SLP Exposure (Public exposures here are functions of public exposures above)</t>
  </si>
  <si>
    <t xml:space="preserve">Total Private Exposure</t>
  </si>
  <si>
    <t xml:space="preserve">Prob. Of</t>
  </si>
  <si>
    <t xml:space="preserve">Event</t>
  </si>
  <si>
    <t xml:space="preserve">Merlin Credit Derivative</t>
  </si>
  <si>
    <t xml:space="preserve">Principal</t>
  </si>
  <si>
    <t xml:space="preserve">Credit Spread</t>
  </si>
  <si>
    <t xml:space="preserve">Def</t>
  </si>
  <si>
    <t xml:space="preserve">Shock</t>
  </si>
  <si>
    <t xml:space="preserve">Def = 0</t>
  </si>
  <si>
    <t xml:space="preserve">Recovery</t>
  </si>
  <si>
    <t xml:space="preserve">American Coal Company</t>
  </si>
  <si>
    <t xml:space="preserve">Beau Canada</t>
  </si>
  <si>
    <t xml:space="preserve">Bonus Resources</t>
  </si>
  <si>
    <t xml:space="preserve">Can Fibre</t>
  </si>
  <si>
    <t xml:space="preserve">Can Fibre (Waste)</t>
  </si>
  <si>
    <t xml:space="preserve">Cityforest (Junior)</t>
  </si>
  <si>
    <t xml:space="preserve">Cityforest (Senior)</t>
  </si>
  <si>
    <t xml:space="preserve">Cline Dakota</t>
  </si>
  <si>
    <t xml:space="preserve">Cline Panther</t>
  </si>
  <si>
    <t xml:space="preserve">East Coast Power</t>
  </si>
  <si>
    <t xml:space="preserve">Heartland</t>
  </si>
  <si>
    <t xml:space="preserve">HV marine</t>
  </si>
  <si>
    <t xml:space="preserve">Kafus</t>
  </si>
  <si>
    <t xml:space="preserve">Segundo Navarro (Lewis)</t>
  </si>
  <si>
    <t xml:space="preserve">LSI</t>
  </si>
  <si>
    <t xml:space="preserve">Oconto</t>
  </si>
  <si>
    <t xml:space="preserve">Sierra (senior)</t>
  </si>
  <si>
    <t xml:space="preserve">Sierra (subordinated)</t>
  </si>
  <si>
    <t xml:space="preserve">Transcoastal</t>
  </si>
  <si>
    <t xml:space="preserve">Shortfall=</t>
  </si>
  <si>
    <t xml:space="preserve">Public (?)</t>
  </si>
  <si>
    <t xml:space="preserve">CEG</t>
  </si>
  <si>
    <t xml:space="preserve">Gaspart</t>
  </si>
  <si>
    <t xml:space="preserve">Riogas</t>
  </si>
  <si>
    <t xml:space="preserve">Other</t>
  </si>
  <si>
    <t xml:space="preserve">Total Brazilian Exposure</t>
  </si>
  <si>
    <t xml:space="preserve">Hanover Compressor</t>
  </si>
  <si>
    <t xml:space="preserve">Cap</t>
  </si>
  <si>
    <t xml:space="preserve">Floor</t>
  </si>
  <si>
    <t xml:space="preserve">Warrants</t>
  </si>
  <si>
    <t xml:space="preserve">Summary of Hawaii Securitizations</t>
  </si>
  <si>
    <t xml:space="preserve">Today</t>
  </si>
  <si>
    <t xml:space="preserve">Series</t>
  </si>
  <si>
    <t xml:space="preserve"># of Warrants</t>
  </si>
  <si>
    <t xml:space="preserve">Close Price</t>
  </si>
  <si>
    <t xml:space="preserve">Notional</t>
  </si>
  <si>
    <t xml:space="preserve">Debt O/S</t>
  </si>
  <si>
    <t xml:space="preserve">Equity Rate</t>
  </si>
  <si>
    <t xml:space="preserve">Days O/S</t>
  </si>
  <si>
    <t xml:space="preserve">Equity O/S</t>
  </si>
  <si>
    <t xml:space="preserve">A</t>
  </si>
  <si>
    <t xml:space="preserve">B/D</t>
  </si>
  <si>
    <t xml:space="preserve">C</t>
  </si>
  <si>
    <t xml:space="preserve">Is there a collar here?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</si>
</sst>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[$-409]#,##0_);\(#,##0\)"/>
    <numFmt numFmtId="166" formatCode="#,##0"/>
    <numFmt numFmtId="167" formatCode="0.000"/>
    <numFmt numFmtId="168" formatCode="0.00%"/>
    <numFmt numFmtId="169" formatCode="[$-409]m/d/yyyy"/>
    <numFmt numFmtId="170" formatCode="0.00"/>
    <numFmt numFmtId="171" formatCode="_(* #,##0.00_);_(* \(#,##0.00\);_(* \-??_);_(@_)"/>
    <numFmt numFmtId="172" formatCode="_(* #,##0_);_(* \(#,##0\);_(* \-??_);_(@_)"/>
    <numFmt numFmtId="173" formatCode="0"/>
    <numFmt numFmtId="174" formatCode="[$-409]#,##0_);[RED]\(#,##0\)"/>
    <numFmt numFmtId="175" formatCode="0.00000"/>
    <numFmt numFmtId="176" formatCode="[$-409]#,##0.00_);[RED]\(#,##0.00\)"/>
    <numFmt numFmtId="177" formatCode="\$#,##0.00_);[RED]&quot;($&quot;#,##0.00\)"/>
    <numFmt numFmtId="178" formatCode="0%"/>
    <numFmt numFmtId="179" formatCode="\$#,##0_);[RED]&quot;($&quot;#,##0\)"/>
    <numFmt numFmtId="180" formatCode="_(\$* #,##0.00_);_(\$* \(#,##0.00\);_(\$* \-??_);_(@_)"/>
    <numFmt numFmtId="181" formatCode="_(\$* #,##0_);_(\$* \(#,##0\);_(\$* \-??_);_(@_)"/>
    <numFmt numFmtId="182" formatCode="# ?/?"/>
    <numFmt numFmtId="183" formatCode="# ??/??"/>
    <numFmt numFmtId="184" formatCode="0.0000"/>
    <numFmt numFmtId="185" formatCode="m/d"/>
  </numFmts>
  <fonts count="17">
    <font>
      <sz val="8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"/>
      <family val="2"/>
    </font>
    <font>
      <sz val="8"/>
      <color rgb="FF0000FF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8"/>
      <color rgb="FF3366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name val="Arial"/>
      <family val="2"/>
    </font>
    <font>
      <i val="true"/>
      <sz val="10"/>
      <name val="Arial"/>
      <family val="2"/>
    </font>
    <font>
      <u val="single"/>
      <sz val="10"/>
      <name val="Arial"/>
      <family val="2"/>
    </font>
    <font>
      <u val="single"/>
      <sz val="8"/>
      <name val="Arial"/>
      <family val="2"/>
    </font>
    <font>
      <sz val="8"/>
      <color rgb="FF00800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00FFFF"/>
        <bgColor rgb="FF00FFFF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0" fontId="11" fillId="0" borderId="1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80" fontId="6" fillId="0" borderId="0" xfId="17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y%20Documents/Raptors/McKillop/raptor1j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Credi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Daily Position"/>
      <sheetName val="Stock Prices"/>
      <sheetName val="Private Values"/>
      <sheetName val="Private Cash"/>
      <sheetName val="Financials"/>
      <sheetName val="Cash-Int-Trans"/>
      <sheetName val="Amort"/>
      <sheetName val="MPR Rapt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ssumptions and Methodology"/>
      <sheetName val="Input and Calc"/>
      <sheetName val="Raptor 1"/>
      <sheetName val="Raptor 2"/>
      <sheetName val="Raptor 3"/>
      <sheetName val="Raptor 4"/>
      <sheetName val="Sheet4"/>
    </sheetNames>
    <sheetDataSet>
      <sheetData sheetId="0"/>
      <sheetData sheetId="1">
        <row r="11">
          <cell r="M11">
            <v>37729</v>
          </cell>
        </row>
        <row r="17">
          <cell r="M17">
            <v>365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4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16.65"/>
  </cols>
  <sheetData>
    <row r="2" customFormat="false" ht="11.25" hidden="false" customHeight="false" outlineLevel="0" collapsed="false">
      <c r="A2" s="0" t="s">
        <v>0</v>
      </c>
    </row>
    <row r="4" customFormat="false" ht="11.25" hidden="false" customHeight="false" outlineLevel="0" collapsed="false">
      <c r="A4" s="0" t="s">
        <v>1</v>
      </c>
    </row>
    <row r="5" customFormat="false" ht="11.25" hidden="false" customHeight="false" outlineLevel="0" collapsed="false">
      <c r="A5" s="0" t="s">
        <v>2</v>
      </c>
    </row>
    <row r="7" customFormat="false" ht="11.25" hidden="false" customHeight="false" outlineLevel="0" collapsed="false">
      <c r="A7" s="0" t="s">
        <v>3</v>
      </c>
    </row>
    <row r="9" customFormat="false" ht="11.25" hidden="false" customHeight="false" outlineLevel="0" collapsed="false">
      <c r="A9" s="0" t="s">
        <v>4</v>
      </c>
    </row>
    <row r="10" customFormat="false" ht="11.25" hidden="false" customHeight="false" outlineLevel="0" collapsed="false">
      <c r="A10" s="0" t="s">
        <v>5</v>
      </c>
    </row>
    <row r="11" customFormat="false" ht="11.25" hidden="false" customHeight="false" outlineLevel="0" collapsed="false">
      <c r="A11" s="0" t="s">
        <v>6</v>
      </c>
    </row>
    <row r="12" customFormat="false" ht="11.25" hidden="false" customHeight="false" outlineLevel="0" collapsed="false">
      <c r="A12" s="0" t="s">
        <v>7</v>
      </c>
    </row>
    <row r="13" customFormat="false" ht="11.25" hidden="false" customHeight="false" outlineLevel="0" collapsed="false">
      <c r="A13" s="0" t="s">
        <v>8</v>
      </c>
    </row>
    <row r="14" customFormat="false" ht="11.25" hidden="false" customHeight="false" outlineLevel="0" collapsed="false">
      <c r="A14" s="0" t="s">
        <v>9</v>
      </c>
    </row>
    <row r="15" customFormat="false" ht="11.25" hidden="false" customHeight="false" outlineLevel="0" collapsed="false">
      <c r="A15" s="0" t="s">
        <v>10</v>
      </c>
    </row>
    <row r="16" customFormat="false" ht="11.25" hidden="false" customHeight="false" outlineLevel="0" collapsed="false">
      <c r="A16" s="0" t="s">
        <v>11</v>
      </c>
    </row>
    <row r="17" customFormat="false" ht="11.25" hidden="false" customHeight="false" outlineLevel="0" collapsed="false">
      <c r="A17" s="0" t="s">
        <v>12</v>
      </c>
    </row>
    <row r="18" customFormat="false" ht="11.25" hidden="false" customHeight="false" outlineLevel="0" collapsed="false">
      <c r="A18" s="0" t="s">
        <v>13</v>
      </c>
    </row>
    <row r="19" customFormat="false" ht="11.25" hidden="false" customHeight="false" outlineLevel="0" collapsed="false">
      <c r="A19" s="0" t="s">
        <v>14</v>
      </c>
    </row>
    <row r="21" customFormat="false" ht="11.25" hidden="false" customHeight="false" outlineLevel="0" collapsed="false">
      <c r="A21" s="0" t="s">
        <v>15</v>
      </c>
    </row>
    <row r="23" customFormat="false" ht="11.25" hidden="false" customHeight="false" outlineLevel="0" collapsed="false">
      <c r="A23" s="0" t="s">
        <v>16</v>
      </c>
    </row>
    <row r="24" customFormat="false" ht="11.25" hidden="false" customHeight="false" outlineLevel="0" collapsed="false">
      <c r="A24" s="0" t="s">
        <v>17</v>
      </c>
    </row>
    <row r="25" customFormat="false" ht="11.25" hidden="false" customHeight="false" outlineLevel="0" collapsed="false">
      <c r="A25" s="0" t="s">
        <v>18</v>
      </c>
    </row>
    <row r="26" customFormat="false" ht="11.25" hidden="false" customHeight="false" outlineLevel="0" collapsed="false">
      <c r="A26" s="0" t="s">
        <v>19</v>
      </c>
    </row>
    <row r="28" customFormat="false" ht="11.25" hidden="false" customHeight="false" outlineLevel="0" collapsed="false">
      <c r="A28" s="0" t="s">
        <v>20</v>
      </c>
    </row>
    <row r="29" customFormat="false" ht="11.25" hidden="false" customHeight="false" outlineLevel="0" collapsed="false">
      <c r="A29" s="0" t="s">
        <v>21</v>
      </c>
    </row>
    <row r="30" customFormat="false" ht="11.25" hidden="false" customHeight="false" outlineLevel="0" collapsed="false">
      <c r="A30" s="0" t="s">
        <v>22</v>
      </c>
    </row>
    <row r="31" customFormat="false" ht="11.25" hidden="false" customHeight="false" outlineLevel="0" collapsed="false">
      <c r="A31" s="0" t="s">
        <v>23</v>
      </c>
    </row>
    <row r="34" customFormat="false" ht="11.25" hidden="false" customHeight="false" outlineLevel="0" collapsed="false">
      <c r="A34" s="0" t="s">
        <v>24</v>
      </c>
    </row>
    <row r="35" customFormat="false" ht="11.25" hidden="false" customHeight="false" outlineLevel="0" collapsed="false">
      <c r="A35" s="0" t="s">
        <v>25</v>
      </c>
    </row>
    <row r="36" customFormat="false" ht="11.25" hidden="false" customHeight="false" outlineLevel="0" collapsed="false">
      <c r="A36" s="0" t="s">
        <v>26</v>
      </c>
    </row>
    <row r="37" customFormat="false" ht="11.25" hidden="false" customHeight="false" outlineLevel="0" collapsed="false">
      <c r="A37" s="0" t="s">
        <v>27</v>
      </c>
    </row>
    <row r="38" customFormat="false" ht="11.25" hidden="false" customHeight="false" outlineLevel="0" collapsed="false">
      <c r="A38" s="0" t="s">
        <v>28</v>
      </c>
    </row>
    <row r="39" customFormat="false" ht="11.25" hidden="false" customHeight="false" outlineLevel="0" collapsed="false">
      <c r="A39" s="0" t="s">
        <v>29</v>
      </c>
    </row>
    <row r="40" customFormat="false" ht="11.25" hidden="false" customHeight="false" outlineLevel="0" collapsed="false">
      <c r="A40" s="0" t="s">
        <v>30</v>
      </c>
    </row>
    <row r="41" customFormat="false" ht="11.25" hidden="false" customHeight="false" outlineLevel="0" collapsed="false">
      <c r="A41" s="0" t="s">
        <v>31</v>
      </c>
    </row>
    <row r="42" customFormat="false" ht="11.25" hidden="false" customHeight="false" outlineLevel="0" collapsed="false">
      <c r="A42" s="0" t="s">
        <v>32</v>
      </c>
    </row>
    <row r="43" customFormat="false" ht="11.25" hidden="false" customHeight="false" outlineLevel="0" collapsed="false">
      <c r="A43" s="0" t="s">
        <v>33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0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8" activeCellId="0" sqref="F8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35.82"/>
    <col collapsed="false" customWidth="true" hidden="false" outlineLevel="0" max="2" min="2" style="0" width="15.49"/>
    <col collapsed="false" customWidth="true" hidden="false" outlineLevel="0" max="3" min="3" style="0" width="14.99"/>
    <col collapsed="false" customWidth="true" hidden="false" outlineLevel="0" max="5" min="4" style="0" width="13.33"/>
    <col collapsed="false" customWidth="true" hidden="false" outlineLevel="0" max="6" min="6" style="0" width="14.99"/>
    <col collapsed="false" customWidth="true" hidden="false" outlineLevel="0" max="7" min="7" style="0" width="15.15"/>
    <col collapsed="false" customWidth="true" hidden="false" outlineLevel="0" max="8" min="8" style="0" width="6.99"/>
    <col collapsed="false" customWidth="true" hidden="false" outlineLevel="0" max="9" min="9" style="0" width="12.99"/>
    <col collapsed="false" customWidth="true" hidden="false" outlineLevel="0" max="10" min="10" style="0" width="7.99"/>
    <col collapsed="false" customWidth="true" hidden="false" outlineLevel="0" max="11" min="11" style="0" width="9.65"/>
    <col collapsed="false" customWidth="true" hidden="false" outlineLevel="0" max="12" min="12" style="0" width="22.15"/>
    <col collapsed="false" customWidth="true" hidden="false" outlineLevel="0" max="13" min="13" style="0" width="12.99"/>
    <col collapsed="false" customWidth="true" hidden="false" outlineLevel="0" max="14" min="14" style="0" width="15.65"/>
    <col collapsed="false" customWidth="true" hidden="false" outlineLevel="0" max="15" min="15" style="0" width="12.33"/>
    <col collapsed="false" customWidth="true" hidden="false" outlineLevel="0" max="17" min="16" style="0" width="12.49"/>
  </cols>
  <sheetData>
    <row r="1" customFormat="false" ht="11.25" hidden="false" customHeight="false" outlineLevel="0" collapsed="false">
      <c r="A1" s="0" t="s">
        <v>34</v>
      </c>
    </row>
    <row r="2" customFormat="false" ht="11.25" hidden="false" customHeight="false" outlineLevel="0" collapsed="false">
      <c r="A2" s="1" t="s">
        <v>35</v>
      </c>
      <c r="C2" s="2"/>
      <c r="D2" s="2"/>
      <c r="E2" s="2"/>
      <c r="F2" s="2"/>
    </row>
    <row r="3" customFormat="false" ht="11.25" hidden="false" customHeight="false" outlineLevel="0" collapsed="false">
      <c r="B3" s="1" t="s">
        <v>36</v>
      </c>
      <c r="C3" s="1" t="s">
        <v>37</v>
      </c>
      <c r="D3" s="1" t="s">
        <v>38</v>
      </c>
      <c r="E3" s="1" t="s">
        <v>39</v>
      </c>
      <c r="F3" s="1" t="s">
        <v>40</v>
      </c>
      <c r="G3" s="1" t="s">
        <v>41</v>
      </c>
      <c r="L3" s="1" t="s">
        <v>42</v>
      </c>
      <c r="O3" s="1" t="s">
        <v>43</v>
      </c>
    </row>
    <row r="4" customFormat="false" ht="11.25" hidden="false" customHeight="false" outlineLevel="0" collapsed="false">
      <c r="A4" s="1"/>
      <c r="B4" s="3"/>
      <c r="C4" s="2"/>
      <c r="D4" s="2"/>
      <c r="E4" s="2"/>
      <c r="F4" s="2"/>
      <c r="G4" s="4"/>
      <c r="L4" s="1" t="s">
        <v>44</v>
      </c>
      <c r="N4" s="5" t="n">
        <v>50000000</v>
      </c>
    </row>
    <row r="5" customFormat="false" ht="11.25" hidden="false" customHeight="false" outlineLevel="0" collapsed="false">
      <c r="A5" s="1" t="s">
        <v>45</v>
      </c>
      <c r="B5" s="6" t="n">
        <v>81</v>
      </c>
      <c r="C5" s="7"/>
      <c r="D5" s="7"/>
      <c r="E5" s="7" t="n">
        <v>0</v>
      </c>
      <c r="F5" s="7"/>
      <c r="G5" s="7" t="n">
        <v>10</v>
      </c>
      <c r="L5" s="1" t="s">
        <v>46</v>
      </c>
      <c r="N5" s="5" t="n">
        <v>2500000000</v>
      </c>
    </row>
    <row r="6" customFormat="false" ht="11.25" hidden="false" customHeight="false" outlineLevel="0" collapsed="false">
      <c r="A6" s="1" t="s">
        <v>47</v>
      </c>
      <c r="B6" s="8" t="n">
        <f aca="false">N65</f>
        <v>0.113</v>
      </c>
      <c r="C6" s="8" t="n">
        <f aca="false">N68</f>
        <v>0.096</v>
      </c>
      <c r="D6" s="8" t="n">
        <v>0.1</v>
      </c>
      <c r="E6" s="8" t="n">
        <v>0.1</v>
      </c>
      <c r="F6" s="8" t="n">
        <f aca="false">N67</f>
        <v>0.141</v>
      </c>
      <c r="G6" s="8" t="n">
        <f aca="false">N66</f>
        <v>0.228</v>
      </c>
      <c r="L6" s="1" t="s">
        <v>48</v>
      </c>
      <c r="M6" s="9" t="n">
        <v>37667</v>
      </c>
      <c r="O6" s="10" t="n">
        <f aca="false">(M6-M16)/M17</f>
        <v>-22.627397260274</v>
      </c>
    </row>
    <row r="7" customFormat="false" ht="11.25" hidden="false" customHeight="false" outlineLevel="0" collapsed="false">
      <c r="A7" s="1" t="s">
        <v>49</v>
      </c>
      <c r="B7" s="7" t="n">
        <v>0</v>
      </c>
      <c r="C7" s="7" t="n">
        <v>0</v>
      </c>
      <c r="D7" s="7" t="n">
        <v>0</v>
      </c>
      <c r="E7" s="7"/>
      <c r="F7" s="7" t="n">
        <v>0</v>
      </c>
      <c r="G7" s="7" t="n">
        <v>0</v>
      </c>
      <c r="M7" s="0" t="s">
        <v>50</v>
      </c>
    </row>
    <row r="8" customFormat="false" ht="11.25" hidden="false" customHeight="false" outlineLevel="0" collapsed="false">
      <c r="A8" s="1" t="s">
        <v>51</v>
      </c>
      <c r="B8" s="11" t="n">
        <f aca="false">B5</f>
        <v>81</v>
      </c>
      <c r="C8" s="11" t="n">
        <f aca="false">'Raptor 1'!I24</f>
        <v>83111757.1867</v>
      </c>
      <c r="D8" s="11" t="n">
        <f aca="false">'Raptor 1'!I67</f>
        <v>189860935.379984</v>
      </c>
      <c r="E8" s="11" t="n">
        <f aca="false">E5</f>
        <v>0</v>
      </c>
      <c r="F8" s="11" t="n">
        <f aca="false">'Raptor 2'!I16</f>
        <v>221404000</v>
      </c>
      <c r="G8" s="11" t="n">
        <f aca="false">G5</f>
        <v>10</v>
      </c>
      <c r="M8" s="1"/>
      <c r="N8" s="1" t="s">
        <v>52</v>
      </c>
      <c r="O8" s="1" t="s">
        <v>53</v>
      </c>
      <c r="P8" s="1" t="s">
        <v>54</v>
      </c>
    </row>
    <row r="9" customFormat="false" ht="11.25" hidden="false" customHeight="false" outlineLevel="0" collapsed="false">
      <c r="A9" s="1" t="s">
        <v>55</v>
      </c>
      <c r="B9" s="8" t="n">
        <v>0.42139656828225</v>
      </c>
      <c r="C9" s="8" t="n">
        <v>0.477840160047215</v>
      </c>
      <c r="D9" s="8" t="n">
        <v>0.477840160047215</v>
      </c>
      <c r="E9" s="8" t="n">
        <v>0</v>
      </c>
      <c r="F9" s="8" t="n">
        <v>0.686126971468555</v>
      </c>
      <c r="G9" s="8" t="n">
        <v>1</v>
      </c>
      <c r="M9" s="1" t="s">
        <v>56</v>
      </c>
      <c r="N9" s="1" t="s">
        <v>57</v>
      </c>
      <c r="O9" s="1" t="s">
        <v>58</v>
      </c>
      <c r="P9" s="1" t="s">
        <v>59</v>
      </c>
      <c r="Q9" s="1" t="s">
        <v>60</v>
      </c>
    </row>
    <row r="10" customFormat="false" ht="11.25" hidden="false" customHeight="false" outlineLevel="0" collapsed="false">
      <c r="A10" s="1" t="s">
        <v>61</v>
      </c>
      <c r="B10" s="7"/>
      <c r="C10" s="12" t="n">
        <f aca="false">'Raptor 1'!H24</f>
        <v>233020515.519916</v>
      </c>
      <c r="D10" s="12" t="n">
        <f aca="false">'Raptor 1'!H67</f>
        <v>242722063</v>
      </c>
      <c r="E10" s="7"/>
      <c r="F10" s="12" t="n">
        <f aca="false">'Raptor 2'!M16</f>
        <v>460000000</v>
      </c>
      <c r="G10" s="7"/>
      <c r="L10" s="1" t="s">
        <v>62</v>
      </c>
      <c r="M10" s="1" t="s">
        <v>63</v>
      </c>
      <c r="N10" s="1" t="s">
        <v>64</v>
      </c>
      <c r="O10" s="1" t="s">
        <v>65</v>
      </c>
      <c r="P10" s="1" t="s">
        <v>66</v>
      </c>
      <c r="Q10" s="1" t="s">
        <v>67</v>
      </c>
    </row>
    <row r="11" customFormat="false" ht="11.25" hidden="false" customHeight="false" outlineLevel="0" collapsed="false">
      <c r="A11" s="1"/>
      <c r="B11" s="7"/>
      <c r="C11" s="7"/>
      <c r="D11" s="7"/>
      <c r="E11" s="7"/>
      <c r="F11" s="7"/>
      <c r="G11" s="7"/>
      <c r="L11" s="0" t="s">
        <v>68</v>
      </c>
      <c r="M11" s="9" t="n">
        <v>37729</v>
      </c>
      <c r="N11" s="5" t="n">
        <v>3876755</v>
      </c>
      <c r="O11" s="10" t="n">
        <f aca="false">(M11-M6)/M17</f>
        <v>0.16986301369863</v>
      </c>
      <c r="P11" s="5" t="n">
        <v>36000000</v>
      </c>
      <c r="Q11" s="13" t="n">
        <v>350000000</v>
      </c>
    </row>
    <row r="12" customFormat="false" ht="11.25" hidden="false" customHeight="false" outlineLevel="0" collapsed="false">
      <c r="A12" s="1" t="s">
        <v>69</v>
      </c>
      <c r="B12" s="8" t="n">
        <v>0.05</v>
      </c>
      <c r="C12" s="14" t="n">
        <f aca="false">B12</f>
        <v>0.05</v>
      </c>
      <c r="D12" s="14" t="n">
        <f aca="false">B12</f>
        <v>0.05</v>
      </c>
      <c r="E12" s="14" t="n">
        <f aca="false">B12</f>
        <v>0.05</v>
      </c>
      <c r="F12" s="14" t="n">
        <f aca="false">B12</f>
        <v>0.05</v>
      </c>
      <c r="G12" s="14" t="n">
        <f aca="false">B12</f>
        <v>0.05</v>
      </c>
      <c r="L12" s="0" t="s">
        <v>70</v>
      </c>
      <c r="M12" s="9" t="n">
        <v>37801</v>
      </c>
      <c r="N12" s="5" t="n">
        <v>7809790</v>
      </c>
      <c r="O12" s="10" t="n">
        <f aca="false">(M12-M11)/$M$17</f>
        <v>0.197260273972603</v>
      </c>
      <c r="P12" s="5" t="n">
        <v>31100000</v>
      </c>
      <c r="Q12" s="13" t="n">
        <v>375000000</v>
      </c>
    </row>
    <row r="13" customFormat="false" ht="11.25" hidden="false" customHeight="false" outlineLevel="0" collapsed="false">
      <c r="L13" s="0" t="s">
        <v>71</v>
      </c>
      <c r="M13" s="9" t="n">
        <v>37833</v>
      </c>
      <c r="N13" s="5" t="n">
        <v>0</v>
      </c>
      <c r="O13" s="10" t="n">
        <f aca="false">(M13-M12)/$M$17</f>
        <v>0.0876712328767123</v>
      </c>
      <c r="P13" s="5" t="n">
        <v>30000000</v>
      </c>
      <c r="Q13" s="5" t="n">
        <v>40000000</v>
      </c>
    </row>
    <row r="14" customFormat="false" ht="11.25" hidden="false" customHeight="false" outlineLevel="0" collapsed="false">
      <c r="A14" s="1" t="s">
        <v>72</v>
      </c>
      <c r="L14" s="0" t="s">
        <v>73</v>
      </c>
      <c r="M14" s="9" t="n">
        <v>37864</v>
      </c>
      <c r="N14" s="5" t="n">
        <v>6326045</v>
      </c>
      <c r="O14" s="10" t="n">
        <f aca="false">(M14-M13)/$M$17</f>
        <v>0.0849315068493151</v>
      </c>
      <c r="P14" s="5" t="n">
        <v>30000000</v>
      </c>
      <c r="Q14" s="5" t="n">
        <v>350000000</v>
      </c>
    </row>
    <row r="15" customFormat="false" ht="11.25" hidden="false" customHeight="false" outlineLevel="0" collapsed="false">
      <c r="A15" s="0" t="s">
        <v>36</v>
      </c>
      <c r="B15" s="6" t="n">
        <v>1</v>
      </c>
      <c r="C15" s="6"/>
      <c r="D15" s="6"/>
      <c r="E15" s="6"/>
      <c r="F15" s="6"/>
      <c r="G15" s="6"/>
      <c r="N15" s="5"/>
    </row>
    <row r="16" customFormat="false" ht="11.25" hidden="false" customHeight="false" outlineLevel="0" collapsed="false">
      <c r="A16" s="0" t="s">
        <v>37</v>
      </c>
      <c r="B16" s="6" t="n">
        <v>0.0621335377801558</v>
      </c>
      <c r="C16" s="6" t="n">
        <v>1</v>
      </c>
      <c r="D16" s="6"/>
      <c r="E16" s="6"/>
      <c r="F16" s="6"/>
      <c r="G16" s="6"/>
      <c r="L16" s="0" t="s">
        <v>74</v>
      </c>
      <c r="M16" s="9" t="n">
        <f aca="true">TODAY()</f>
        <v>45926</v>
      </c>
    </row>
    <row r="17" customFormat="false" ht="11.25" hidden="false" customHeight="false" outlineLevel="0" collapsed="false">
      <c r="A17" s="0" t="s">
        <v>38</v>
      </c>
      <c r="B17" s="6" t="n">
        <v>0.257975316338247</v>
      </c>
      <c r="C17" s="6" t="n">
        <v>0.15532633438677</v>
      </c>
      <c r="D17" s="6" t="n">
        <v>1</v>
      </c>
      <c r="E17" s="6"/>
      <c r="F17" s="6"/>
      <c r="G17" s="6"/>
      <c r="L17" s="0" t="s">
        <v>75</v>
      </c>
      <c r="M17" s="15" t="n">
        <v>365</v>
      </c>
    </row>
    <row r="18" customFormat="false" ht="11.25" hidden="false" customHeight="false" outlineLevel="0" collapsed="false">
      <c r="A18" s="0" t="s">
        <v>39</v>
      </c>
      <c r="B18" s="6" t="n">
        <v>0</v>
      </c>
      <c r="C18" s="6" t="n">
        <v>0</v>
      </c>
      <c r="D18" s="6" t="n">
        <v>0</v>
      </c>
      <c r="E18" s="6" t="n">
        <v>1</v>
      </c>
      <c r="F18" s="6"/>
      <c r="G18" s="6"/>
    </row>
    <row r="19" customFormat="false" ht="11.25" hidden="false" customHeight="false" outlineLevel="0" collapsed="false">
      <c r="A19" s="0" t="s">
        <v>40</v>
      </c>
      <c r="B19" s="6" t="n">
        <v>0.0633452584293176</v>
      </c>
      <c r="C19" s="6" t="n">
        <v>0.0153258106338016</v>
      </c>
      <c r="D19" s="6" t="n">
        <v>0.243220167039981</v>
      </c>
      <c r="E19" s="6" t="n">
        <v>0</v>
      </c>
      <c r="F19" s="6" t="n">
        <v>1</v>
      </c>
      <c r="G19" s="6"/>
      <c r="L19" s="1" t="s">
        <v>76</v>
      </c>
    </row>
    <row r="20" customFormat="false" ht="11.25" hidden="false" customHeight="false" outlineLevel="0" collapsed="false">
      <c r="A20" s="0" t="s">
        <v>77</v>
      </c>
      <c r="B20" s="6" t="n">
        <v>0.219861958764272</v>
      </c>
      <c r="C20" s="6" t="n">
        <v>0.283576465840696</v>
      </c>
      <c r="D20" s="6" t="n">
        <v>0.26547149466794</v>
      </c>
      <c r="E20" s="6" t="n">
        <v>0</v>
      </c>
      <c r="F20" s="6" t="n">
        <v>0.200631447025927</v>
      </c>
      <c r="G20" s="6" t="n">
        <v>1</v>
      </c>
      <c r="L20" s="0" t="s">
        <v>78</v>
      </c>
      <c r="N20" s="16" t="n">
        <f aca="false">N5/N4</f>
        <v>50</v>
      </c>
    </row>
    <row r="21" customFormat="false" ht="11.25" hidden="false" customHeight="false" outlineLevel="0" collapsed="false">
      <c r="L21" s="0" t="s">
        <v>79</v>
      </c>
      <c r="N21" s="16" t="n">
        <f aca="false">N5/(N4-N11)</f>
        <v>54.2026043484148</v>
      </c>
    </row>
    <row r="22" customFormat="false" ht="11.25" hidden="false" customHeight="false" outlineLevel="0" collapsed="false">
      <c r="A22" s="1" t="s">
        <v>80</v>
      </c>
      <c r="L22" s="0" t="s">
        <v>81</v>
      </c>
      <c r="N22" s="16" t="n">
        <f aca="false">N5/(N4-N11-N12)</f>
        <v>65.2512283217476</v>
      </c>
    </row>
    <row r="23" customFormat="false" ht="11.25" hidden="false" customHeight="false" outlineLevel="0" collapsed="false">
      <c r="B23" s="17" t="e">
        <f aca="false" t="array" ref="B23:G28">xCholeski(B15:G20)</f>
        <v>#NAME?</v>
      </c>
      <c r="C23" s="17" t="e">
        <v>#NAME?</v>
      </c>
      <c r="D23" s="17" t="e">
        <v>#NAME?</v>
      </c>
      <c r="E23" s="17" t="e">
        <v>#NAME?</v>
      </c>
      <c r="F23" s="17" t="e">
        <v>#NAME?</v>
      </c>
      <c r="G23" s="17" t="e">
        <v>#NAME?</v>
      </c>
      <c r="L23" s="0" t="s">
        <v>82</v>
      </c>
      <c r="N23" s="16" t="n">
        <f aca="false">N5/(N4-N11-N12-N14)</f>
        <v>78.1557494026556</v>
      </c>
    </row>
    <row r="24" customFormat="false" ht="11.25" hidden="false" customHeight="false" outlineLevel="0" collapsed="false">
      <c r="B24" s="17" t="e">
        <v>#NAME?</v>
      </c>
      <c r="C24" s="17" t="e">
        <v>#NAME?</v>
      </c>
      <c r="D24" s="17" t="e">
        <v>#NAME?</v>
      </c>
      <c r="E24" s="17" t="e">
        <v>#NAME?</v>
      </c>
      <c r="F24" s="17" t="e">
        <v>#NAME?</v>
      </c>
      <c r="G24" s="17" t="e">
        <v>#NAME?</v>
      </c>
    </row>
    <row r="25" customFormat="false" ht="11.25" hidden="false" customHeight="false" outlineLevel="0" collapsed="false">
      <c r="B25" s="17" t="e">
        <v>#NAME?</v>
      </c>
      <c r="C25" s="17" t="e">
        <v>#NAME?</v>
      </c>
      <c r="D25" s="17" t="e">
        <v>#NAME?</v>
      </c>
      <c r="E25" s="17" t="e">
        <v>#NAME?</v>
      </c>
      <c r="F25" s="17" t="e">
        <v>#NAME?</v>
      </c>
      <c r="G25" s="17" t="e">
        <v>#NAME?</v>
      </c>
    </row>
    <row r="26" customFormat="false" ht="11.25" hidden="false" customHeight="false" outlineLevel="0" collapsed="false">
      <c r="B26" s="17" t="e">
        <v>#NAME?</v>
      </c>
      <c r="C26" s="17" t="e">
        <v>#NAME?</v>
      </c>
      <c r="D26" s="17" t="e">
        <v>#NAME?</v>
      </c>
      <c r="E26" s="17" t="e">
        <v>#NAME?</v>
      </c>
      <c r="F26" s="17" t="e">
        <v>#NAME?</v>
      </c>
      <c r="G26" s="17" t="e">
        <v>#NAME?</v>
      </c>
      <c r="L26" s="1" t="s">
        <v>83</v>
      </c>
      <c r="M26" s="10"/>
    </row>
    <row r="27" customFormat="false" ht="11.25" hidden="false" customHeight="false" outlineLevel="0" collapsed="false">
      <c r="B27" s="17" t="e">
        <v>#NAME?</v>
      </c>
      <c r="C27" s="17" t="e">
        <v>#NAME?</v>
      </c>
      <c r="D27" s="17" t="e">
        <v>#NAME?</v>
      </c>
      <c r="E27" s="17" t="e">
        <v>#NAME?</v>
      </c>
      <c r="F27" s="17" t="e">
        <v>#NAME?</v>
      </c>
      <c r="G27" s="17" t="e">
        <v>#NAME?</v>
      </c>
      <c r="L27" s="18" t="s">
        <v>84</v>
      </c>
      <c r="M27" s="19" t="n">
        <v>3739175</v>
      </c>
    </row>
    <row r="28" customFormat="false" ht="11.25" hidden="false" customHeight="false" outlineLevel="0" collapsed="false">
      <c r="B28" s="17" t="e">
        <v>#NAME?</v>
      </c>
      <c r="C28" s="17" t="e">
        <v>#NAME?</v>
      </c>
      <c r="D28" s="17" t="e">
        <v>#NAME?</v>
      </c>
      <c r="E28" s="17" t="e">
        <v>#NAME?</v>
      </c>
      <c r="F28" s="17" t="e">
        <v>#NAME?</v>
      </c>
      <c r="G28" s="17" t="e">
        <v>#NAME?</v>
      </c>
      <c r="M28" s="20"/>
    </row>
    <row r="29" customFormat="false" ht="11.25" hidden="false" customHeight="false" outlineLevel="0" collapsed="false">
      <c r="A29" s="1" t="s">
        <v>85</v>
      </c>
      <c r="B29" s="21" t="n">
        <v>0.12</v>
      </c>
    </row>
    <row r="30" customFormat="false" ht="11.25" hidden="false" customHeight="false" outlineLevel="0" collapsed="false">
      <c r="A30" s="1" t="s">
        <v>86</v>
      </c>
      <c r="B30" s="22" t="n">
        <v>1</v>
      </c>
      <c r="C30" s="0" t="n">
        <f aca="false">B30</f>
        <v>1</v>
      </c>
      <c r="D30" s="0" t="n">
        <f aca="false">B30</f>
        <v>1</v>
      </c>
      <c r="E30" s="0" t="n">
        <f aca="false">B30</f>
        <v>1</v>
      </c>
      <c r="F30" s="0" t="n">
        <f aca="false">B30</f>
        <v>1</v>
      </c>
      <c r="G30" s="0" t="n">
        <f aca="false">B30</f>
        <v>1</v>
      </c>
      <c r="L30" s="1" t="s">
        <v>87</v>
      </c>
    </row>
    <row r="31" customFormat="false" ht="11.25" hidden="false" customHeight="false" outlineLevel="0" collapsed="false">
      <c r="A31" s="1" t="s">
        <v>88</v>
      </c>
      <c r="B31" s="22" t="n">
        <v>0</v>
      </c>
      <c r="C31" s="0" t="n">
        <f aca="false">B31</f>
        <v>0</v>
      </c>
      <c r="D31" s="0" t="n">
        <f aca="false">B31</f>
        <v>0</v>
      </c>
      <c r="E31" s="0" t="n">
        <f aca="false">B31</f>
        <v>0</v>
      </c>
      <c r="F31" s="0" t="n">
        <f aca="false">B31</f>
        <v>0</v>
      </c>
      <c r="G31" s="0" t="n">
        <f aca="false">B31</f>
        <v>0</v>
      </c>
      <c r="L31" s="0" t="s">
        <v>89</v>
      </c>
      <c r="M31" s="19" t="n">
        <v>24117800</v>
      </c>
    </row>
    <row r="32" customFormat="false" ht="11.25" hidden="false" customHeight="false" outlineLevel="0" collapsed="false">
      <c r="A32" s="1" t="s">
        <v>90</v>
      </c>
      <c r="B32" s="23" t="n">
        <v>-0.808739920253163</v>
      </c>
      <c r="C32" s="23" t="n">
        <v>-0.682069285266363</v>
      </c>
      <c r="D32" s="23" t="n">
        <v>1.70948815265191</v>
      </c>
      <c r="E32" s="23" t="n">
        <v>-0.313430357827277</v>
      </c>
      <c r="F32" s="23" t="n">
        <v>0.214950950090556</v>
      </c>
      <c r="G32" s="23" t="n">
        <v>0.100696496730166</v>
      </c>
      <c r="L32" s="0" t="s">
        <v>91</v>
      </c>
      <c r="M32" s="13" t="n">
        <v>19000000</v>
      </c>
      <c r="N32" s="0" t="s">
        <v>92</v>
      </c>
      <c r="O32" s="24" t="n">
        <v>21</v>
      </c>
      <c r="P32" s="0" t="s">
        <v>93</v>
      </c>
    </row>
    <row r="33" customFormat="false" ht="11.25" hidden="false" customHeight="false" outlineLevel="0" collapsed="false">
      <c r="A33" s="1" t="s">
        <v>94</v>
      </c>
      <c r="B33" s="23" t="n">
        <v>-0.23645103583907</v>
      </c>
      <c r="C33" s="23" t="n">
        <v>0.985634403787335</v>
      </c>
      <c r="D33" s="23" t="n">
        <v>-0.699128008701981</v>
      </c>
      <c r="E33" s="23" t="n">
        <v>1.62742056472846</v>
      </c>
      <c r="F33" s="23" t="n">
        <v>1.32099171052305</v>
      </c>
      <c r="G33" s="23" t="n">
        <v>0.125793736566943</v>
      </c>
      <c r="L33" s="1" t="s">
        <v>95</v>
      </c>
    </row>
    <row r="34" customFormat="false" ht="11.25" hidden="false" customHeight="false" outlineLevel="0" collapsed="false">
      <c r="A34" s="1" t="s">
        <v>96</v>
      </c>
      <c r="B34" s="23" t="n">
        <v>-0.00601262285869022</v>
      </c>
      <c r="C34" s="23" t="n">
        <v>0.413286184054605</v>
      </c>
      <c r="D34" s="23" t="n">
        <v>-3.01761461275439</v>
      </c>
      <c r="E34" s="23" t="n">
        <v>0.0624314802258505</v>
      </c>
      <c r="F34" s="23" t="n">
        <v>1.77421647442538</v>
      </c>
      <c r="G34" s="23" t="n">
        <v>-0.0840471523165835</v>
      </c>
      <c r="L34" s="0" t="s">
        <v>97</v>
      </c>
      <c r="M34" s="24" t="n">
        <v>0</v>
      </c>
    </row>
    <row r="35" customFormat="false" ht="11.25" hidden="false" customHeight="false" outlineLevel="0" collapsed="false">
      <c r="A35" s="1" t="s">
        <v>98</v>
      </c>
      <c r="B35" s="23" t="n">
        <v>0.968669094680199</v>
      </c>
      <c r="C35" s="23" t="n">
        <v>0.613164566841412</v>
      </c>
      <c r="D35" s="23" t="n">
        <v>-1.32984532120013</v>
      </c>
      <c r="E35" s="23" t="n">
        <v>0.420742897231688</v>
      </c>
      <c r="F35" s="23" t="n">
        <v>-1.13241160081476</v>
      </c>
      <c r="G35" s="23" t="n">
        <v>-0.791619052403649</v>
      </c>
      <c r="L35" s="0" t="s">
        <v>99</v>
      </c>
      <c r="M35" s="24" t="n">
        <v>0</v>
      </c>
    </row>
    <row r="36" customFormat="false" ht="11.25" hidden="false" customHeight="false" outlineLevel="0" collapsed="false">
      <c r="A36" s="1" t="s">
        <v>100</v>
      </c>
      <c r="B36" s="23" t="n">
        <v>-0.376066763941023</v>
      </c>
      <c r="C36" s="23" t="n">
        <v>1.09926582562061</v>
      </c>
      <c r="D36" s="23" t="n">
        <v>-1.15065587923259</v>
      </c>
      <c r="E36" s="23" t="n">
        <v>0.2704306560435</v>
      </c>
      <c r="F36" s="23" t="n">
        <v>0.595654541454902</v>
      </c>
      <c r="G36" s="23" t="n">
        <v>-0.903322417256968</v>
      </c>
      <c r="L36" s="1" t="s">
        <v>101</v>
      </c>
      <c r="N36" s="0" t="s">
        <v>102</v>
      </c>
    </row>
    <row r="37" customFormat="false" ht="11.25" hidden="false" customHeight="false" outlineLevel="0" collapsed="false">
      <c r="A37" s="1" t="s">
        <v>103</v>
      </c>
      <c r="B37" s="25" t="e">
        <f aca="false" t="array" ref="B37:G41">TRANSPOSE(MMULT(B23:G28,TRANSPOSE(B32:G36)))</f>
        <v>#NAME?</v>
      </c>
      <c r="C37" s="25" t="e">
        <v>#NAME?</v>
      </c>
      <c r="D37" s="25" t="e">
        <v>#NAME?</v>
      </c>
      <c r="E37" s="25" t="e">
        <v>#NAME?</v>
      </c>
      <c r="F37" s="25" t="e">
        <v>#NAME?</v>
      </c>
      <c r="G37" s="25" t="e">
        <v>#NAME?</v>
      </c>
      <c r="I37" s="18"/>
      <c r="J37" s="10"/>
      <c r="L37" s="0" t="s">
        <v>104</v>
      </c>
      <c r="M37" s="24" t="n">
        <v>116</v>
      </c>
    </row>
    <row r="38" customFormat="false" ht="11.25" hidden="false" customHeight="false" outlineLevel="0" collapsed="false">
      <c r="A38" s="1" t="s">
        <v>105</v>
      </c>
      <c r="B38" s="25" t="e">
        <v>#NAME?</v>
      </c>
      <c r="C38" s="25" t="e">
        <v>#NAME?</v>
      </c>
      <c r="D38" s="25" t="e">
        <v>#NAME?</v>
      </c>
      <c r="E38" s="25" t="e">
        <v>#NAME?</v>
      </c>
      <c r="F38" s="25" t="e">
        <v>#NAME?</v>
      </c>
      <c r="G38" s="25" t="e">
        <v>#NAME?</v>
      </c>
      <c r="I38" s="26"/>
      <c r="J38" s="10"/>
      <c r="L38" s="0" t="s">
        <v>106</v>
      </c>
      <c r="M38" s="24" t="n">
        <v>81</v>
      </c>
    </row>
    <row r="39" customFormat="false" ht="11.25" hidden="false" customHeight="false" outlineLevel="0" collapsed="false">
      <c r="A39" s="1" t="s">
        <v>107</v>
      </c>
      <c r="B39" s="25" t="e">
        <v>#NAME?</v>
      </c>
      <c r="C39" s="25" t="e">
        <v>#NAME?</v>
      </c>
      <c r="D39" s="25" t="e">
        <v>#NAME?</v>
      </c>
      <c r="E39" s="25" t="e">
        <v>#NAME?</v>
      </c>
      <c r="F39" s="25" t="e">
        <v>#NAME?</v>
      </c>
      <c r="G39" s="25" t="e">
        <v>#NAME?</v>
      </c>
      <c r="I39" s="26"/>
      <c r="J39" s="10"/>
      <c r="L39" s="0" t="s">
        <v>108</v>
      </c>
      <c r="M39" s="24" t="n">
        <v>111.8633</v>
      </c>
      <c r="N39" s="0" t="s">
        <v>109</v>
      </c>
      <c r="O39" s="0" t="n">
        <v>1000000000</v>
      </c>
    </row>
    <row r="40" customFormat="false" ht="11.25" hidden="false" customHeight="false" outlineLevel="0" collapsed="false">
      <c r="A40" s="1" t="s">
        <v>110</v>
      </c>
      <c r="B40" s="25" t="e">
        <v>#NAME?</v>
      </c>
      <c r="C40" s="25" t="e">
        <v>#NAME?</v>
      </c>
      <c r="D40" s="25" t="e">
        <v>#NAME?</v>
      </c>
      <c r="E40" s="25" t="e">
        <v>#NAME?</v>
      </c>
      <c r="F40" s="25" t="e">
        <v>#NAME?</v>
      </c>
      <c r="G40" s="25" t="e">
        <v>#NAME?</v>
      </c>
      <c r="I40" s="26"/>
      <c r="J40" s="10"/>
      <c r="L40" s="0" t="s">
        <v>111</v>
      </c>
      <c r="M40" s="24" t="n">
        <v>78.875</v>
      </c>
      <c r="N40" s="0" t="s">
        <v>112</v>
      </c>
      <c r="O40" s="0" t="n">
        <v>0</v>
      </c>
    </row>
    <row r="41" customFormat="false" ht="11.25" hidden="false" customHeight="false" outlineLevel="0" collapsed="false">
      <c r="A41" s="1" t="s">
        <v>113</v>
      </c>
      <c r="B41" s="25" t="e">
        <v>#NAME?</v>
      </c>
      <c r="C41" s="25" t="e">
        <v>#NAME?</v>
      </c>
      <c r="D41" s="25" t="e">
        <v>#NAME?</v>
      </c>
      <c r="E41" s="25" t="e">
        <v>#NAME?</v>
      </c>
      <c r="F41" s="25" t="e">
        <v>#NAME?</v>
      </c>
      <c r="G41" s="25" t="e">
        <v>#NAME?</v>
      </c>
      <c r="I41" s="26"/>
      <c r="J41" s="10"/>
    </row>
    <row r="42" customFormat="false" ht="11.25" hidden="false" customHeight="false" outlineLevel="0" collapsed="false">
      <c r="A42" s="1"/>
      <c r="B42" s="2"/>
      <c r="C42" s="2"/>
      <c r="D42" s="2"/>
      <c r="E42" s="2"/>
      <c r="F42" s="2"/>
      <c r="G42" s="2"/>
      <c r="I42" s="26"/>
      <c r="J42" s="10"/>
    </row>
    <row r="43" customFormat="false" ht="11.25" hidden="false" customHeight="false" outlineLevel="0" collapsed="false">
      <c r="A43" s="1" t="s">
        <v>114</v>
      </c>
      <c r="B43" s="17" t="n">
        <f aca="false">IF(B$31=0,B$6,$B$12)</f>
        <v>0.113</v>
      </c>
      <c r="C43" s="17" t="n">
        <f aca="false">IF(C$31=0,C$6,$B$12)</f>
        <v>0.096</v>
      </c>
      <c r="D43" s="17" t="n">
        <f aca="false">IF(D$31=0,D$6,$B$12)</f>
        <v>0.1</v>
      </c>
      <c r="E43" s="17" t="n">
        <f aca="false">IF(E$31=0,E$6,$B$12)</f>
        <v>0.1</v>
      </c>
      <c r="F43" s="17" t="n">
        <f aca="false">IF(F$31=0,F$6,$B$12)</f>
        <v>0.141</v>
      </c>
      <c r="G43" s="17" t="n">
        <f aca="false">IF(G$31=0,G$6,$B$12)</f>
        <v>0.228</v>
      </c>
      <c r="I43" s="26"/>
      <c r="J43" s="10"/>
    </row>
    <row r="44" customFormat="false" ht="11.25" hidden="false" customHeight="false" outlineLevel="0" collapsed="false">
      <c r="A44" s="1" t="s">
        <v>115</v>
      </c>
      <c r="B44" s="17" t="n">
        <f aca="false">IF($B$30=0,$B$29,$B$12)</f>
        <v>0.05</v>
      </c>
      <c r="C44" s="17" t="n">
        <f aca="false">IF($B$30=0,$B$29,$B$12)</f>
        <v>0.05</v>
      </c>
      <c r="D44" s="17" t="n">
        <f aca="false">IF($B$30=0,$B$29,$B$12)</f>
        <v>0.05</v>
      </c>
      <c r="E44" s="17" t="n">
        <f aca="false">IF($B$30=0,$B$29,$B$12)</f>
        <v>0.05</v>
      </c>
      <c r="F44" s="17" t="n">
        <f aca="false">IF($B$30=0,$B$29,$B$12)</f>
        <v>0.05</v>
      </c>
      <c r="G44" s="17" t="n">
        <f aca="false">IF($B$30=0,$B$29,$B$12)</f>
        <v>0.05</v>
      </c>
      <c r="L44" s="1" t="s">
        <v>116</v>
      </c>
      <c r="N44" s="0" t="s">
        <v>117</v>
      </c>
      <c r="O44" s="0" t="s">
        <v>118</v>
      </c>
    </row>
    <row r="45" customFormat="false" ht="11.25" hidden="false" customHeight="false" outlineLevel="0" collapsed="false">
      <c r="N45" s="0" t="s">
        <v>119</v>
      </c>
      <c r="O45" s="0" t="s">
        <v>120</v>
      </c>
    </row>
    <row r="46" customFormat="false" ht="11.25" hidden="false" customHeight="false" outlineLevel="0" collapsed="false">
      <c r="A46" s="1"/>
    </row>
    <row r="47" customFormat="false" ht="11.25" hidden="false" customHeight="false" outlineLevel="0" collapsed="false">
      <c r="B47" s="10"/>
      <c r="C47" s="10"/>
      <c r="D47" s="10"/>
      <c r="E47" s="10"/>
      <c r="F47" s="10"/>
      <c r="G47" s="10"/>
      <c r="H47" s="27"/>
      <c r="I47" s="20"/>
      <c r="J47" s="20"/>
      <c r="K47" s="20"/>
      <c r="L47" s="0" t="s">
        <v>121</v>
      </c>
      <c r="N47" s="28" t="e">
        <f aca="false">MIN(N4,N5/B51)</f>
        <v>#NAME?</v>
      </c>
      <c r="O47" s="28" t="e">
        <f aca="false">N4-N47</f>
        <v>#NAME?</v>
      </c>
    </row>
    <row r="48" customFormat="false" ht="11.25" hidden="false" customHeight="false" outlineLevel="0" collapsed="false">
      <c r="G48" s="29"/>
      <c r="J48" s="1" t="s">
        <v>122</v>
      </c>
    </row>
    <row r="49" customFormat="false" ht="11.25" hidden="false" customHeight="false" outlineLevel="0" collapsed="false">
      <c r="B49" s="1" t="s">
        <v>123</v>
      </c>
      <c r="C49" s="1" t="s">
        <v>37</v>
      </c>
      <c r="D49" s="1" t="s">
        <v>38</v>
      </c>
      <c r="E49" s="1" t="s">
        <v>39</v>
      </c>
      <c r="F49" s="1" t="s">
        <v>40</v>
      </c>
      <c r="G49" s="1" t="s">
        <v>124</v>
      </c>
      <c r="I49" s="1" t="s">
        <v>125</v>
      </c>
      <c r="J49" s="1" t="s">
        <v>126</v>
      </c>
      <c r="L49" s="0" t="s">
        <v>84</v>
      </c>
      <c r="N49" s="28" t="e">
        <f aca="false">MIN(O47,N11)</f>
        <v>#NAME?</v>
      </c>
      <c r="O49" s="28" t="e">
        <f aca="false">MAX(O47-N49,0)</f>
        <v>#NAME?</v>
      </c>
    </row>
    <row r="50" customFormat="false" ht="11.25" hidden="false" customHeight="false" outlineLevel="0" collapsed="false">
      <c r="A50" s="1" t="s">
        <v>127</v>
      </c>
      <c r="B50" s="10" t="n">
        <f aca="false">B8</f>
        <v>81</v>
      </c>
      <c r="C50" s="30" t="n">
        <f aca="false">C8</f>
        <v>83111757.1867</v>
      </c>
      <c r="D50" s="30" t="n">
        <f aca="false">D8</f>
        <v>189860935.379984</v>
      </c>
      <c r="E50" s="10" t="n">
        <f aca="false">E8</f>
        <v>0</v>
      </c>
      <c r="F50" s="30" t="n">
        <f aca="false">F8</f>
        <v>221404000</v>
      </c>
      <c r="G50" s="10" t="n">
        <f aca="false">G8</f>
        <v>10</v>
      </c>
      <c r="L50" s="0" t="s">
        <v>128</v>
      </c>
      <c r="N50" s="28" t="e">
        <f aca="false">MIN(O49,N12)</f>
        <v>#NAME?</v>
      </c>
      <c r="O50" s="28" t="e">
        <f aca="false">MAX(O49-N50,0)</f>
        <v>#NAME?</v>
      </c>
    </row>
    <row r="51" customFormat="false" ht="11.25" hidden="false" customHeight="false" outlineLevel="0" collapsed="false">
      <c r="A51" s="1" t="s">
        <v>129</v>
      </c>
      <c r="B51" s="10" t="e">
        <f aca="false">B50*EXP((B$43-B$7-0.5*B$9^2)*$J51+B$9*B37*SQRT($J51))</f>
        <v>#NAME?</v>
      </c>
      <c r="C51" s="30" t="e">
        <f aca="false">C50*EXP((C$43-C$7-0.5*C$9^2)*$J51+C$9*C37*SQRT($J51))</f>
        <v>#NAME?</v>
      </c>
      <c r="D51" s="30" t="e">
        <f aca="false">D50*EXP((D$43-D$7-0.5*D$9^2)*$J51+D$9*D37*SQRT($J51))</f>
        <v>#NAME?</v>
      </c>
      <c r="E51" s="10" t="e">
        <f aca="false">E50*EXP((E$43-E$7-0.5*E$9^2)*$J51+E$9*E37*SQRT($J51))</f>
        <v>#NAME?</v>
      </c>
      <c r="F51" s="30" t="e">
        <f aca="false">F50*EXP((F$43-F$7-0.5*F$9^2)*$J51+F$9*F37*SQRT($J51))</f>
        <v>#NAME?</v>
      </c>
      <c r="G51" s="10" t="e">
        <f aca="false">G50*EXP((G$43-G$7-0.5*G$9^2)*$J51+G$9*G37*SQRT($J51))</f>
        <v>#NAME?</v>
      </c>
      <c r="H51" s="20"/>
      <c r="I51" s="18" t="n">
        <f aca="false">M6</f>
        <v>37667</v>
      </c>
      <c r="J51" s="10" t="n">
        <f aca="true">(I51-TODAY())/$M$17</f>
        <v>-22.627397260274</v>
      </c>
      <c r="L51" s="0" t="s">
        <v>89</v>
      </c>
      <c r="N51" s="28" t="e">
        <f aca="false">MIN(O50,N13)</f>
        <v>#NAME?</v>
      </c>
      <c r="O51" s="28" t="e">
        <f aca="false">MAX(O50-N51,0)</f>
        <v>#NAME?</v>
      </c>
    </row>
    <row r="52" customFormat="false" ht="11.25" hidden="false" customHeight="false" outlineLevel="0" collapsed="false">
      <c r="A52" s="1" t="s">
        <v>130</v>
      </c>
      <c r="B52" s="10" t="e">
        <f aca="false">B51*EXP((B$43-B$7-0.5*B$9^2)*$J52+B$9*B38*SQRT($J52))</f>
        <v>#NAME?</v>
      </c>
      <c r="C52" s="30" t="e">
        <f aca="false">C51*EXP((C$43-C$7-0.5*C$9^2)*$J52+C$9*C38*SQRT($J52))</f>
        <v>#NAME?</v>
      </c>
      <c r="D52" s="30" t="e">
        <f aca="false">D51*EXP((D$43-D$7-0.5*D$9^2)*$J52+D$9*D38*SQRT($J52))</f>
        <v>#NAME?</v>
      </c>
      <c r="E52" s="10" t="e">
        <f aca="false">E51*EXP((E$43-E$7-0.5*E$9^2)*$J52+E$9*E38*SQRT($J52))</f>
        <v>#NAME?</v>
      </c>
      <c r="F52" s="30" t="e">
        <f aca="false">F51*EXP((F$43-F$7-0.5*F$9^2)*$J52+F$9*F38*SQRT($J52))</f>
        <v>#NAME?</v>
      </c>
      <c r="G52" s="10" t="e">
        <f aca="false">G51*EXP((G$43-G$7-0.5*G$9^2)*$J52+G$9*G38*SQRT($J52))</f>
        <v>#NAME?</v>
      </c>
      <c r="I52" s="18" t="n">
        <f aca="false">M11</f>
        <v>37729</v>
      </c>
      <c r="J52" s="10" t="n">
        <f aca="false">(I52-I51)/$M$17</f>
        <v>0.16986301369863</v>
      </c>
      <c r="L52" s="0" t="s">
        <v>131</v>
      </c>
      <c r="N52" s="28" t="e">
        <f aca="false">MIN(O51,N14)</f>
        <v>#NAME?</v>
      </c>
      <c r="O52" s="28" t="e">
        <f aca="false">MAX(O51-N52,0)</f>
        <v>#NAME?</v>
      </c>
    </row>
    <row r="53" customFormat="false" ht="11.25" hidden="false" customHeight="false" outlineLevel="0" collapsed="false">
      <c r="A53" s="1" t="s">
        <v>132</v>
      </c>
      <c r="B53" s="10" t="e">
        <f aca="false">B52*EXP((B$43-B$7-0.5*B$9^2)*$J53+B$9*B39*SQRT($J53))</f>
        <v>#NAME?</v>
      </c>
      <c r="C53" s="30" t="e">
        <f aca="false">C52*EXP((C$43-C$7-0.5*C$9^2)*$J53+C$9*C39*SQRT($J53))</f>
        <v>#NAME?</v>
      </c>
      <c r="D53" s="30" t="e">
        <f aca="false">D52*EXP((D$43-D$7-0.5*D$9^2)*$J53+D$9*D39*SQRT($J53))</f>
        <v>#NAME?</v>
      </c>
      <c r="E53" s="10" t="e">
        <f aca="false">E52*EXP((E$43-E$7-0.5*E$9^2)*$J53+E$9*E39*SQRT($J53))</f>
        <v>#NAME?</v>
      </c>
      <c r="F53" s="30" t="e">
        <f aca="false">F52*EXP((F$43-F$7-0.5*F$9^2)*$J53+F$9*F39*SQRT($J53))</f>
        <v>#NAME?</v>
      </c>
      <c r="G53" s="10" t="e">
        <f aca="false">G52*EXP((G$43-G$7-0.5*G$9^2)*$J53+G$9*G39*SQRT($J53))</f>
        <v>#NAME?</v>
      </c>
      <c r="I53" s="18" t="n">
        <f aca="false">M12</f>
        <v>37801</v>
      </c>
      <c r="J53" s="10" t="n">
        <f aca="false">(I53-I52)/$M$17</f>
        <v>0.197260273972603</v>
      </c>
    </row>
    <row r="54" customFormat="false" ht="11.25" hidden="false" customHeight="false" outlineLevel="0" collapsed="false">
      <c r="A54" s="1" t="s">
        <v>133</v>
      </c>
      <c r="B54" s="10" t="e">
        <f aca="false">B53*EXP((B$43-B$7-0.5*B$9^2)*$J54+B$9*B40*SQRT($J54))</f>
        <v>#NAME?</v>
      </c>
      <c r="C54" s="30" t="e">
        <f aca="false">C53*EXP((C$43-C$7-0.5*C$9^2)*$J54+C$9*C40*SQRT($J54))</f>
        <v>#NAME?</v>
      </c>
      <c r="D54" s="30" t="e">
        <f aca="false">D53*EXP((D$43-D$7-0.5*D$9^2)*$J54+D$9*D40*SQRT($J54))</f>
        <v>#NAME?</v>
      </c>
      <c r="E54" s="10" t="e">
        <f aca="false">E53*EXP((E$43-E$7-0.5*E$9^2)*$J54+E$9*E40*SQRT($J54))</f>
        <v>#NAME?</v>
      </c>
      <c r="F54" s="30" t="e">
        <f aca="false">F53*EXP((F$43-F$7-0.5*F$9^2)*$J54+F$9*F40*SQRT($J54))</f>
        <v>#NAME?</v>
      </c>
      <c r="G54" s="10" t="e">
        <f aca="false">G53*EXP((G$43-G$7-0.5*G$9^2)*$J54+G$9*G40*SQRT($J54))</f>
        <v>#NAME?</v>
      </c>
      <c r="H54" s="10" t="n">
        <f aca="false">H53*EXP((H$43-H$7-0.5*H$9^2)*$J54+H$9*H40*SQRT($J54))</f>
        <v>0</v>
      </c>
      <c r="I54" s="18" t="n">
        <f aca="false">M13</f>
        <v>37833</v>
      </c>
      <c r="J54" s="10" t="n">
        <f aca="false">(I54-I53)/$M$17</f>
        <v>0.0876712328767123</v>
      </c>
    </row>
    <row r="55" customFormat="false" ht="11.25" hidden="false" customHeight="false" outlineLevel="0" collapsed="false">
      <c r="A55" s="1" t="s">
        <v>134</v>
      </c>
      <c r="B55" s="10" t="e">
        <f aca="false">B54*EXP((B$43-B$7-0.5*B$9^2)*$J55+B$9*B41*SQRT($J55))</f>
        <v>#NAME?</v>
      </c>
      <c r="C55" s="30" t="e">
        <f aca="false">C54*EXP((C$43-C$7-0.5*C$9^2)*$J55+C$9*C41*SQRT($J55))</f>
        <v>#NAME?</v>
      </c>
      <c r="D55" s="30" t="e">
        <f aca="false">D54*EXP((D$43-D$7-0.5*D$9^2)*$J55+D$9*D41*SQRT($J55))</f>
        <v>#NAME?</v>
      </c>
      <c r="E55" s="10" t="e">
        <f aca="false">E54*EXP((E$43-E$7-0.5*E$9^2)*$J55+E$9*E41*SQRT($J55))</f>
        <v>#NAME?</v>
      </c>
      <c r="F55" s="30" t="e">
        <f aca="false">F54*EXP((F$43-F$7-0.5*F$9^2)*$J55+F$9*F41*SQRT($J55))</f>
        <v>#NAME?</v>
      </c>
      <c r="G55" s="10" t="e">
        <f aca="false">G54*EXP((G$43-G$7-0.5*G$9^2)*$J55+G$9*G41*SQRT($J55))</f>
        <v>#NAME?</v>
      </c>
      <c r="I55" s="18" t="n">
        <f aca="false">M14</f>
        <v>37864</v>
      </c>
      <c r="J55" s="10" t="n">
        <f aca="false">(I55-I54)/$M$17</f>
        <v>0.0849315068493151</v>
      </c>
      <c r="L55" s="0" t="s">
        <v>135</v>
      </c>
      <c r="M55" s="31" t="n">
        <v>0.07</v>
      </c>
    </row>
    <row r="56" customFormat="false" ht="11.25" hidden="false" customHeight="false" outlineLevel="0" collapsed="false">
      <c r="L56" s="0" t="s">
        <v>136</v>
      </c>
    </row>
    <row r="58" customFormat="false" ht="11.25" hidden="false" customHeight="false" outlineLevel="0" collapsed="false">
      <c r="A58" s="1" t="s">
        <v>137</v>
      </c>
    </row>
    <row r="59" customFormat="false" ht="11.25" hidden="false" customHeight="false" outlineLevel="0" collapsed="false">
      <c r="A59" s="0" t="s">
        <v>138</v>
      </c>
      <c r="B59" s="28" t="e">
        <f aca="false">B52*(M27+N49)</f>
        <v>#NAME?</v>
      </c>
      <c r="L59" s="1" t="s">
        <v>139</v>
      </c>
    </row>
    <row r="60" customFormat="false" ht="11.25" hidden="false" customHeight="false" outlineLevel="0" collapsed="false">
      <c r="A60" s="0" t="s">
        <v>140</v>
      </c>
      <c r="B60" s="28" t="e">
        <f aca="false">(MAX(M38-B52,0)-MAX(B52-M37,0))*(M27+N11)</f>
        <v>#NAME?</v>
      </c>
      <c r="C60" s="10" t="e">
        <f aca="false">B60/(N11+M27)</f>
        <v>#NAME?</v>
      </c>
    </row>
    <row r="61" customFormat="false" ht="11.25" hidden="false" customHeight="false" outlineLevel="0" collapsed="false">
      <c r="A61" s="0" t="s">
        <v>141</v>
      </c>
      <c r="B61" s="28" t="e">
        <f aca="false">C52-C10</f>
        <v>#NAME?</v>
      </c>
      <c r="L61" s="0" t="s">
        <v>142</v>
      </c>
      <c r="M61" s="32" t="n">
        <v>0.16</v>
      </c>
    </row>
    <row r="62" customFormat="false" ht="11.25" hidden="false" customHeight="false" outlineLevel="0" collapsed="false">
      <c r="A62" s="0" t="s">
        <v>143</v>
      </c>
      <c r="B62" s="28" t="e">
        <f aca="false">D52-D10</f>
        <v>#NAME?</v>
      </c>
      <c r="L62" s="0" t="s">
        <v>144</v>
      </c>
      <c r="M62" s="32" t="n">
        <v>0.06</v>
      </c>
    </row>
    <row r="63" customFormat="false" ht="11.25" hidden="false" customHeight="false" outlineLevel="0" collapsed="false">
      <c r="A63" s="0" t="s">
        <v>145</v>
      </c>
      <c r="B63" s="28" t="n">
        <f aca="false">-'Raptor 1'!G92</f>
        <v>-0</v>
      </c>
    </row>
    <row r="64" customFormat="false" ht="11.25" hidden="false" customHeight="false" outlineLevel="0" collapsed="false">
      <c r="A64" s="0" t="s">
        <v>146</v>
      </c>
      <c r="B64" s="28" t="n">
        <f aca="false">-Q11</f>
        <v>-350000000</v>
      </c>
      <c r="L64" s="1" t="s">
        <v>147</v>
      </c>
      <c r="M64" s="1" t="s">
        <v>148</v>
      </c>
      <c r="N64" s="1" t="s">
        <v>149</v>
      </c>
    </row>
    <row r="65" customFormat="false" ht="11.25" hidden="false" customHeight="false" outlineLevel="0" collapsed="false">
      <c r="A65" s="0" t="s">
        <v>150</v>
      </c>
      <c r="B65" s="28" t="e">
        <f aca="false">SUM(B59:B64)</f>
        <v>#NAME?</v>
      </c>
      <c r="L65" s="1" t="s">
        <v>36</v>
      </c>
      <c r="M65" s="24" t="n">
        <v>0.53</v>
      </c>
      <c r="N65" s="14" t="n">
        <f aca="false">$M$62+($M$61-$M$62)*M65</f>
        <v>0.113</v>
      </c>
    </row>
    <row r="66" customFormat="false" ht="11.25" hidden="false" customHeight="false" outlineLevel="0" collapsed="false">
      <c r="A66" s="0" t="s">
        <v>151</v>
      </c>
      <c r="B66" s="33" t="e">
        <f aca="false">MIN(MAX(B65,0),P11)</f>
        <v>#NAME?</v>
      </c>
      <c r="C66" s="28" t="e">
        <f aca="false">B66*EXP(-$B$44*SUM(J51:J52))</f>
        <v>#NAME?</v>
      </c>
      <c r="D66" s="1" t="s">
        <v>152</v>
      </c>
      <c r="L66" s="1" t="s">
        <v>41</v>
      </c>
      <c r="M66" s="24" t="n">
        <v>1.68</v>
      </c>
      <c r="N66" s="14" t="n">
        <f aca="false">$M$62+($M$61-$M$62)*M66</f>
        <v>0.228</v>
      </c>
    </row>
    <row r="67" customFormat="false" ht="11.25" hidden="false" customHeight="false" outlineLevel="0" collapsed="false">
      <c r="L67" s="1" t="s">
        <v>153</v>
      </c>
      <c r="M67" s="24" t="n">
        <v>0.81</v>
      </c>
      <c r="N67" s="14" t="n">
        <f aca="false">$M$62+($M$61-$M$62)*M67</f>
        <v>0.141</v>
      </c>
    </row>
    <row r="68" customFormat="false" ht="11.25" hidden="false" customHeight="false" outlineLevel="0" collapsed="false">
      <c r="A68" s="1" t="s">
        <v>154</v>
      </c>
      <c r="L68" s="1" t="s">
        <v>155</v>
      </c>
      <c r="M68" s="34" t="n">
        <v>0.36</v>
      </c>
      <c r="N68" s="14" t="n">
        <f aca="false">$M$62+($M$61-$M$62)*M68</f>
        <v>0.096</v>
      </c>
    </row>
    <row r="69" customFormat="false" ht="11.25" hidden="false" customHeight="false" outlineLevel="0" collapsed="false">
      <c r="A69" s="0" t="s">
        <v>156</v>
      </c>
      <c r="B69" s="28" t="e">
        <f aca="false">B53*N50</f>
        <v>#NAME?</v>
      </c>
    </row>
    <row r="70" customFormat="false" ht="11.25" hidden="false" customHeight="false" outlineLevel="0" collapsed="false">
      <c r="A70" s="0" t="s">
        <v>140</v>
      </c>
      <c r="B70" s="28" t="e">
        <f aca="false">(MAX(M40-B53,0)-MAX(B53-M39,0))*N12</f>
        <v>#NAME?</v>
      </c>
      <c r="C70" s="10" t="e">
        <f aca="false">B70/N12</f>
        <v>#NAME?</v>
      </c>
    </row>
    <row r="71" customFormat="false" ht="11.25" hidden="false" customHeight="false" outlineLevel="0" collapsed="false">
      <c r="A71" s="0" t="s">
        <v>157</v>
      </c>
      <c r="B71" s="28" t="e">
        <f aca="false">F53-F10</f>
        <v>#NAME?</v>
      </c>
      <c r="L71" s="1" t="s">
        <v>158</v>
      </c>
    </row>
    <row r="72" customFormat="false" ht="11.25" hidden="false" customHeight="false" outlineLevel="0" collapsed="false">
      <c r="A72" s="0" t="s">
        <v>159</v>
      </c>
      <c r="B72" s="28" t="e">
        <f aca="false">MAX('Raptor 2'!E20-E53,0)*'Raptor 2'!C20-MAX(E53-'Raptor 2'!E19,0)*'Raptor 2'!C19+(E53-'Raptor 2'!E21)*'Raptor 2'!C21</f>
        <v>#NAME?</v>
      </c>
      <c r="L72" s="1" t="s">
        <v>160</v>
      </c>
      <c r="M72" s="9" t="n">
        <f aca="false">M13</f>
        <v>37833</v>
      </c>
      <c r="P72" s="1" t="s">
        <v>161</v>
      </c>
      <c r="Q72" s="1" t="s">
        <v>162</v>
      </c>
    </row>
    <row r="73" customFormat="false" ht="11.25" hidden="false" customHeight="false" outlineLevel="0" collapsed="false">
      <c r="A73" s="0" t="s">
        <v>146</v>
      </c>
      <c r="B73" s="28" t="n">
        <f aca="false">-Q12</f>
        <v>-375000000</v>
      </c>
      <c r="M73" s="35" t="s">
        <v>163</v>
      </c>
      <c r="N73" s="1" t="s">
        <v>164</v>
      </c>
      <c r="O73" s="1" t="s">
        <v>165</v>
      </c>
      <c r="P73" s="36" t="n">
        <v>21</v>
      </c>
      <c r="Q73" s="1" t="s">
        <v>166</v>
      </c>
    </row>
    <row r="74" customFormat="false" ht="11.25" hidden="false" customHeight="false" outlineLevel="0" collapsed="false">
      <c r="B74" s="28"/>
      <c r="L74" s="1" t="s">
        <v>167</v>
      </c>
      <c r="M74" s="37" t="n">
        <f aca="false">'Raptor 3'!C12*200</f>
        <v>6766400</v>
      </c>
      <c r="N74" s="30" t="n">
        <f aca="false">'Raptor 3'!G12</f>
        <v>18122379.9652778</v>
      </c>
      <c r="O74" s="30" t="n">
        <f aca="false">'Raptor 3'!K12</f>
        <v>1996835.9375</v>
      </c>
      <c r="P74" s="38" t="n">
        <f aca="false">N74-MAX(0,N74-M74*$P$73)+MAX(0,$P$73*M74-O74-N74)</f>
        <v>140097564.0625</v>
      </c>
      <c r="Q74" s="28" t="e">
        <f aca="false">N74-MAX(0,N74-M74*$G$54)+MAX(0,$G$54*M74-O74-N74)-P74</f>
        <v>#NAME?</v>
      </c>
    </row>
    <row r="75" customFormat="false" ht="11.25" hidden="false" customHeight="false" outlineLevel="0" collapsed="false">
      <c r="A75" s="0" t="s">
        <v>150</v>
      </c>
      <c r="B75" s="28" t="e">
        <f aca="false">SUM(B69:B73)</f>
        <v>#NAME?</v>
      </c>
      <c r="L75" s="1" t="s">
        <v>168</v>
      </c>
      <c r="M75" s="37" t="n">
        <f aca="false">'Raptor 3'!C13*200</f>
        <v>8458200</v>
      </c>
      <c r="N75" s="30" t="n">
        <f aca="false">'Raptor 3'!G13</f>
        <v>87485505.58864</v>
      </c>
      <c r="O75" s="30" t="n">
        <f aca="false">'Raptor 3'!K13</f>
        <v>3998630.1425</v>
      </c>
      <c r="P75" s="38" t="n">
        <f aca="false">N75-MAX(0,N75-M75*$P$73)+MAX(0,$P$73*M75-O75-N75)</f>
        <v>173623569.8575</v>
      </c>
      <c r="Q75" s="28" t="e">
        <f aca="false">N75-MAX(0,N75-M75*$G$54)+MAX(0,$G$54*M75-O75-N75)-P75</f>
        <v>#NAME?</v>
      </c>
    </row>
    <row r="76" customFormat="false" ht="11.25" hidden="false" customHeight="false" outlineLevel="0" collapsed="false">
      <c r="A76" s="0" t="s">
        <v>169</v>
      </c>
      <c r="B76" s="33" t="e">
        <f aca="false">MIN(MAX(B75,0),P12)</f>
        <v>#NAME?</v>
      </c>
      <c r="C76" s="28" t="e">
        <f aca="false">B76*EXP(-$B$44*SUM(J51:J53))</f>
        <v>#NAME?</v>
      </c>
      <c r="D76" s="1" t="s">
        <v>152</v>
      </c>
      <c r="L76" s="1" t="s">
        <v>170</v>
      </c>
      <c r="M76" s="37" t="n">
        <f aca="false">'Raptor 3'!C14*200</f>
        <v>2791000</v>
      </c>
      <c r="N76" s="30" t="n">
        <f aca="false">'Raptor 3'!G14</f>
        <v>29289916.1182444</v>
      </c>
      <c r="O76" s="30" t="n">
        <f aca="false">'Raptor 3'!K14</f>
        <v>910859.141666667</v>
      </c>
      <c r="P76" s="38" t="n">
        <f aca="false">N76-MAX(0,N76-M76*$P$73)+MAX(0,$P$73*M76-O76-N76)</f>
        <v>57700140.8583333</v>
      </c>
      <c r="Q76" s="28" t="e">
        <f aca="false">N76-MAX(0,N76-M76*$G$54)+MAX(0,$G$54*M76-O76-N76)-P76</f>
        <v>#NAME?</v>
      </c>
    </row>
    <row r="77" customFormat="false" ht="11.25" hidden="false" customHeight="false" outlineLevel="0" collapsed="false">
      <c r="M77" s="9"/>
      <c r="Q77" s="28" t="e">
        <f aca="false">SUM(Q74:Q76)</f>
        <v>#NAME?</v>
      </c>
    </row>
    <row r="78" customFormat="false" ht="11.25" hidden="false" customHeight="false" outlineLevel="0" collapsed="false">
      <c r="A78" s="1" t="s">
        <v>171</v>
      </c>
      <c r="L78" s="0" t="s">
        <v>117</v>
      </c>
      <c r="M78" s="13" t="n">
        <v>19000000</v>
      </c>
    </row>
    <row r="79" customFormat="false" ht="11.25" hidden="false" customHeight="false" outlineLevel="0" collapsed="false">
      <c r="A79" s="0" t="s">
        <v>172</v>
      </c>
      <c r="B79" s="28" t="e">
        <f aca="false">G54*M31</f>
        <v>#NAME?</v>
      </c>
      <c r="L79" s="0" t="s">
        <v>173</v>
      </c>
      <c r="M79" s="13" t="n">
        <v>134767608.764493</v>
      </c>
      <c r="N79" s="32" t="n">
        <v>0.1</v>
      </c>
      <c r="O79" s="39" t="n">
        <f aca="false">M79*EXP(N79*($M$72-$M$16)/$M$17)</f>
        <v>14677146.2120839</v>
      </c>
    </row>
    <row r="80" customFormat="false" ht="11.25" hidden="false" customHeight="false" outlineLevel="0" collapsed="false">
      <c r="A80" s="0" t="s">
        <v>146</v>
      </c>
      <c r="B80" s="28" t="n">
        <f aca="false">-Q13</f>
        <v>-40000000</v>
      </c>
      <c r="L80" s="0" t="s">
        <v>174</v>
      </c>
      <c r="M80" s="13" t="n">
        <v>6901586.51416667</v>
      </c>
      <c r="N80" s="32" t="n">
        <v>0.15</v>
      </c>
      <c r="O80" s="39" t="n">
        <f aca="false">M80*EXP(N80*($M$72-$M$16)/$M$17)</f>
        <v>248046.488638728</v>
      </c>
    </row>
    <row r="81" customFormat="false" ht="11.25" hidden="false" customHeight="false" outlineLevel="0" collapsed="false">
      <c r="A81" s="0" t="s">
        <v>175</v>
      </c>
      <c r="B81" s="28" t="e">
        <f aca="false">Q77</f>
        <v>#NAME?</v>
      </c>
    </row>
    <row r="82" customFormat="false" ht="11.25" hidden="false" customHeight="false" outlineLevel="0" collapsed="false">
      <c r="A82" s="0" t="s">
        <v>150</v>
      </c>
      <c r="B82" s="28" t="e">
        <f aca="false">SUM(B79:B81)</f>
        <v>#NAME?</v>
      </c>
      <c r="L82" s="0" t="s">
        <v>176</v>
      </c>
      <c r="M82" s="40" t="n">
        <f aca="false">$O$79-MAX(0,$O$79-$M$78*$O$82)+MAX(0,$O$82*$M$78-$O$80-$O$79)</f>
        <v>398751953.511361</v>
      </c>
      <c r="N82" s="0" t="s">
        <v>177</v>
      </c>
      <c r="O82" s="24" t="n">
        <v>21</v>
      </c>
    </row>
    <row r="83" customFormat="false" ht="11.25" hidden="false" customHeight="false" outlineLevel="0" collapsed="false">
      <c r="A83" s="0" t="s">
        <v>178</v>
      </c>
      <c r="B83" s="33" t="e">
        <f aca="false">MIN(MAX(B82,0),P13)</f>
        <v>#NAME?</v>
      </c>
      <c r="C83" s="28" t="e">
        <f aca="false">B83*EXP(-$B$44*SUM(J51:J54))</f>
        <v>#NAME?</v>
      </c>
      <c r="D83" s="1" t="s">
        <v>152</v>
      </c>
    </row>
    <row r="84" customFormat="false" ht="11.25" hidden="false" customHeight="false" outlineLevel="0" collapsed="false">
      <c r="M84" s="3" t="n">
        <f aca="false">O82*M78-O80</f>
        <v>398751953.511361</v>
      </c>
    </row>
    <row r="85" customFormat="false" ht="11.25" hidden="false" customHeight="false" outlineLevel="0" collapsed="false">
      <c r="A85" s="1" t="s">
        <v>179</v>
      </c>
      <c r="M85" s="3"/>
    </row>
    <row r="86" customFormat="false" ht="11.25" hidden="false" customHeight="false" outlineLevel="0" collapsed="false">
      <c r="A86" s="0" t="s">
        <v>156</v>
      </c>
      <c r="B86" s="28" t="e">
        <f aca="false">B55*N52</f>
        <v>#NAME?</v>
      </c>
      <c r="M86" s="3"/>
    </row>
    <row r="87" customFormat="false" ht="11.25" hidden="false" customHeight="false" outlineLevel="0" collapsed="false">
      <c r="A87" s="0" t="s">
        <v>140</v>
      </c>
      <c r="B87" s="28" t="e">
        <f aca="false">(MAX(O40-B55,0)-MAX(B55-O39,0))*N14</f>
        <v>#NAME?</v>
      </c>
    </row>
    <row r="88" customFormat="false" ht="11.25" hidden="false" customHeight="false" outlineLevel="0" collapsed="false">
      <c r="A88" s="0" t="s">
        <v>146</v>
      </c>
      <c r="B88" s="41" t="n">
        <f aca="false">-Q14</f>
        <v>-350000000</v>
      </c>
    </row>
    <row r="89" customFormat="false" ht="11.25" hidden="false" customHeight="false" outlineLevel="0" collapsed="false">
      <c r="A89" s="0" t="s">
        <v>150</v>
      </c>
      <c r="B89" s="28" t="e">
        <f aca="false">SUM(B86:B88)</f>
        <v>#NAME?</v>
      </c>
    </row>
    <row r="90" customFormat="false" ht="11.25" hidden="false" customHeight="false" outlineLevel="0" collapsed="false">
      <c r="A90" s="0" t="s">
        <v>180</v>
      </c>
      <c r="B90" s="33" t="e">
        <f aca="false">MIN(MAX(B89,0),P14)</f>
        <v>#NAME?</v>
      </c>
      <c r="C90" s="28" t="e">
        <f aca="false">B90*EXP(-$B$44*SUM(J51:J55))</f>
        <v>#NAME?</v>
      </c>
      <c r="D90" s="1" t="s">
        <v>152</v>
      </c>
      <c r="G90" s="28" t="e">
        <f aca="false">SUM(C66,C76,C83,C90)</f>
        <v>#NAME?</v>
      </c>
    </row>
    <row r="91" customFormat="false" ht="11.25" hidden="false" customHeight="false" outlineLevel="0" collapsed="false">
      <c r="A91" s="0" t="s">
        <v>181</v>
      </c>
      <c r="B91" s="42" t="e">
        <f aca="false">SUM(B66,B76,B83,B90)</f>
        <v>#NAME?</v>
      </c>
      <c r="C91" s="28" t="e">
        <f aca="false">SUM(C66,C76,C83,C90)</f>
        <v>#NAME?</v>
      </c>
    </row>
    <row r="93" customFormat="false" ht="11.25" hidden="false" customHeight="false" outlineLevel="0" collapsed="false">
      <c r="A93" s="1" t="s">
        <v>182</v>
      </c>
    </row>
    <row r="94" customFormat="false" ht="11.25" hidden="false" customHeight="false" outlineLevel="0" collapsed="false">
      <c r="A94" s="0" t="s">
        <v>183</v>
      </c>
      <c r="B94" s="28" t="e">
        <f aca="false">B65*EXP(M55*(SUM(O12:O14)))+B75*EXP(M55*SUM(O13:O14))+B82*EXP(M55*O14)+B89</f>
        <v>#NAME?</v>
      </c>
      <c r="C94" s="20" t="e">
        <f aca="false">SUM(B65,B75,B82,B89)</f>
        <v>#NAME?</v>
      </c>
      <c r="D94" s="0" t="s">
        <v>184</v>
      </c>
    </row>
    <row r="95" customFormat="false" ht="11.25" hidden="false" customHeight="false" outlineLevel="0" collapsed="false">
      <c r="A95" s="0" t="s">
        <v>185</v>
      </c>
      <c r="B95" s="33" t="e">
        <f aca="false">MIN(MAX(B94,0),SUM(P11:P14))</f>
        <v>#NAME?</v>
      </c>
      <c r="C95" s="28" t="e">
        <f aca="false">B95*EXP(-$B$44*SUM(J51:J55))</f>
        <v>#NAME?</v>
      </c>
      <c r="D95" s="1" t="s">
        <v>152</v>
      </c>
    </row>
    <row r="96" customFormat="false" ht="11.25" hidden="false" customHeight="false" outlineLevel="0" collapsed="false">
      <c r="B96" s="1" t="s">
        <v>186</v>
      </c>
    </row>
    <row r="97" customFormat="false" ht="11.25" hidden="false" customHeight="false" outlineLevel="0" collapsed="false">
      <c r="B97" s="1" t="s">
        <v>187</v>
      </c>
    </row>
    <row r="98" customFormat="false" ht="11.25" hidden="false" customHeight="false" outlineLevel="0" collapsed="false">
      <c r="A98" s="0" t="s">
        <v>188</v>
      </c>
      <c r="B98" s="28" t="e">
        <f aca="false">-MIN(0,B65)-MIN(0,B75)-MIN(0,B82)-MIN(0,B89)</f>
        <v>#NAME?</v>
      </c>
    </row>
    <row r="99" customFormat="false" ht="11.25" hidden="false" customHeight="false" outlineLevel="0" collapsed="false">
      <c r="A99" s="0" t="s">
        <v>189</v>
      </c>
      <c r="B99" s="28" t="e">
        <f aca="false">MIN(B98,B91)</f>
        <v>#NAME?</v>
      </c>
    </row>
    <row r="100" customFormat="false" ht="11.25" hidden="false" customHeight="false" outlineLevel="0" collapsed="false">
      <c r="A100" s="0" t="s">
        <v>190</v>
      </c>
      <c r="B100" s="42" t="e">
        <f aca="false">B91-B99</f>
        <v>#NAME?</v>
      </c>
    </row>
    <row r="102" customFormat="false" ht="11.25" hidden="false" customHeight="false" outlineLevel="0" collapsed="false">
      <c r="A102" s="0" t="s">
        <v>191</v>
      </c>
      <c r="B102" s="42" t="e">
        <f aca="false">B94-B100</f>
        <v>#NAME?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9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26" activeCellId="0" sqref="I26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4.99"/>
    <col collapsed="false" customWidth="true" hidden="false" outlineLevel="0" max="2" min="2" style="0" width="12.49"/>
    <col collapsed="false" customWidth="true" hidden="false" outlineLevel="0" max="3" min="3" style="0" width="12.82"/>
    <col collapsed="false" customWidth="true" hidden="false" outlineLevel="0" max="4" min="4" style="0" width="7.82"/>
    <col collapsed="false" customWidth="true" hidden="false" outlineLevel="0" max="5" min="5" style="0" width="14.16"/>
    <col collapsed="false" customWidth="true" hidden="false" outlineLevel="0" max="6" min="6" style="0" width="12.82"/>
    <col collapsed="false" customWidth="true" hidden="false" outlineLevel="0" max="7" min="7" style="0" width="12.33"/>
    <col collapsed="false" customWidth="true" hidden="false" outlineLevel="0" max="8" min="8" style="0" width="15.33"/>
    <col collapsed="false" customWidth="true" hidden="false" outlineLevel="0" max="9" min="9" style="0" width="12.82"/>
    <col collapsed="false" customWidth="true" hidden="false" outlineLevel="0" max="10" min="10" style="0" width="4.5"/>
    <col collapsed="false" customWidth="true" hidden="false" outlineLevel="0" max="11" min="11" style="0" width="8.16"/>
    <col collapsed="false" customWidth="true" hidden="false" outlineLevel="0" max="12" min="12" style="0" width="7.82"/>
    <col collapsed="false" customWidth="true" hidden="false" outlineLevel="0" max="13" min="13" style="0" width="14.99"/>
    <col collapsed="false" customWidth="true" hidden="false" outlineLevel="0" max="14" min="14" style="0" width="12.99"/>
  </cols>
  <sheetData>
    <row r="2" customFormat="false" ht="26.25" hidden="false" customHeight="false" outlineLevel="0" collapsed="false">
      <c r="A2" s="43" t="s">
        <v>192</v>
      </c>
      <c r="B2" s="43" t="s">
        <v>193</v>
      </c>
      <c r="C2" s="43" t="s">
        <v>97</v>
      </c>
      <c r="D2" s="43"/>
      <c r="E2" s="44" t="s">
        <v>194</v>
      </c>
      <c r="F2" s="43" t="s">
        <v>195</v>
      </c>
      <c r="G2" s="43"/>
      <c r="H2" s="1" t="s">
        <v>196</v>
      </c>
      <c r="I2" s="1" t="s">
        <v>197</v>
      </c>
      <c r="J2" s="0" t="s">
        <v>47</v>
      </c>
      <c r="K2" s="0" t="s">
        <v>198</v>
      </c>
      <c r="L2" s="0" t="s">
        <v>55</v>
      </c>
      <c r="M2" s="1" t="s">
        <v>199</v>
      </c>
      <c r="N2" s="0" t="s">
        <v>200</v>
      </c>
    </row>
    <row r="3" customFormat="false" ht="11.25" hidden="false" customHeight="false" outlineLevel="0" collapsed="false">
      <c r="A3" s="0" t="s">
        <v>36</v>
      </c>
      <c r="B3" s="45" t="s">
        <v>201</v>
      </c>
      <c r="C3" s="30" t="n">
        <v>3739175</v>
      </c>
      <c r="D3" s="30" t="s">
        <v>202</v>
      </c>
      <c r="E3" s="46" t="n">
        <v>70.5</v>
      </c>
      <c r="F3" s="47"/>
      <c r="G3" s="47"/>
      <c r="H3" s="48"/>
      <c r="I3" s="48"/>
      <c r="J3" s="49"/>
      <c r="K3" s="49"/>
      <c r="L3" s="49"/>
      <c r="N3" s="48"/>
    </row>
    <row r="4" customFormat="false" ht="11.25" hidden="false" customHeight="false" outlineLevel="0" collapsed="false">
      <c r="A4" s="0" t="s">
        <v>203</v>
      </c>
      <c r="B4" s="45" t="s">
        <v>204</v>
      </c>
      <c r="C4" s="30" t="n">
        <v>3876755</v>
      </c>
      <c r="D4" s="30" t="s">
        <v>205</v>
      </c>
      <c r="E4" s="46" t="n">
        <v>70.5</v>
      </c>
      <c r="F4" s="47"/>
      <c r="G4" s="47"/>
    </row>
    <row r="5" customFormat="false" ht="11.25" hidden="false" customHeight="false" outlineLevel="0" collapsed="false">
      <c r="A5" s="0" t="s">
        <v>206</v>
      </c>
      <c r="B5" s="45"/>
      <c r="C5" s="30"/>
      <c r="D5" s="30"/>
      <c r="E5" s="46"/>
      <c r="F5" s="47"/>
      <c r="G5" s="47"/>
    </row>
    <row r="6" customFormat="false" ht="11.25" hidden="false" customHeight="false" outlineLevel="0" collapsed="false">
      <c r="A6" s="0" t="s">
        <v>207</v>
      </c>
      <c r="B6" s="45"/>
      <c r="C6" s="30"/>
      <c r="D6" s="30"/>
      <c r="E6" s="46"/>
      <c r="F6" s="47"/>
      <c r="G6" s="47"/>
    </row>
    <row r="7" customFormat="false" ht="11.25" hidden="false" customHeight="false" outlineLevel="0" collapsed="false">
      <c r="A7" s="0" t="s">
        <v>208</v>
      </c>
      <c r="B7" s="45"/>
      <c r="C7" s="30"/>
      <c r="D7" s="30"/>
      <c r="E7" s="46"/>
      <c r="F7" s="50"/>
      <c r="G7" s="50"/>
    </row>
    <row r="8" customFormat="false" ht="12.75" hidden="false" customHeight="false" outlineLevel="0" collapsed="false">
      <c r="A8" s="51" t="s">
        <v>209</v>
      </c>
      <c r="B8" s="52"/>
      <c r="C8" s="30"/>
      <c r="D8" s="30"/>
      <c r="E8" s="46"/>
      <c r="F8" s="47"/>
      <c r="G8" s="47"/>
    </row>
    <row r="9" customFormat="false" ht="12.75" hidden="false" customHeight="false" outlineLevel="0" collapsed="false">
      <c r="A9" s="51"/>
      <c r="B9" s="52"/>
      <c r="C9" s="30"/>
      <c r="D9" s="30"/>
      <c r="E9" s="46"/>
      <c r="F9" s="47"/>
      <c r="G9" s="47"/>
    </row>
    <row r="10" customFormat="false" ht="12.75" hidden="false" customHeight="false" outlineLevel="0" collapsed="false">
      <c r="A10" s="53" t="s">
        <v>210</v>
      </c>
      <c r="B10" s="52"/>
      <c r="C10" s="30"/>
      <c r="D10" s="30"/>
      <c r="E10" s="46"/>
      <c r="F10" s="47"/>
      <c r="G10" s="47"/>
    </row>
    <row r="11" customFormat="false" ht="12.75" hidden="false" customHeight="false" outlineLevel="0" collapsed="false">
      <c r="A11" s="51"/>
      <c r="B11" s="52"/>
      <c r="C11" s="54" t="s">
        <v>211</v>
      </c>
      <c r="D11" s="30"/>
      <c r="E11" s="46"/>
      <c r="F11" s="47"/>
      <c r="G11" s="47"/>
    </row>
    <row r="12" customFormat="false" ht="12.75" hidden="false" customHeight="false" outlineLevel="0" collapsed="false">
      <c r="A12" s="51"/>
      <c r="B12" s="52"/>
      <c r="C12" s="54" t="s">
        <v>212</v>
      </c>
      <c r="D12" s="30"/>
      <c r="E12" s="46"/>
      <c r="F12" s="47"/>
      <c r="G12" s="47"/>
    </row>
    <row r="13" customFormat="false" ht="12.75" hidden="false" customHeight="false" outlineLevel="0" collapsed="false">
      <c r="A13" s="55" t="s">
        <v>213</v>
      </c>
      <c r="B13" s="45"/>
      <c r="C13" s="1" t="s">
        <v>214</v>
      </c>
      <c r="E13" s="56" t="s">
        <v>215</v>
      </c>
    </row>
    <row r="14" customFormat="false" ht="11.25" hidden="false" customHeight="false" outlineLevel="0" collapsed="false">
      <c r="A14" s="0" t="s">
        <v>216</v>
      </c>
      <c r="B14" s="45" t="s">
        <v>217</v>
      </c>
      <c r="C14" s="30" t="n">
        <f aca="false">78000*(1+0.3612/0.6)</f>
        <v>124956</v>
      </c>
      <c r="D14" s="45" t="s">
        <v>218</v>
      </c>
      <c r="E14" s="46" t="n">
        <v>1.17868389193476</v>
      </c>
      <c r="F14" s="57" t="n">
        <v>16.25</v>
      </c>
      <c r="H14" s="41" t="n">
        <f aca="false">C14*E14</f>
        <v>147283.6244006</v>
      </c>
      <c r="I14" s="41" t="n">
        <f aca="false">C14*F14</f>
        <v>2030535</v>
      </c>
      <c r="M14" s="58" t="n">
        <f aca="false">+I14-H14</f>
        <v>1883251.3755994</v>
      </c>
    </row>
    <row r="15" customFormat="false" ht="11.25" hidden="false" customHeight="false" outlineLevel="0" collapsed="false">
      <c r="A15" s="0" t="s">
        <v>219</v>
      </c>
      <c r="B15" s="45" t="s">
        <v>217</v>
      </c>
      <c r="C15" s="30" t="n">
        <f aca="false">1276383-255276</f>
        <v>1021107</v>
      </c>
      <c r="D15" s="45" t="s">
        <v>218</v>
      </c>
      <c r="E15" s="46" t="n">
        <v>53.000000195866</v>
      </c>
      <c r="F15" s="57" t="n">
        <v>22.875</v>
      </c>
      <c r="H15" s="41" t="n">
        <f aca="false">C15*E15</f>
        <v>54118671.2000001</v>
      </c>
      <c r="I15" s="41" t="n">
        <f aca="false">C15*F15</f>
        <v>23357822.625</v>
      </c>
      <c r="M15" s="58" t="n">
        <f aca="false">+I15-H15</f>
        <v>-30760848.5750001</v>
      </c>
    </row>
    <row r="16" customFormat="false" ht="11.25" hidden="false" customHeight="false" outlineLevel="0" collapsed="false">
      <c r="A16" s="0" t="s">
        <v>220</v>
      </c>
      <c r="B16" s="45" t="s">
        <v>217</v>
      </c>
      <c r="C16" s="30" t="n">
        <f aca="false">1093426-1000</f>
        <v>1092426</v>
      </c>
      <c r="D16" s="45" t="s">
        <v>218</v>
      </c>
      <c r="E16" s="46" t="n">
        <v>162.5</v>
      </c>
      <c r="F16" s="59" t="n">
        <v>32.9375</v>
      </c>
      <c r="H16" s="41" t="n">
        <f aca="false">C16*E16</f>
        <v>177519225</v>
      </c>
      <c r="I16" s="41" t="n">
        <f aca="false">C16*F16</f>
        <v>35981781.375</v>
      </c>
      <c r="M16" s="58" t="n">
        <f aca="false">+I16-H16</f>
        <v>-141537443.625</v>
      </c>
    </row>
    <row r="17" customFormat="false" ht="11.25" hidden="false" customHeight="false" outlineLevel="0" collapsed="false">
      <c r="A17" s="0" t="s">
        <v>221</v>
      </c>
      <c r="B17" s="45" t="s">
        <v>217</v>
      </c>
      <c r="C17" s="30" t="n">
        <v>156250</v>
      </c>
      <c r="D17" s="45" t="s">
        <v>218</v>
      </c>
      <c r="E17" s="46" t="n">
        <v>4.19540251455472</v>
      </c>
      <c r="F17" s="0" t="n">
        <v>10</v>
      </c>
      <c r="H17" s="41" t="n">
        <f aca="false">C17*E17</f>
        <v>655531.642899175</v>
      </c>
      <c r="I17" s="41" t="n">
        <f aca="false">C17*F17</f>
        <v>1562500</v>
      </c>
      <c r="M17" s="58" t="n">
        <f aca="false">+I17-H17</f>
        <v>906968.357100825</v>
      </c>
    </row>
    <row r="18" customFormat="false" ht="11.25" hidden="false" customHeight="false" outlineLevel="0" collapsed="false">
      <c r="A18" s="0" t="s">
        <v>222</v>
      </c>
      <c r="B18" s="45" t="s">
        <v>217</v>
      </c>
      <c r="C18" s="30" t="n">
        <v>1339286</v>
      </c>
      <c r="D18" s="45" t="s">
        <v>218</v>
      </c>
      <c r="E18" s="46" t="n">
        <v>0</v>
      </c>
      <c r="F18" s="57" t="n">
        <v>14.75</v>
      </c>
      <c r="H18" s="41" t="n">
        <f aca="false">C18*E18</f>
        <v>0</v>
      </c>
      <c r="I18" s="41" t="n">
        <f aca="false">C18*F18</f>
        <v>19754468.5</v>
      </c>
      <c r="M18" s="58" t="n">
        <f aca="false">+I18-H18</f>
        <v>19754468.5</v>
      </c>
    </row>
    <row r="19" customFormat="false" ht="11.25" hidden="false" customHeight="false" outlineLevel="0" collapsed="false">
      <c r="A19" s="0" t="s">
        <v>223</v>
      </c>
      <c r="B19" s="45" t="s">
        <v>217</v>
      </c>
      <c r="C19" s="30" t="n">
        <v>59891</v>
      </c>
      <c r="D19" s="45" t="s">
        <v>218</v>
      </c>
      <c r="E19" s="46" t="n">
        <v>5.875</v>
      </c>
      <c r="F19" s="57" t="n">
        <v>5.125</v>
      </c>
      <c r="H19" s="41" t="n">
        <f aca="false">C19*E19</f>
        <v>351859.625</v>
      </c>
      <c r="I19" s="41" t="n">
        <f aca="false">C19*F19</f>
        <v>306941.375</v>
      </c>
      <c r="M19" s="58" t="n">
        <f aca="false">+I19-H19</f>
        <v>-44918.25</v>
      </c>
    </row>
    <row r="20" customFormat="false" ht="11.25" hidden="false" customHeight="false" outlineLevel="0" collapsed="false">
      <c r="A20" s="0" t="s">
        <v>224</v>
      </c>
      <c r="B20" s="45" t="s">
        <v>217</v>
      </c>
      <c r="C20" s="30" t="n">
        <v>0</v>
      </c>
      <c r="D20" s="45" t="s">
        <v>218</v>
      </c>
      <c r="E20" s="46" t="n">
        <v>1.68395</v>
      </c>
      <c r="F20" s="0" t="n">
        <v>2.75</v>
      </c>
      <c r="H20" s="41" t="n">
        <f aca="false">C20*E20</f>
        <v>0</v>
      </c>
      <c r="I20" s="41" t="n">
        <f aca="false">C20*F20</f>
        <v>0</v>
      </c>
      <c r="M20" s="58" t="n">
        <f aca="false">+I20-H20</f>
        <v>0</v>
      </c>
    </row>
    <row r="21" customFormat="false" ht="11.25" hidden="false" customHeight="false" outlineLevel="0" collapsed="false">
      <c r="A21" s="0" t="s">
        <v>225</v>
      </c>
      <c r="B21" s="45" t="s">
        <v>217</v>
      </c>
      <c r="C21" s="30" t="n">
        <f aca="false">10134.6*(1+0.3612/0.6)</f>
        <v>16235.6292</v>
      </c>
      <c r="D21" s="45" t="s">
        <v>218</v>
      </c>
      <c r="E21" s="46" t="n">
        <v>14.0397655556213</v>
      </c>
      <c r="F21" s="57" t="n">
        <v>7.25</v>
      </c>
      <c r="H21" s="41" t="n">
        <f aca="false">C21*E21</f>
        <v>227944.427616</v>
      </c>
      <c r="I21" s="41" t="n">
        <f aca="false">C21*F21</f>
        <v>117708.3117</v>
      </c>
      <c r="M21" s="58" t="n">
        <f aca="false">+I21-H21</f>
        <v>-110236.115916</v>
      </c>
    </row>
    <row r="22" customFormat="false" ht="11.25" hidden="false" customHeight="false" outlineLevel="0" collapsed="false">
      <c r="A22" s="0" t="s">
        <v>226</v>
      </c>
      <c r="B22" s="45" t="s">
        <v>217</v>
      </c>
      <c r="C22" s="30" t="n">
        <v>0</v>
      </c>
      <c r="D22" s="45" t="s">
        <v>218</v>
      </c>
      <c r="E22" s="46" t="n">
        <v>4.06588235294118</v>
      </c>
      <c r="H22" s="41" t="n">
        <f aca="false">C22*E22</f>
        <v>0</v>
      </c>
      <c r="I22" s="41" t="n">
        <f aca="false">C22*F22</f>
        <v>0</v>
      </c>
      <c r="M22" s="58" t="n">
        <f aca="false">+I22-H22</f>
        <v>0</v>
      </c>
    </row>
    <row r="23" customFormat="false" ht="11.25" hidden="false" customHeight="false" outlineLevel="0" collapsed="false">
      <c r="A23" s="0" t="s">
        <v>227</v>
      </c>
      <c r="B23" s="45" t="s">
        <v>217</v>
      </c>
      <c r="C23" s="30" t="n">
        <v>0</v>
      </c>
      <c r="D23" s="45" t="s">
        <v>218</v>
      </c>
      <c r="E23" s="46" t="n">
        <v>7.625</v>
      </c>
      <c r="F23" s="0" t="n">
        <v>9.6</v>
      </c>
      <c r="H23" s="41" t="n">
        <f aca="false">C23*E23</f>
        <v>0</v>
      </c>
      <c r="I23" s="41" t="n">
        <f aca="false">C23*F23</f>
        <v>0</v>
      </c>
      <c r="M23" s="58" t="n">
        <f aca="false">+I23-H23</f>
        <v>0</v>
      </c>
    </row>
    <row r="24" customFormat="false" ht="11.25" hidden="false" customHeight="false" outlineLevel="0" collapsed="false">
      <c r="A24" s="1" t="s">
        <v>228</v>
      </c>
      <c r="E24" s="30"/>
      <c r="H24" s="60" t="n">
        <f aca="false">SUM(H14:H23)</f>
        <v>233020515.519916</v>
      </c>
      <c r="I24" s="60" t="n">
        <f aca="false">SUM(I14:I23)</f>
        <v>83111757.1867</v>
      </c>
      <c r="J24" s="61"/>
      <c r="K24" s="61"/>
      <c r="L24" s="61"/>
      <c r="M24" s="62" t="n">
        <f aca="false">+I24-H24</f>
        <v>-149908758.333216</v>
      </c>
      <c r="N24" s="0" t="s">
        <v>229</v>
      </c>
    </row>
    <row r="25" customFormat="false" ht="11.25" hidden="false" customHeight="false" outlineLevel="0" collapsed="false">
      <c r="F25" s="1" t="s">
        <v>230</v>
      </c>
      <c r="H25" s="1" t="s">
        <v>231</v>
      </c>
      <c r="I25" s="1" t="s">
        <v>232</v>
      </c>
      <c r="J25" s="2"/>
      <c r="K25" s="2"/>
      <c r="L25" s="2"/>
      <c r="M25" s="63" t="n">
        <f aca="false">+M24+M26</f>
        <v>-205800588.733232</v>
      </c>
      <c r="N25" s="0" t="s">
        <v>233</v>
      </c>
    </row>
    <row r="26" customFormat="false" ht="22.5" hidden="false" customHeight="false" outlineLevel="0" collapsed="false">
      <c r="A26" s="55" t="s">
        <v>234</v>
      </c>
      <c r="H26" s="64" t="n">
        <f aca="false">+SUM(H27:H57)</f>
        <v>242722063</v>
      </c>
      <c r="I26" s="64" t="n">
        <f aca="false">+SUM(I27:I57)</f>
        <v>186830232.599984</v>
      </c>
      <c r="J26" s="65"/>
      <c r="K26" s="65"/>
      <c r="L26" s="65"/>
      <c r="M26" s="64" t="n">
        <f aca="false">+SUM(M27:M57)</f>
        <v>-55891830.4000158</v>
      </c>
      <c r="N26" s="66" t="s">
        <v>235</v>
      </c>
    </row>
    <row r="27" customFormat="false" ht="11.25" hidden="false" customHeight="false" outlineLevel="0" collapsed="false">
      <c r="A27" s="67" t="s">
        <v>236</v>
      </c>
      <c r="B27" s="45" t="s">
        <v>217</v>
      </c>
      <c r="C27" s="68"/>
      <c r="D27" s="45" t="s">
        <v>218</v>
      </c>
      <c r="E27" s="46"/>
      <c r="F27" s="68" t="n">
        <v>1250000</v>
      </c>
      <c r="G27" s="68" t="s">
        <v>237</v>
      </c>
      <c r="H27" s="30" t="n">
        <f aca="false">+F27</f>
        <v>1250000</v>
      </c>
      <c r="I27" s="68" t="n">
        <v>1250000</v>
      </c>
      <c r="K27" s="68"/>
      <c r="L27" s="68"/>
      <c r="M27" s="58" t="n">
        <f aca="false">+I27-H27</f>
        <v>0</v>
      </c>
      <c r="N27" s="68" t="n">
        <v>0</v>
      </c>
    </row>
    <row r="28" customFormat="false" ht="11.25" hidden="false" customHeight="false" outlineLevel="0" collapsed="false">
      <c r="A28" s="69" t="s">
        <v>238</v>
      </c>
      <c r="B28" s="45" t="s">
        <v>217</v>
      </c>
      <c r="C28" s="68"/>
      <c r="D28" s="45" t="s">
        <v>218</v>
      </c>
      <c r="E28" s="46"/>
      <c r="F28" s="68" t="n">
        <v>4563600</v>
      </c>
      <c r="G28" s="68" t="s">
        <v>237</v>
      </c>
      <c r="H28" s="30" t="n">
        <f aca="false">+F28</f>
        <v>4563600</v>
      </c>
      <c r="I28" s="68" t="n">
        <v>4375178.69</v>
      </c>
      <c r="K28" s="68"/>
      <c r="L28" s="68"/>
      <c r="M28" s="58" t="n">
        <f aca="false">+I28-H28</f>
        <v>-188421.31</v>
      </c>
      <c r="N28" s="68" t="n">
        <v>-188421.31</v>
      </c>
    </row>
    <row r="29" customFormat="false" ht="11.25" hidden="false" customHeight="false" outlineLevel="0" collapsed="false">
      <c r="A29" s="69" t="s">
        <v>239</v>
      </c>
      <c r="B29" s="45" t="s">
        <v>217</v>
      </c>
      <c r="C29" s="68"/>
      <c r="D29" s="45" t="s">
        <v>218</v>
      </c>
      <c r="E29" s="46"/>
      <c r="F29" s="68" t="n">
        <v>2136334</v>
      </c>
      <c r="G29" s="68" t="s">
        <v>240</v>
      </c>
      <c r="H29" s="30" t="n">
        <f aca="false">+F29</f>
        <v>2136334</v>
      </c>
      <c r="I29" s="68" t="n">
        <v>1247943.5</v>
      </c>
      <c r="K29" s="68"/>
      <c r="L29" s="68"/>
      <c r="M29" s="58" t="n">
        <f aca="false">+I29-H29</f>
        <v>-888390.5</v>
      </c>
      <c r="N29" s="68" t="n">
        <v>-888390.5</v>
      </c>
    </row>
    <row r="30" customFormat="false" ht="11.25" hidden="false" customHeight="false" outlineLevel="0" collapsed="false">
      <c r="A30" s="69" t="s">
        <v>241</v>
      </c>
      <c r="B30" s="45" t="s">
        <v>217</v>
      </c>
      <c r="C30" s="68"/>
      <c r="D30" s="45" t="s">
        <v>218</v>
      </c>
      <c r="E30" s="46" t="s">
        <v>242</v>
      </c>
      <c r="F30" s="68" t="n">
        <v>429975</v>
      </c>
      <c r="G30" s="68" t="s">
        <v>237</v>
      </c>
      <c r="H30" s="30" t="n">
        <v>0</v>
      </c>
      <c r="I30" s="68" t="n">
        <v>0</v>
      </c>
      <c r="K30" s="68"/>
      <c r="L30" s="68"/>
      <c r="M30" s="58" t="n">
        <f aca="false">+I30-H30</f>
        <v>0</v>
      </c>
      <c r="N30" s="68" t="n">
        <v>0</v>
      </c>
    </row>
    <row r="31" customFormat="false" ht="11.25" hidden="false" customHeight="false" outlineLevel="0" collapsed="false">
      <c r="A31" s="69" t="s">
        <v>243</v>
      </c>
      <c r="B31" s="45" t="s">
        <v>217</v>
      </c>
      <c r="C31" s="68"/>
      <c r="D31" s="45" t="s">
        <v>218</v>
      </c>
      <c r="E31" s="46" t="s">
        <v>242</v>
      </c>
      <c r="F31" s="68" t="n">
        <v>12500000</v>
      </c>
      <c r="G31" s="68" t="s">
        <v>244</v>
      </c>
      <c r="H31" s="30" t="n">
        <v>0</v>
      </c>
      <c r="I31" s="68" t="n">
        <v>0</v>
      </c>
      <c r="K31" s="68"/>
      <c r="L31" s="68"/>
      <c r="M31" s="58" t="n">
        <f aca="false">+I31-H31</f>
        <v>0</v>
      </c>
      <c r="N31" s="68" t="n">
        <v>0</v>
      </c>
    </row>
    <row r="32" customFormat="false" ht="11.25" hidden="false" customHeight="false" outlineLevel="0" collapsed="false">
      <c r="A32" s="69" t="s">
        <v>245</v>
      </c>
      <c r="B32" s="45" t="s">
        <v>217</v>
      </c>
      <c r="C32" s="68"/>
      <c r="D32" s="45" t="s">
        <v>218</v>
      </c>
      <c r="E32" s="46"/>
      <c r="F32" s="68" t="n">
        <v>0</v>
      </c>
      <c r="G32" s="68"/>
      <c r="H32" s="30" t="n">
        <f aca="false">+F32</f>
        <v>0</v>
      </c>
      <c r="I32" s="68" t="n">
        <v>0</v>
      </c>
      <c r="K32" s="68"/>
      <c r="L32" s="68"/>
      <c r="M32" s="58" t="n">
        <f aca="false">+I32-H32</f>
        <v>0</v>
      </c>
      <c r="N32" s="68" t="n">
        <v>0</v>
      </c>
    </row>
    <row r="33" customFormat="false" ht="11.25" hidden="false" customHeight="false" outlineLevel="0" collapsed="false">
      <c r="A33" s="69" t="s">
        <v>246</v>
      </c>
      <c r="B33" s="45" t="s">
        <v>217</v>
      </c>
      <c r="C33" s="68"/>
      <c r="D33" s="45" t="s">
        <v>218</v>
      </c>
      <c r="E33" s="46"/>
      <c r="F33" s="68" t="n">
        <v>1663000</v>
      </c>
      <c r="G33" s="68" t="s">
        <v>244</v>
      </c>
      <c r="H33" s="30" t="n">
        <f aca="false">+F33</f>
        <v>1663000</v>
      </c>
      <c r="I33" s="68" t="n">
        <v>1663000</v>
      </c>
      <c r="K33" s="68"/>
      <c r="L33" s="68"/>
      <c r="M33" s="58" t="n">
        <f aca="false">+I33-H33</f>
        <v>0</v>
      </c>
      <c r="N33" s="68" t="n">
        <v>0</v>
      </c>
    </row>
    <row r="34" customFormat="false" ht="11.25" hidden="false" customHeight="false" outlineLevel="0" collapsed="false">
      <c r="A34" s="0" t="s">
        <v>247</v>
      </c>
      <c r="B34" s="45" t="s">
        <v>217</v>
      </c>
      <c r="C34" s="68"/>
      <c r="D34" s="45" t="s">
        <v>218</v>
      </c>
      <c r="E34" s="46"/>
      <c r="F34" s="68" t="n">
        <v>12878050</v>
      </c>
      <c r="G34" s="68" t="s">
        <v>244</v>
      </c>
      <c r="H34" s="30" t="n">
        <f aca="false">+F34</f>
        <v>12878050</v>
      </c>
      <c r="I34" s="68" t="n">
        <v>0</v>
      </c>
      <c r="K34" s="68"/>
      <c r="L34" s="68"/>
      <c r="M34" s="58" t="n">
        <f aca="false">+I34-H34</f>
        <v>-12878050</v>
      </c>
      <c r="N34" s="68" t="n">
        <v>-12878050</v>
      </c>
    </row>
    <row r="35" customFormat="false" ht="11.25" hidden="false" customHeight="false" outlineLevel="0" collapsed="false">
      <c r="A35" s="69" t="s">
        <v>248</v>
      </c>
      <c r="B35" s="45" t="s">
        <v>217</v>
      </c>
      <c r="C35" s="68"/>
      <c r="D35" s="45" t="s">
        <v>218</v>
      </c>
      <c r="E35" s="46" t="s">
        <v>242</v>
      </c>
      <c r="F35" s="68" t="n">
        <v>1012500</v>
      </c>
      <c r="G35" s="68" t="s">
        <v>237</v>
      </c>
      <c r="H35" s="30" t="n">
        <v>0</v>
      </c>
      <c r="I35" s="68" t="n">
        <v>0</v>
      </c>
      <c r="K35" s="68"/>
      <c r="L35" s="68"/>
      <c r="M35" s="58" t="n">
        <f aca="false">+I35-H35</f>
        <v>0</v>
      </c>
      <c r="N35" s="68" t="n">
        <v>0</v>
      </c>
    </row>
    <row r="36" customFormat="false" ht="11.25" hidden="false" customHeight="false" outlineLevel="0" collapsed="false">
      <c r="A36" s="69" t="s">
        <v>249</v>
      </c>
      <c r="B36" s="45" t="s">
        <v>217</v>
      </c>
      <c r="C36" s="70" t="n">
        <v>172031</v>
      </c>
      <c r="D36" s="45" t="s">
        <v>218</v>
      </c>
      <c r="E36" s="46" t="n">
        <v>136.649295766461</v>
      </c>
      <c r="F36" s="68" t="n">
        <v>23507915</v>
      </c>
      <c r="G36" s="68" t="s">
        <v>237</v>
      </c>
      <c r="H36" s="30" t="n">
        <f aca="false">+F36</f>
        <v>23507915</v>
      </c>
      <c r="I36" s="68" t="n">
        <v>2.83122062683105E-007</v>
      </c>
      <c r="K36" s="68"/>
      <c r="L36" s="68"/>
      <c r="M36" s="58" t="n">
        <f aca="false">+I36-H36</f>
        <v>-23507914.9999997</v>
      </c>
      <c r="N36" s="68" t="n">
        <v>-23507914.9999997</v>
      </c>
    </row>
    <row r="37" customFormat="false" ht="11.25" hidden="false" customHeight="false" outlineLevel="0" collapsed="false">
      <c r="A37" s="69" t="s">
        <v>250</v>
      </c>
      <c r="B37" s="45" t="s">
        <v>217</v>
      </c>
      <c r="C37" s="68"/>
      <c r="D37" s="45" t="s">
        <v>218</v>
      </c>
      <c r="E37" s="46"/>
      <c r="F37" s="68" t="n">
        <v>10372212</v>
      </c>
      <c r="G37" s="68" t="s">
        <v>237</v>
      </c>
      <c r="H37" s="30" t="n">
        <f aca="false">+F37</f>
        <v>10372212</v>
      </c>
      <c r="I37" s="68" t="n">
        <v>0</v>
      </c>
      <c r="K37" s="68"/>
      <c r="L37" s="68"/>
      <c r="M37" s="58" t="n">
        <f aca="false">+I37-H37</f>
        <v>-10372212</v>
      </c>
      <c r="N37" s="68" t="n">
        <v>-10372212</v>
      </c>
    </row>
    <row r="38" customFormat="false" ht="11.25" hidden="false" customHeight="false" outlineLevel="0" collapsed="false">
      <c r="A38" s="69" t="s">
        <v>251</v>
      </c>
      <c r="B38" s="45" t="s">
        <v>217</v>
      </c>
      <c r="C38" s="68"/>
      <c r="D38" s="45" t="s">
        <v>218</v>
      </c>
      <c r="E38" s="46"/>
      <c r="F38" s="68" t="n">
        <v>1302980</v>
      </c>
      <c r="G38" s="68" t="s">
        <v>244</v>
      </c>
      <c r="H38" s="30" t="n">
        <f aca="false">+F38</f>
        <v>1302980</v>
      </c>
      <c r="I38" s="68" t="n">
        <v>137317.57</v>
      </c>
      <c r="K38" s="68"/>
      <c r="L38" s="68"/>
      <c r="M38" s="58" t="n">
        <f aca="false">+I38-H38</f>
        <v>-1165662.43</v>
      </c>
      <c r="N38" s="68" t="n">
        <v>-1165662.43</v>
      </c>
    </row>
    <row r="39" customFormat="false" ht="11.25" hidden="false" customHeight="false" outlineLevel="0" collapsed="false">
      <c r="A39" s="69" t="s">
        <v>252</v>
      </c>
      <c r="B39" s="45" t="s">
        <v>217</v>
      </c>
      <c r="C39" s="68"/>
      <c r="D39" s="45" t="s">
        <v>218</v>
      </c>
      <c r="E39" s="46"/>
      <c r="F39" s="68" t="n">
        <v>3486752</v>
      </c>
      <c r="G39" s="68" t="s">
        <v>253</v>
      </c>
      <c r="H39" s="30" t="n">
        <f aca="false">+F39</f>
        <v>3486752</v>
      </c>
      <c r="I39" s="68" t="n">
        <v>0</v>
      </c>
      <c r="K39" s="68"/>
      <c r="L39" s="68"/>
      <c r="M39" s="58" t="n">
        <f aca="false">+I39-H39</f>
        <v>-3486752</v>
      </c>
      <c r="N39" s="68" t="n">
        <v>-3486752</v>
      </c>
    </row>
    <row r="40" customFormat="false" ht="11.25" hidden="false" customHeight="false" outlineLevel="0" collapsed="false">
      <c r="A40" s="69" t="s">
        <v>254</v>
      </c>
      <c r="B40" s="45" t="s">
        <v>217</v>
      </c>
      <c r="C40" s="68"/>
      <c r="D40" s="45" t="s">
        <v>218</v>
      </c>
      <c r="E40" s="46"/>
      <c r="F40" s="68" t="n">
        <v>429210</v>
      </c>
      <c r="G40" s="68" t="s">
        <v>244</v>
      </c>
      <c r="H40" s="30" t="n">
        <f aca="false">+F40</f>
        <v>429210</v>
      </c>
      <c r="I40" s="68" t="n">
        <v>1000000</v>
      </c>
      <c r="K40" s="68"/>
      <c r="L40" s="68"/>
      <c r="M40" s="58" t="n">
        <f aca="false">+I40-H40</f>
        <v>570790</v>
      </c>
      <c r="N40" s="68" t="n">
        <v>570790</v>
      </c>
    </row>
    <row r="41" customFormat="false" ht="11.25" hidden="false" customHeight="false" outlineLevel="0" collapsed="false">
      <c r="A41" s="69" t="s">
        <v>255</v>
      </c>
      <c r="B41" s="45" t="s">
        <v>217</v>
      </c>
      <c r="C41" s="68"/>
      <c r="D41" s="45" t="s">
        <v>218</v>
      </c>
      <c r="E41" s="46"/>
      <c r="F41" s="68" t="n">
        <v>470790</v>
      </c>
      <c r="G41" s="68" t="s">
        <v>244</v>
      </c>
      <c r="H41" s="30" t="n">
        <f aca="false">+F41</f>
        <v>470790</v>
      </c>
      <c r="I41" s="68" t="n">
        <v>0</v>
      </c>
      <c r="K41" s="68"/>
      <c r="L41" s="68"/>
      <c r="M41" s="58" t="n">
        <f aca="false">+I41-H41</f>
        <v>-470790</v>
      </c>
      <c r="N41" s="68" t="n">
        <v>-470790</v>
      </c>
    </row>
    <row r="42" customFormat="false" ht="11.25" hidden="false" customHeight="false" outlineLevel="0" collapsed="false">
      <c r="A42" s="69" t="s">
        <v>256</v>
      </c>
      <c r="B42" s="45" t="s">
        <v>217</v>
      </c>
      <c r="C42" s="68"/>
      <c r="D42" s="45" t="s">
        <v>218</v>
      </c>
      <c r="E42" s="46"/>
      <c r="F42" s="68" t="n">
        <v>27082500</v>
      </c>
      <c r="G42" s="68" t="s">
        <v>253</v>
      </c>
      <c r="H42" s="30" t="n">
        <f aca="false">+F42</f>
        <v>27082500</v>
      </c>
      <c r="I42" s="68" t="n">
        <v>23513434.5</v>
      </c>
      <c r="K42" s="68"/>
      <c r="L42" s="68"/>
      <c r="M42" s="58" t="n">
        <f aca="false">+I42-H42</f>
        <v>-3569065.5</v>
      </c>
      <c r="N42" s="68" t="n">
        <v>-3569065.5</v>
      </c>
    </row>
    <row r="43" customFormat="false" ht="11.25" hidden="false" customHeight="false" outlineLevel="0" collapsed="false">
      <c r="A43" s="69" t="s">
        <v>257</v>
      </c>
      <c r="B43" s="45" t="s">
        <v>217</v>
      </c>
      <c r="C43" s="68"/>
      <c r="D43" s="45" t="s">
        <v>218</v>
      </c>
      <c r="E43" s="46"/>
      <c r="F43" s="68" t="n">
        <v>7121810</v>
      </c>
      <c r="G43" s="68" t="s">
        <v>244</v>
      </c>
      <c r="H43" s="30" t="n">
        <f aca="false">+F43</f>
        <v>7121810</v>
      </c>
      <c r="I43" s="68" t="n">
        <v>7121810</v>
      </c>
      <c r="K43" s="68"/>
      <c r="L43" s="68"/>
      <c r="M43" s="58" t="n">
        <f aca="false">+I43-H43</f>
        <v>0</v>
      </c>
      <c r="N43" s="68" t="n">
        <v>0</v>
      </c>
    </row>
    <row r="44" customFormat="false" ht="11.25" hidden="false" customHeight="false" outlineLevel="0" collapsed="false">
      <c r="A44" s="69" t="s">
        <v>258</v>
      </c>
      <c r="B44" s="45" t="s">
        <v>217</v>
      </c>
      <c r="C44" s="68"/>
      <c r="D44" s="45" t="s">
        <v>218</v>
      </c>
      <c r="E44" s="46"/>
      <c r="F44" s="68" t="n">
        <v>5644007</v>
      </c>
      <c r="G44" s="68" t="s">
        <v>237</v>
      </c>
      <c r="H44" s="30" t="n">
        <f aca="false">+F44</f>
        <v>5644007</v>
      </c>
      <c r="I44" s="68" t="n">
        <v>5644007</v>
      </c>
      <c r="K44" s="68"/>
      <c r="L44" s="68"/>
      <c r="M44" s="58" t="n">
        <f aca="false">+I44-H44</f>
        <v>0</v>
      </c>
      <c r="N44" s="68" t="n">
        <v>0</v>
      </c>
    </row>
    <row r="45" customFormat="false" ht="11.25" hidden="false" customHeight="false" outlineLevel="0" collapsed="false">
      <c r="A45" s="69" t="s">
        <v>259</v>
      </c>
      <c r="B45" s="45" t="s">
        <v>217</v>
      </c>
      <c r="C45" s="68"/>
      <c r="D45" s="45" t="s">
        <v>218</v>
      </c>
      <c r="E45" s="46"/>
      <c r="F45" s="68" t="n">
        <v>20916875</v>
      </c>
      <c r="G45" s="68" t="s">
        <v>237</v>
      </c>
      <c r="H45" s="30" t="n">
        <f aca="false">+F45</f>
        <v>20916875</v>
      </c>
      <c r="I45" s="68" t="n">
        <v>20999559.86</v>
      </c>
      <c r="K45" s="68"/>
      <c r="L45" s="68"/>
      <c r="M45" s="58" t="n">
        <f aca="false">+I45-H45</f>
        <v>82684.8599999994</v>
      </c>
      <c r="N45" s="68" t="n">
        <v>82684.8599999994</v>
      </c>
    </row>
    <row r="46" customFormat="false" ht="11.25" hidden="false" customHeight="false" outlineLevel="0" collapsed="false">
      <c r="A46" s="69" t="s">
        <v>260</v>
      </c>
      <c r="B46" s="45" t="s">
        <v>217</v>
      </c>
      <c r="C46" s="68"/>
      <c r="D46" s="45" t="s">
        <v>218</v>
      </c>
      <c r="E46" s="46"/>
      <c r="F46" s="68" t="n">
        <v>2560525</v>
      </c>
      <c r="G46" s="68" t="s">
        <v>237</v>
      </c>
      <c r="H46" s="30" t="n">
        <f aca="false">+F46</f>
        <v>2560525</v>
      </c>
      <c r="I46" s="68" t="n">
        <v>2560525</v>
      </c>
      <c r="K46" s="68"/>
      <c r="L46" s="68"/>
      <c r="M46" s="58" t="n">
        <f aca="false">+I46-H46</f>
        <v>0</v>
      </c>
      <c r="N46" s="68" t="n">
        <v>0</v>
      </c>
    </row>
    <row r="47" customFormat="false" ht="11.25" hidden="false" customHeight="false" outlineLevel="0" collapsed="false">
      <c r="A47" s="69" t="s">
        <v>261</v>
      </c>
      <c r="B47" s="45" t="s">
        <v>217</v>
      </c>
      <c r="C47" s="68"/>
      <c r="D47" s="45" t="s">
        <v>218</v>
      </c>
      <c r="E47" s="46" t="s">
        <v>242</v>
      </c>
      <c r="F47" s="68" t="n">
        <v>4774950</v>
      </c>
      <c r="G47" s="68" t="s">
        <v>237</v>
      </c>
      <c r="H47" s="30" t="n">
        <v>0</v>
      </c>
      <c r="I47" s="68" t="n">
        <v>0</v>
      </c>
      <c r="K47" s="68"/>
      <c r="L47" s="68"/>
      <c r="M47" s="58" t="n">
        <f aca="false">+I47-H47</f>
        <v>0</v>
      </c>
      <c r="N47" s="68" t="n">
        <v>0</v>
      </c>
    </row>
    <row r="48" customFormat="false" ht="11.25" hidden="false" customHeight="false" outlineLevel="0" collapsed="false">
      <c r="A48" s="69" t="s">
        <v>262</v>
      </c>
      <c r="B48" s="45" t="s">
        <v>217</v>
      </c>
      <c r="C48" s="68"/>
      <c r="D48" s="45" t="s">
        <v>218</v>
      </c>
      <c r="E48" s="46"/>
      <c r="F48" s="68" t="n">
        <v>1822363</v>
      </c>
      <c r="G48" s="68" t="s">
        <v>240</v>
      </c>
      <c r="H48" s="30" t="n">
        <f aca="false">+F48</f>
        <v>1822363</v>
      </c>
      <c r="I48" s="68" t="n">
        <v>2013591.65998389</v>
      </c>
      <c r="K48" s="68"/>
      <c r="L48" s="68"/>
      <c r="M48" s="58" t="n">
        <f aca="false">+I48-H48</f>
        <v>191228.65998389</v>
      </c>
      <c r="N48" s="68" t="n">
        <v>191228.65998389</v>
      </c>
    </row>
    <row r="49" customFormat="false" ht="11.25" hidden="false" customHeight="false" outlineLevel="0" collapsed="false">
      <c r="A49" s="69" t="s">
        <v>263</v>
      </c>
      <c r="B49" s="45" t="s">
        <v>217</v>
      </c>
      <c r="C49" s="68"/>
      <c r="D49" s="45" t="s">
        <v>218</v>
      </c>
      <c r="E49" s="46"/>
      <c r="F49" s="68" t="n">
        <v>1374750</v>
      </c>
      <c r="G49" s="68" t="s">
        <v>253</v>
      </c>
      <c r="H49" s="30" t="n">
        <f aca="false">+F49</f>
        <v>1374750</v>
      </c>
      <c r="I49" s="68" t="n">
        <v>1374750</v>
      </c>
      <c r="K49" s="68"/>
      <c r="L49" s="68"/>
      <c r="M49" s="58" t="n">
        <f aca="false">+I49-H49</f>
        <v>0</v>
      </c>
      <c r="N49" s="68" t="n">
        <v>0</v>
      </c>
    </row>
    <row r="50" customFormat="false" ht="11.25" hidden="false" customHeight="false" outlineLevel="0" collapsed="false">
      <c r="A50" s="69" t="s">
        <v>264</v>
      </c>
      <c r="B50" s="45" t="s">
        <v>217</v>
      </c>
      <c r="C50" s="68"/>
      <c r="D50" s="45" t="s">
        <v>218</v>
      </c>
      <c r="E50" s="46"/>
      <c r="F50" s="68" t="n">
        <v>1803840</v>
      </c>
      <c r="G50" s="68" t="s">
        <v>237</v>
      </c>
      <c r="H50" s="30" t="n">
        <f aca="false">+F50</f>
        <v>1803840</v>
      </c>
      <c r="I50" s="68" t="n">
        <v>1803840</v>
      </c>
      <c r="K50" s="68"/>
      <c r="L50" s="68"/>
      <c r="M50" s="58" t="n">
        <f aca="false">+I50-H50</f>
        <v>0</v>
      </c>
      <c r="N50" s="68" t="n">
        <v>0</v>
      </c>
    </row>
    <row r="51" customFormat="false" ht="11.25" hidden="false" customHeight="false" outlineLevel="0" collapsed="false">
      <c r="A51" s="69" t="s">
        <v>265</v>
      </c>
      <c r="B51" s="45" t="s">
        <v>217</v>
      </c>
      <c r="C51" s="68"/>
      <c r="D51" s="45" t="s">
        <v>218</v>
      </c>
      <c r="E51" s="46"/>
      <c r="F51" s="68" t="n">
        <v>2300803</v>
      </c>
      <c r="G51" s="68" t="s">
        <v>244</v>
      </c>
      <c r="H51" s="30" t="n">
        <f aca="false">+F51</f>
        <v>2300803</v>
      </c>
      <c r="I51" s="68" t="n">
        <v>2300803</v>
      </c>
      <c r="K51" s="68"/>
      <c r="L51" s="68"/>
      <c r="M51" s="58" t="n">
        <f aca="false">+I51-H51</f>
        <v>0</v>
      </c>
      <c r="N51" s="68" t="n">
        <v>0</v>
      </c>
    </row>
    <row r="52" customFormat="false" ht="11.25" hidden="false" customHeight="false" outlineLevel="0" collapsed="false">
      <c r="A52" s="69" t="s">
        <v>266</v>
      </c>
      <c r="B52" s="45" t="s">
        <v>217</v>
      </c>
      <c r="C52" s="68"/>
      <c r="D52" s="45" t="s">
        <v>218</v>
      </c>
      <c r="E52" s="46"/>
      <c r="F52" s="68" t="n">
        <v>7483750</v>
      </c>
      <c r="G52" s="68" t="s">
        <v>237</v>
      </c>
      <c r="H52" s="30" t="n">
        <f aca="false">+F52</f>
        <v>7483750</v>
      </c>
      <c r="I52" s="68" t="n">
        <v>8551988.34</v>
      </c>
      <c r="K52" s="68"/>
      <c r="L52" s="68"/>
      <c r="M52" s="58" t="n">
        <f aca="false">+I52-H52</f>
        <v>1068238.34</v>
      </c>
      <c r="N52" s="68" t="n">
        <v>1068238.34</v>
      </c>
    </row>
    <row r="53" customFormat="false" ht="11.25" hidden="false" customHeight="false" outlineLevel="0" collapsed="false">
      <c r="A53" s="69" t="s">
        <v>267</v>
      </c>
      <c r="B53" s="45" t="s">
        <v>217</v>
      </c>
      <c r="C53" s="68"/>
      <c r="D53" s="45" t="s">
        <v>218</v>
      </c>
      <c r="E53" s="46"/>
      <c r="F53" s="68" t="n">
        <v>2343750</v>
      </c>
      <c r="G53" s="68" t="s">
        <v>237</v>
      </c>
      <c r="H53" s="30" t="n">
        <f aca="false">+F53</f>
        <v>2343750</v>
      </c>
      <c r="I53" s="68" t="n">
        <v>2343750</v>
      </c>
      <c r="K53" s="68"/>
      <c r="L53" s="68"/>
      <c r="M53" s="58" t="n">
        <f aca="false">+I53-H53</f>
        <v>0</v>
      </c>
      <c r="N53" s="68" t="n">
        <v>0</v>
      </c>
    </row>
    <row r="54" customFormat="false" ht="11.25" hidden="false" customHeight="false" outlineLevel="0" collapsed="false">
      <c r="A54" s="0" t="s">
        <v>268</v>
      </c>
      <c r="B54" s="45" t="s">
        <v>217</v>
      </c>
      <c r="C54" s="68"/>
      <c r="D54" s="45" t="s">
        <v>218</v>
      </c>
      <c r="E54" s="46"/>
      <c r="F54" s="68" t="n">
        <v>16316247</v>
      </c>
      <c r="G54" s="68" t="s">
        <v>237</v>
      </c>
      <c r="H54" s="30" t="n">
        <f aca="false">+F54</f>
        <v>16316247</v>
      </c>
      <c r="I54" s="68" t="n">
        <v>16316247</v>
      </c>
      <c r="K54" s="68"/>
      <c r="L54" s="68"/>
      <c r="M54" s="58" t="n">
        <f aca="false">+I54-H54</f>
        <v>0</v>
      </c>
      <c r="N54" s="68" t="n">
        <v>0</v>
      </c>
    </row>
    <row r="55" customFormat="false" ht="11.25" hidden="false" customHeight="false" outlineLevel="0" collapsed="false">
      <c r="A55" s="0" t="s">
        <v>269</v>
      </c>
      <c r="B55" s="45" t="s">
        <v>217</v>
      </c>
      <c r="C55" s="68"/>
      <c r="D55" s="45" t="s">
        <v>218</v>
      </c>
      <c r="E55" s="46"/>
      <c r="F55" s="68" t="n">
        <v>1050000</v>
      </c>
      <c r="G55" s="68" t="s">
        <v>237</v>
      </c>
      <c r="H55" s="30" t="n">
        <f aca="false">+F55</f>
        <v>1050000</v>
      </c>
      <c r="I55" s="68" t="n">
        <v>1050000</v>
      </c>
      <c r="K55" s="68"/>
      <c r="L55" s="68"/>
      <c r="M55" s="58" t="n">
        <f aca="false">+I55-H55</f>
        <v>0</v>
      </c>
      <c r="N55" s="68" t="n">
        <v>0</v>
      </c>
    </row>
    <row r="56" customFormat="false" ht="11.25" hidden="false" customHeight="false" outlineLevel="0" collapsed="false">
      <c r="A56" s="69" t="s">
        <v>270</v>
      </c>
      <c r="B56" s="45" t="s">
        <v>217</v>
      </c>
      <c r="C56" s="30" t="n">
        <v>375000</v>
      </c>
      <c r="D56" s="45" t="s">
        <v>218</v>
      </c>
      <c r="E56" s="46" t="n">
        <v>217.28</v>
      </c>
      <c r="F56" s="68" t="n">
        <v>81480000</v>
      </c>
      <c r="G56" s="68" t="s">
        <v>271</v>
      </c>
      <c r="H56" s="30" t="n">
        <f aca="false">+F56</f>
        <v>81480000</v>
      </c>
      <c r="I56" s="68" t="n">
        <v>80202486.48</v>
      </c>
      <c r="K56" s="68"/>
      <c r="L56" s="68"/>
      <c r="M56" s="58" t="n">
        <f aca="false">+I56-H56</f>
        <v>-1277513.52</v>
      </c>
      <c r="N56" s="68" t="n">
        <v>-1277513.52</v>
      </c>
    </row>
    <row r="57" customFormat="false" ht="11.25" hidden="false" customHeight="false" outlineLevel="0" collapsed="false">
      <c r="A57" s="69" t="s">
        <v>272</v>
      </c>
      <c r="B57" s="45" t="s">
        <v>217</v>
      </c>
      <c r="C57" s="30" t="n">
        <v>1000</v>
      </c>
      <c r="D57" s="45" t="s">
        <v>218</v>
      </c>
      <c r="E57" s="46" t="n">
        <v>1360</v>
      </c>
      <c r="F57" s="68" t="n">
        <v>1360000</v>
      </c>
      <c r="G57" s="68" t="s">
        <v>237</v>
      </c>
      <c r="H57" s="30" t="n">
        <f aca="false">+F57</f>
        <v>1360000</v>
      </c>
      <c r="I57" s="68" t="n">
        <v>1360000</v>
      </c>
      <c r="K57" s="68"/>
      <c r="L57" s="68"/>
      <c r="M57" s="58" t="n">
        <f aca="false">+I57-H57</f>
        <v>0</v>
      </c>
      <c r="N57" s="68" t="n">
        <v>0</v>
      </c>
    </row>
    <row r="58" customFormat="false" ht="11.25" hidden="false" customHeight="false" outlineLevel="0" collapsed="false">
      <c r="A58" s="69"/>
      <c r="B58" s="45"/>
      <c r="C58" s="68"/>
      <c r="D58" s="45"/>
      <c r="E58" s="46"/>
      <c r="F58" s="30"/>
      <c r="G58" s="68"/>
      <c r="I58" s="30"/>
      <c r="K58" s="68"/>
      <c r="L58" s="68"/>
      <c r="N58" s="68" t="n">
        <v>-1.3235220015049</v>
      </c>
    </row>
    <row r="59" customFormat="false" ht="11.25" hidden="false" customHeight="false" outlineLevel="0" collapsed="false">
      <c r="A59" s="69" t="s">
        <v>273</v>
      </c>
      <c r="B59" s="45"/>
      <c r="C59" s="68"/>
      <c r="D59" s="45"/>
      <c r="E59" s="46"/>
      <c r="F59" s="30"/>
      <c r="G59" s="68"/>
      <c r="L59" s="47"/>
    </row>
    <row r="60" customFormat="false" ht="11.25" hidden="false" customHeight="false" outlineLevel="0" collapsed="false">
      <c r="A60" s="0" t="s">
        <v>216</v>
      </c>
      <c r="B60" s="45" t="s">
        <v>217</v>
      </c>
      <c r="C60" s="30" t="n">
        <f aca="false">ROUND(+C14/0.6*0.3612,2)</f>
        <v>75223.51</v>
      </c>
      <c r="D60" s="45" t="s">
        <v>218</v>
      </c>
      <c r="E60" s="46" t="n">
        <f aca="false">+E14</f>
        <v>1.17868389193476</v>
      </c>
      <c r="F60" s="30"/>
      <c r="G60" s="68"/>
      <c r="L60" s="47"/>
    </row>
    <row r="61" customFormat="false" ht="11.25" hidden="false" customHeight="false" outlineLevel="0" collapsed="false">
      <c r="A61" s="0" t="s">
        <v>224</v>
      </c>
      <c r="B61" s="45" t="s">
        <v>217</v>
      </c>
      <c r="C61" s="30" t="n">
        <f aca="false">ROUND(+C20/0.6*0.3612,2)</f>
        <v>0</v>
      </c>
      <c r="D61" s="45" t="s">
        <v>218</v>
      </c>
      <c r="E61" s="46" t="n">
        <f aca="false">+E20</f>
        <v>1.68395</v>
      </c>
      <c r="F61" s="30"/>
      <c r="G61" s="68"/>
      <c r="L61" s="47"/>
    </row>
    <row r="62" customFormat="false" ht="11.25" hidden="false" customHeight="false" outlineLevel="0" collapsed="false">
      <c r="A62" s="0" t="str">
        <f aca="false">+A21</f>
        <v>DevX Energy Common</v>
      </c>
      <c r="B62" s="45" t="s">
        <v>217</v>
      </c>
      <c r="C62" s="30" t="n">
        <f aca="false">ROUND(+C21/0.6*0.3612,4)</f>
        <v>9773.8488</v>
      </c>
      <c r="D62" s="45" t="s">
        <v>218</v>
      </c>
      <c r="E62" s="46" t="n">
        <f aca="false">+E21</f>
        <v>14.0397655556213</v>
      </c>
      <c r="F62" s="30"/>
      <c r="G62" s="68"/>
      <c r="L62" s="47"/>
    </row>
    <row r="63" customFormat="false" ht="11.25" hidden="false" customHeight="false" outlineLevel="0" collapsed="false">
      <c r="A63" s="0" t="str">
        <f aca="false">+A22</f>
        <v>DevX Energy Pref</v>
      </c>
      <c r="B63" s="45" t="s">
        <v>217</v>
      </c>
      <c r="C63" s="30" t="n">
        <f aca="false">ROUND(+C22/0.6*0.3612,4)</f>
        <v>0</v>
      </c>
      <c r="D63" s="45" t="s">
        <v>218</v>
      </c>
      <c r="E63" s="46" t="n">
        <f aca="false">+E22</f>
        <v>4.06588235294118</v>
      </c>
      <c r="F63" s="30"/>
      <c r="G63" s="68"/>
      <c r="L63" s="47"/>
    </row>
    <row r="64" customFormat="false" ht="11.25" hidden="false" customHeight="false" outlineLevel="0" collapsed="false">
      <c r="A64" s="0" t="s">
        <v>227</v>
      </c>
      <c r="B64" s="45" t="s">
        <v>217</v>
      </c>
      <c r="C64" s="30" t="n">
        <f aca="false">ROUND(+C23/0.6*0.3612,3)</f>
        <v>0</v>
      </c>
      <c r="D64" s="45" t="s">
        <v>218</v>
      </c>
      <c r="E64" s="46" t="n">
        <f aca="false">+E23</f>
        <v>7.625</v>
      </c>
      <c r="F64" s="30"/>
      <c r="G64" s="68"/>
      <c r="L64" s="47"/>
    </row>
    <row r="65" customFormat="false" ht="11.25" hidden="false" customHeight="false" outlineLevel="0" collapsed="false">
      <c r="A65" s="69" t="s">
        <v>238</v>
      </c>
      <c r="B65" s="45" t="s">
        <v>217</v>
      </c>
      <c r="C65" s="68"/>
      <c r="D65" s="45" t="s">
        <v>218</v>
      </c>
      <c r="E65" s="46"/>
      <c r="F65" s="30" t="n">
        <v>2747287.2</v>
      </c>
      <c r="G65" s="68"/>
      <c r="I65" s="58" t="n">
        <f aca="false">F65</f>
        <v>2747287.2</v>
      </c>
      <c r="L65" s="47"/>
    </row>
    <row r="66" customFormat="false" ht="11.25" hidden="false" customHeight="false" outlineLevel="0" collapsed="false">
      <c r="A66" s="69" t="s">
        <v>255</v>
      </c>
      <c r="B66" s="45" t="s">
        <v>217</v>
      </c>
      <c r="C66" s="68"/>
      <c r="D66" s="45" t="s">
        <v>218</v>
      </c>
      <c r="E66" s="46"/>
      <c r="F66" s="30" t="n">
        <v>283415.58</v>
      </c>
      <c r="G66" s="68"/>
      <c r="I66" s="58" t="n">
        <f aca="false">F66</f>
        <v>283415.58</v>
      </c>
      <c r="L66" s="47"/>
    </row>
    <row r="67" customFormat="false" ht="11.25" hidden="false" customHeight="false" outlineLevel="0" collapsed="false">
      <c r="A67" s="1" t="s">
        <v>274</v>
      </c>
      <c r="H67" s="30" t="n">
        <f aca="false">SUM(H27:H57)</f>
        <v>242722063</v>
      </c>
      <c r="I67" s="71" t="n">
        <f aca="false">SUM(I27:I66)</f>
        <v>189860935.379984</v>
      </c>
      <c r="J67" s="48"/>
      <c r="K67" s="48"/>
      <c r="L67" s="72"/>
      <c r="M67" s="48"/>
      <c r="N67" s="48"/>
    </row>
    <row r="68" customFormat="false" ht="11.25" hidden="false" customHeight="false" outlineLevel="0" collapsed="false">
      <c r="D68" s="0" t="s">
        <v>275</v>
      </c>
      <c r="F68" s="0" t="s">
        <v>276</v>
      </c>
      <c r="G68" s="0" t="s">
        <v>209</v>
      </c>
      <c r="J68" s="2"/>
      <c r="K68" s="2"/>
      <c r="L68" s="73"/>
    </row>
    <row r="69" customFormat="false" ht="11.25" hidden="false" customHeight="false" outlineLevel="0" collapsed="false">
      <c r="A69" s="74" t="s">
        <v>277</v>
      </c>
      <c r="B69" s="45" t="s">
        <v>278</v>
      </c>
      <c r="C69" s="68" t="s">
        <v>279</v>
      </c>
      <c r="D69" s="45" t="s">
        <v>280</v>
      </c>
      <c r="E69" s="46" t="s">
        <v>281</v>
      </c>
      <c r="F69" s="30" t="s">
        <v>282</v>
      </c>
      <c r="G69" s="68" t="s">
        <v>283</v>
      </c>
      <c r="I69" s="2"/>
      <c r="J69" s="2"/>
      <c r="K69" s="2"/>
      <c r="L69" s="73"/>
      <c r="M69" s="2"/>
      <c r="N69" s="2"/>
    </row>
    <row r="70" customFormat="false" ht="11.25" hidden="false" customHeight="false" outlineLevel="0" collapsed="false">
      <c r="A70" s="0" t="s">
        <v>284</v>
      </c>
      <c r="B70" s="30" t="n">
        <v>35000000</v>
      </c>
      <c r="C70" s="14" t="n">
        <v>0.08</v>
      </c>
      <c r="D70" s="75" t="n">
        <f aca="true">1-EXP(-C70*('[2]Input and Calc'!$M$11-TODAY())/'[2]Input and Calc'!$M$17)</f>
        <v>-5.02913010854278</v>
      </c>
      <c r="E70" s="76" t="n">
        <f aca="true">RAND()</f>
        <v>0.909210361575225</v>
      </c>
      <c r="F70" s="0" t="n">
        <f aca="false">IF(E70&lt;D70,0,1)</f>
        <v>1</v>
      </c>
      <c r="G70" s="58" t="n">
        <f aca="false">F70*B70</f>
        <v>35000000</v>
      </c>
      <c r="J70" s="77"/>
      <c r="K70" s="2"/>
      <c r="L70" s="73"/>
    </row>
    <row r="71" customFormat="false" ht="11.25" hidden="false" customHeight="false" outlineLevel="0" collapsed="false">
      <c r="A71" s="0" t="s">
        <v>285</v>
      </c>
      <c r="B71" s="30" t="n">
        <v>12265128</v>
      </c>
      <c r="C71" s="14" t="n">
        <v>0.08</v>
      </c>
      <c r="D71" s="75" t="n">
        <f aca="true">1-EXP(-C71*('[2]Input and Calc'!$M$11-TODAY())/'[2]Input and Calc'!$M$17)</f>
        <v>-5.02913010854278</v>
      </c>
      <c r="E71" s="76" t="n">
        <f aca="true">RAND()</f>
        <v>0.0549543302371918</v>
      </c>
      <c r="F71" s="0" t="n">
        <f aca="false">IF(E71&lt;D71,0,1)</f>
        <v>1</v>
      </c>
      <c r="G71" s="58" t="n">
        <f aca="false">F71*B71</f>
        <v>12265128</v>
      </c>
      <c r="L71" s="47"/>
    </row>
    <row r="72" customFormat="false" ht="11.25" hidden="false" customHeight="false" outlineLevel="0" collapsed="false">
      <c r="A72" s="0" t="s">
        <v>286</v>
      </c>
      <c r="B72" s="30" t="n">
        <v>15000000</v>
      </c>
      <c r="C72" s="14" t="n">
        <v>0.08</v>
      </c>
      <c r="D72" s="75" t="n">
        <f aca="true">1-EXP(-C72*('[2]Input and Calc'!$M$11-TODAY())/'[2]Input and Calc'!$M$17)</f>
        <v>-5.02913010854278</v>
      </c>
      <c r="E72" s="76" t="n">
        <f aca="true">RAND()</f>
        <v>0.712917900416987</v>
      </c>
      <c r="F72" s="0" t="n">
        <f aca="false">IF(E72&lt;D72,0,1)</f>
        <v>1</v>
      </c>
      <c r="G72" s="58" t="n">
        <f aca="false">F72*B72</f>
        <v>15000000</v>
      </c>
      <c r="L72" s="47"/>
    </row>
    <row r="73" customFormat="false" ht="11.25" hidden="false" customHeight="false" outlineLevel="0" collapsed="false">
      <c r="A73" s="0" t="s">
        <v>287</v>
      </c>
      <c r="B73" s="30" t="n">
        <v>15000000</v>
      </c>
      <c r="C73" s="14" t="n">
        <v>0.08</v>
      </c>
      <c r="D73" s="75" t="n">
        <f aca="true">1-EXP(-C73*('[2]Input and Calc'!$M$11-TODAY())/'[2]Input and Calc'!$M$17)</f>
        <v>-5.02913010854278</v>
      </c>
      <c r="E73" s="76" t="n">
        <f aca="true">RAND()</f>
        <v>0.545896080066952</v>
      </c>
      <c r="F73" s="0" t="n">
        <f aca="false">IF(E73&lt;D73,0,1)</f>
        <v>1</v>
      </c>
      <c r="G73" s="58" t="n">
        <f aca="false">F73*B73</f>
        <v>15000000</v>
      </c>
      <c r="L73" s="47"/>
    </row>
    <row r="74" customFormat="false" ht="11.25" hidden="false" customHeight="false" outlineLevel="0" collapsed="false">
      <c r="A74" s="0" t="s">
        <v>288</v>
      </c>
      <c r="B74" s="30" t="n">
        <v>25000000</v>
      </c>
      <c r="C74" s="14" t="n">
        <v>0.08</v>
      </c>
      <c r="D74" s="75" t="n">
        <f aca="true">1-EXP(-C74*('[2]Input and Calc'!$M$11-TODAY())/'[2]Input and Calc'!$M$17)</f>
        <v>-5.02913010854278</v>
      </c>
      <c r="E74" s="76" t="n">
        <f aca="true">RAND()</f>
        <v>0.836303691304423</v>
      </c>
      <c r="F74" s="0" t="n">
        <f aca="false">IF(E74&lt;D74,0,1)</f>
        <v>1</v>
      </c>
      <c r="G74" s="58" t="n">
        <f aca="false">F74*B74</f>
        <v>25000000</v>
      </c>
      <c r="L74" s="47"/>
    </row>
    <row r="75" customFormat="false" ht="11.25" hidden="false" customHeight="false" outlineLevel="0" collapsed="false">
      <c r="A75" s="0" t="s">
        <v>289</v>
      </c>
      <c r="B75" s="30" t="n">
        <v>10000000</v>
      </c>
      <c r="C75" s="14" t="n">
        <v>0.08</v>
      </c>
      <c r="D75" s="75" t="n">
        <f aca="true">1-EXP(-C75*('[2]Input and Calc'!$M$11-TODAY())/'[2]Input and Calc'!$M$17)</f>
        <v>-5.02913010854278</v>
      </c>
      <c r="E75" s="76" t="n">
        <f aca="true">RAND()</f>
        <v>0.319853595817102</v>
      </c>
      <c r="F75" s="0" t="n">
        <f aca="false">IF(E75&lt;D75,0,1)</f>
        <v>1</v>
      </c>
      <c r="G75" s="58" t="n">
        <f aca="false">F75*B75</f>
        <v>10000000</v>
      </c>
      <c r="L75" s="47"/>
    </row>
    <row r="76" customFormat="false" ht="11.25" hidden="false" customHeight="false" outlineLevel="0" collapsed="false">
      <c r="A76" s="0" t="s">
        <v>290</v>
      </c>
      <c r="B76" s="30" t="n">
        <v>19610000</v>
      </c>
      <c r="C76" s="14" t="n">
        <v>0.08</v>
      </c>
      <c r="D76" s="75" t="n">
        <f aca="true">1-EXP(-C76*('[2]Input and Calc'!$M$11-TODAY())/'[2]Input and Calc'!$M$17)</f>
        <v>-5.02913010854278</v>
      </c>
      <c r="E76" s="76" t="n">
        <f aca="true">RAND()</f>
        <v>0.268359716646877</v>
      </c>
      <c r="F76" s="0" t="n">
        <f aca="false">IF(E76&lt;D76,0,1)</f>
        <v>1</v>
      </c>
      <c r="G76" s="58" t="n">
        <f aca="false">F76*B76</f>
        <v>19610000</v>
      </c>
      <c r="L76" s="47"/>
    </row>
    <row r="77" customFormat="false" ht="11.25" hidden="false" customHeight="false" outlineLevel="0" collapsed="false">
      <c r="A77" s="0" t="s">
        <v>291</v>
      </c>
      <c r="B77" s="30" t="n">
        <v>7146416</v>
      </c>
      <c r="C77" s="14" t="n">
        <v>0.08</v>
      </c>
      <c r="D77" s="75" t="n">
        <f aca="true">1-EXP(-C77*('[2]Input and Calc'!$M$11-TODAY())/'[2]Input and Calc'!$M$17)</f>
        <v>-5.02913010854278</v>
      </c>
      <c r="E77" s="76" t="n">
        <f aca="true">RAND()</f>
        <v>0.0745011116535891</v>
      </c>
      <c r="F77" s="0" t="n">
        <f aca="false">IF(E77&lt;D77,0,1)</f>
        <v>1</v>
      </c>
      <c r="G77" s="58" t="n">
        <f aca="false">F77*B77</f>
        <v>7146416</v>
      </c>
      <c r="L77" s="47"/>
    </row>
    <row r="78" customFormat="false" ht="11.25" hidden="false" customHeight="false" outlineLevel="0" collapsed="false">
      <c r="A78" s="0" t="s">
        <v>292</v>
      </c>
      <c r="B78" s="30" t="n">
        <v>15908269</v>
      </c>
      <c r="C78" s="14" t="n">
        <v>0.08</v>
      </c>
      <c r="D78" s="75" t="n">
        <f aca="true">1-EXP(-C78*('[2]Input and Calc'!$M$11-TODAY())/'[2]Input and Calc'!$M$17)</f>
        <v>-5.02913010854278</v>
      </c>
      <c r="E78" s="76" t="n">
        <f aca="true">RAND()</f>
        <v>0.0395643732704494</v>
      </c>
      <c r="F78" s="0" t="n">
        <f aca="false">IF(E78&lt;D78,0,1)</f>
        <v>1</v>
      </c>
      <c r="G78" s="58" t="n">
        <f aca="false">F78*B78</f>
        <v>15908269</v>
      </c>
      <c r="L78" s="47"/>
    </row>
    <row r="79" customFormat="false" ht="11.25" hidden="false" customHeight="false" outlineLevel="0" collapsed="false">
      <c r="A79" s="0" t="s">
        <v>293</v>
      </c>
      <c r="B79" s="30" t="n">
        <v>30000000</v>
      </c>
      <c r="C79" s="14" t="n">
        <v>0.08</v>
      </c>
      <c r="D79" s="75" t="n">
        <f aca="true">1-EXP(-C79*('[2]Input and Calc'!$M$11-TODAY())/'[2]Input and Calc'!$M$17)</f>
        <v>-5.02913010854278</v>
      </c>
      <c r="E79" s="76" t="n">
        <f aca="true">RAND()</f>
        <v>0.335757755871803</v>
      </c>
      <c r="F79" s="0" t="n">
        <f aca="false">IF(E79&lt;D79,0,1)</f>
        <v>1</v>
      </c>
      <c r="G79" s="58" t="n">
        <f aca="false">F79*B79</f>
        <v>30000000</v>
      </c>
      <c r="L79" s="47"/>
    </row>
    <row r="80" customFormat="false" ht="11.25" hidden="false" customHeight="false" outlineLevel="0" collapsed="false">
      <c r="A80" s="0" t="s">
        <v>294</v>
      </c>
      <c r="B80" s="30" t="n">
        <v>15000000</v>
      </c>
      <c r="C80" s="14" t="n">
        <v>0.08</v>
      </c>
      <c r="D80" s="75" t="n">
        <f aca="true">1-EXP(-C80*('[2]Input and Calc'!$M$11-TODAY())/'[2]Input and Calc'!$M$17)</f>
        <v>-5.02913010854278</v>
      </c>
      <c r="E80" s="76" t="n">
        <f aca="true">RAND()</f>
        <v>0.0884559113615192</v>
      </c>
      <c r="F80" s="0" t="n">
        <f aca="false">IF(E80&lt;D80,0,1)</f>
        <v>1</v>
      </c>
      <c r="G80" s="58" t="n">
        <f aca="false">F80*B80</f>
        <v>15000000</v>
      </c>
      <c r="L80" s="47"/>
    </row>
    <row r="81" customFormat="false" ht="11.25" hidden="false" customHeight="false" outlineLevel="0" collapsed="false">
      <c r="A81" s="0" t="s">
        <v>295</v>
      </c>
      <c r="B81" s="30" t="n">
        <v>23542484</v>
      </c>
      <c r="C81" s="14" t="n">
        <v>0.08</v>
      </c>
      <c r="D81" s="75" t="n">
        <f aca="true">1-EXP(-C81*('[2]Input and Calc'!$M$11-TODAY())/'[2]Input and Calc'!$M$17)</f>
        <v>-5.02913010854278</v>
      </c>
      <c r="E81" s="76" t="n">
        <f aca="true">RAND()</f>
        <v>0.405762687208931</v>
      </c>
      <c r="F81" s="0" t="n">
        <f aca="false">IF(E81&lt;D81,0,1)</f>
        <v>1</v>
      </c>
      <c r="G81" s="58" t="n">
        <f aca="false">F81*B81</f>
        <v>23542484</v>
      </c>
      <c r="L81" s="47"/>
    </row>
    <row r="82" customFormat="false" ht="11.25" hidden="false" customHeight="false" outlineLevel="0" collapsed="false">
      <c r="A82" s="0" t="s">
        <v>296</v>
      </c>
      <c r="B82" s="30" t="n">
        <v>23740282</v>
      </c>
      <c r="C82" s="14" t="n">
        <v>0.08</v>
      </c>
      <c r="D82" s="75" t="n">
        <f aca="true">1-EXP(-C82*('[2]Input and Calc'!$M$11-TODAY())/'[2]Input and Calc'!$M$17)</f>
        <v>-5.02913010854278</v>
      </c>
      <c r="E82" s="76" t="n">
        <f aca="true">RAND()</f>
        <v>0.888559040201016</v>
      </c>
      <c r="F82" s="0" t="n">
        <f aca="false">IF(E82&lt;D82,0,1)</f>
        <v>1</v>
      </c>
      <c r="G82" s="58" t="n">
        <f aca="false">F82*B82</f>
        <v>23740282</v>
      </c>
    </row>
    <row r="83" customFormat="false" ht="11.25" hidden="false" customHeight="false" outlineLevel="0" collapsed="false">
      <c r="A83" s="0" t="s">
        <v>297</v>
      </c>
      <c r="B83" s="30" t="n">
        <v>2216667</v>
      </c>
      <c r="C83" s="14" t="n">
        <v>0.08</v>
      </c>
      <c r="D83" s="75" t="n">
        <f aca="true">1-EXP(-C83*('[2]Input and Calc'!$M$11-TODAY())/'[2]Input and Calc'!$M$17)</f>
        <v>-5.02913010854278</v>
      </c>
      <c r="E83" s="76" t="n">
        <f aca="true">RAND()</f>
        <v>0.818770696049308</v>
      </c>
      <c r="F83" s="0" t="n">
        <f aca="false">IF(E83&lt;D83,0,1)</f>
        <v>1</v>
      </c>
      <c r="G83" s="58" t="n">
        <f aca="false">F83*B83</f>
        <v>2216667</v>
      </c>
    </row>
    <row r="84" customFormat="false" ht="11.25" hidden="false" customHeight="false" outlineLevel="0" collapsed="false">
      <c r="A84" s="0" t="s">
        <v>298</v>
      </c>
      <c r="B84" s="30" t="n">
        <v>5200000</v>
      </c>
      <c r="C84" s="14" t="n">
        <v>0.08</v>
      </c>
      <c r="D84" s="75" t="n">
        <f aca="true">1-EXP(-C84*('[2]Input and Calc'!$M$11-TODAY())/'[2]Input and Calc'!$M$17)</f>
        <v>-5.02913010854278</v>
      </c>
      <c r="E84" s="76" t="n">
        <f aca="true">RAND()</f>
        <v>0.704255026102384</v>
      </c>
      <c r="F84" s="0" t="n">
        <f aca="false">IF(E84&lt;D84,0,1)</f>
        <v>1</v>
      </c>
      <c r="G84" s="58" t="n">
        <f aca="false">F84*B84</f>
        <v>5200000</v>
      </c>
    </row>
    <row r="85" customFormat="false" ht="11.25" hidden="false" customHeight="false" outlineLevel="0" collapsed="false">
      <c r="A85" s="0" t="s">
        <v>299</v>
      </c>
      <c r="B85" s="30" t="n">
        <v>5000000</v>
      </c>
      <c r="C85" s="14" t="n">
        <v>0.08</v>
      </c>
      <c r="D85" s="75" t="n">
        <f aca="true">1-EXP(-C85*('[2]Input and Calc'!$M$11-TODAY())/'[2]Input and Calc'!$M$17)</f>
        <v>-5.02913010854278</v>
      </c>
      <c r="E85" s="76" t="n">
        <f aca="true">RAND()</f>
        <v>0.566004765099415</v>
      </c>
      <c r="F85" s="0" t="n">
        <f aca="false">IF(E85&lt;D85,0,1)</f>
        <v>1</v>
      </c>
      <c r="G85" s="58" t="n">
        <f aca="false">F85*B85</f>
        <v>5000000</v>
      </c>
    </row>
    <row r="86" customFormat="false" ht="11.25" hidden="false" customHeight="false" outlineLevel="0" collapsed="false">
      <c r="A86" s="0" t="s">
        <v>300</v>
      </c>
      <c r="B86" s="30" t="n">
        <v>24410000</v>
      </c>
      <c r="C86" s="14" t="n">
        <v>0.08</v>
      </c>
      <c r="D86" s="75" t="n">
        <f aca="true">1-EXP(-C86*('[2]Input and Calc'!$M$11-TODAY())/'[2]Input and Calc'!$M$17)</f>
        <v>-5.02913010854278</v>
      </c>
      <c r="E86" s="76" t="n">
        <f aca="true">RAND()</f>
        <v>0.816655375282307</v>
      </c>
      <c r="F86" s="0" t="n">
        <f aca="false">IF(E86&lt;D86,0,1)</f>
        <v>1</v>
      </c>
      <c r="G86" s="58" t="n">
        <f aca="false">F86*B86</f>
        <v>24410000</v>
      </c>
    </row>
    <row r="87" customFormat="false" ht="11.25" hidden="false" customHeight="false" outlineLevel="0" collapsed="false">
      <c r="A87" s="0" t="s">
        <v>301</v>
      </c>
      <c r="B87" s="30" t="n">
        <v>28142234</v>
      </c>
      <c r="C87" s="14" t="n">
        <v>0.08</v>
      </c>
      <c r="D87" s="75" t="n">
        <f aca="true">1-EXP(-C87*('[2]Input and Calc'!$M$11-TODAY())/'[2]Input and Calc'!$M$17)</f>
        <v>-5.02913010854278</v>
      </c>
      <c r="E87" s="76" t="n">
        <f aca="true">RAND()</f>
        <v>0.037232786237306</v>
      </c>
      <c r="F87" s="0" t="n">
        <f aca="false">IF(E87&lt;D87,0,1)</f>
        <v>1</v>
      </c>
      <c r="G87" s="58" t="n">
        <f aca="false">F87*B87</f>
        <v>28142234</v>
      </c>
    </row>
    <row r="88" customFormat="false" ht="11.25" hidden="false" customHeight="false" outlineLevel="0" collapsed="false">
      <c r="A88" s="0" t="s">
        <v>302</v>
      </c>
      <c r="B88" s="30" t="n">
        <v>20000000</v>
      </c>
      <c r="C88" s="14" t="n">
        <v>0.08</v>
      </c>
      <c r="D88" s="75" t="n">
        <f aca="true">1-EXP(-C88*('[2]Input and Calc'!$M$11-TODAY())/'[2]Input and Calc'!$M$17)</f>
        <v>-5.02913010854278</v>
      </c>
      <c r="E88" s="76" t="n">
        <f aca="true">RAND()</f>
        <v>0.752638536041368</v>
      </c>
      <c r="F88" s="0" t="n">
        <f aca="false">IF(E88&lt;D88,0,1)</f>
        <v>1</v>
      </c>
      <c r="G88" s="58" t="n">
        <f aca="false">F88*B88</f>
        <v>20000000</v>
      </c>
    </row>
    <row r="90" customFormat="false" ht="11.25" hidden="false" customHeight="false" outlineLevel="0" collapsed="false">
      <c r="A90" s="0" t="s">
        <v>209</v>
      </c>
      <c r="B90" s="58" t="n">
        <f aca="false">SUM(B70:B88)</f>
        <v>332181480</v>
      </c>
      <c r="G90" s="58" t="n">
        <f aca="false">SUM(G70:G88)</f>
        <v>332181480</v>
      </c>
    </row>
    <row r="92" customFormat="false" ht="11.25" hidden="false" customHeight="false" outlineLevel="0" collapsed="false">
      <c r="F92" s="0" t="s">
        <v>303</v>
      </c>
      <c r="G92" s="71" t="n">
        <f aca="false">B90-G90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M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20" activeCellId="0" sqref="E20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4.99"/>
    <col collapsed="false" customWidth="true" hidden="false" outlineLevel="0" max="3" min="3" style="0" width="10.49"/>
    <col collapsed="false" customWidth="true" hidden="false" outlineLevel="0" max="4" min="4" style="0" width="12.82"/>
    <col collapsed="false" customWidth="true" hidden="false" outlineLevel="0" max="5" min="5" style="0" width="10.49"/>
    <col collapsed="false" customWidth="true" hidden="false" outlineLevel="0" max="6" min="6" style="0" width="13.99"/>
    <col collapsed="false" customWidth="true" hidden="false" outlineLevel="0" max="7" min="7" style="0" width="13.49"/>
    <col collapsed="false" customWidth="true" hidden="false" outlineLevel="0" max="9" min="9" style="0" width="12.82"/>
    <col collapsed="false" customWidth="true" hidden="false" outlineLevel="0" max="10" min="10" style="0" width="4.5"/>
    <col collapsed="false" customWidth="true" hidden="false" outlineLevel="0" max="11" min="11" style="0" width="8.16"/>
    <col collapsed="false" customWidth="true" hidden="false" outlineLevel="0" max="12" min="12" style="0" width="7.82"/>
    <col collapsed="false" customWidth="true" hidden="false" outlineLevel="0" max="13" min="13" style="0" width="14.49"/>
  </cols>
  <sheetData>
    <row r="2" customFormat="false" ht="51.75" hidden="false" customHeight="false" outlineLevel="0" collapsed="false">
      <c r="A2" s="43" t="s">
        <v>192</v>
      </c>
      <c r="B2" s="43" t="s">
        <v>193</v>
      </c>
      <c r="C2" s="43" t="s">
        <v>97</v>
      </c>
      <c r="D2" s="43"/>
      <c r="E2" s="44" t="s">
        <v>194</v>
      </c>
      <c r="F2" s="43" t="s">
        <v>195</v>
      </c>
      <c r="G2" s="43"/>
      <c r="I2" s="0" t="s">
        <v>51</v>
      </c>
      <c r="J2" s="0" t="s">
        <v>47</v>
      </c>
      <c r="K2" s="0" t="s">
        <v>198</v>
      </c>
      <c r="L2" s="0" t="s">
        <v>55</v>
      </c>
      <c r="M2" s="0" t="s">
        <v>196</v>
      </c>
    </row>
    <row r="3" customFormat="false" ht="11.25" hidden="false" customHeight="false" outlineLevel="0" collapsed="false">
      <c r="A3" s="0" t="s">
        <v>203</v>
      </c>
      <c r="B3" s="45" t="s">
        <v>204</v>
      </c>
      <c r="C3" s="78" t="n">
        <v>7809790</v>
      </c>
      <c r="D3" s="30" t="s">
        <v>205</v>
      </c>
      <c r="E3" s="46" t="n">
        <v>68.75</v>
      </c>
      <c r="F3" s="50"/>
      <c r="G3" s="47"/>
    </row>
    <row r="4" customFormat="false" ht="11.25" hidden="false" customHeight="false" outlineLevel="0" collapsed="false">
      <c r="A4" s="0" t="s">
        <v>207</v>
      </c>
      <c r="B4" s="45"/>
      <c r="C4" s="30"/>
      <c r="D4" s="30"/>
      <c r="E4" s="46"/>
      <c r="F4" s="50"/>
      <c r="G4" s="50"/>
    </row>
    <row r="5" customFormat="false" ht="11.25" hidden="false" customHeight="false" outlineLevel="0" collapsed="false">
      <c r="A5" s="0" t="s">
        <v>208</v>
      </c>
      <c r="B5" s="45"/>
      <c r="C5" s="30"/>
      <c r="D5" s="30"/>
      <c r="E5" s="46"/>
      <c r="F5" s="50"/>
      <c r="G5" s="50"/>
    </row>
    <row r="6" customFormat="false" ht="12.75" hidden="false" customHeight="false" outlineLevel="0" collapsed="false">
      <c r="A6" s="51" t="s">
        <v>209</v>
      </c>
      <c r="B6" s="52"/>
      <c r="C6" s="30"/>
      <c r="D6" s="30"/>
      <c r="E6" s="46"/>
      <c r="F6" s="47"/>
      <c r="G6" s="47"/>
    </row>
    <row r="7" customFormat="false" ht="12.75" hidden="false" customHeight="false" outlineLevel="0" collapsed="false">
      <c r="A7" s="51"/>
      <c r="B7" s="52"/>
      <c r="C7" s="30"/>
      <c r="D7" s="30"/>
      <c r="E7" s="46"/>
      <c r="F7" s="47"/>
      <c r="G7" s="47"/>
    </row>
    <row r="8" customFormat="false" ht="12.75" hidden="false" customHeight="false" outlineLevel="0" collapsed="false">
      <c r="A8" s="53" t="s">
        <v>210</v>
      </c>
      <c r="B8" s="52"/>
      <c r="C8" s="30"/>
      <c r="D8" s="30"/>
      <c r="E8" s="46"/>
      <c r="F8" s="47"/>
      <c r="G8" s="47"/>
    </row>
    <row r="9" customFormat="false" ht="12.75" hidden="false" customHeight="false" outlineLevel="0" collapsed="false">
      <c r="A9" s="51"/>
      <c r="B9" s="52"/>
      <c r="C9" s="30"/>
      <c r="D9" s="30"/>
      <c r="E9" s="46"/>
      <c r="F9" s="47"/>
      <c r="G9" s="47"/>
    </row>
    <row r="10" customFormat="false" ht="12.75" hidden="false" customHeight="false" outlineLevel="0" collapsed="false">
      <c r="A10" s="51"/>
      <c r="B10" s="52"/>
      <c r="C10" s="30"/>
      <c r="D10" s="30"/>
      <c r="E10" s="46"/>
      <c r="F10" s="47"/>
      <c r="G10" s="47"/>
    </row>
    <row r="11" customFormat="false" ht="12.75" hidden="false" customHeight="false" outlineLevel="0" collapsed="false">
      <c r="A11" s="55" t="s">
        <v>304</v>
      </c>
      <c r="B11" s="45"/>
      <c r="E11" s="56" t="s">
        <v>215</v>
      </c>
    </row>
    <row r="12" customFormat="false" ht="11.25" hidden="false" customHeight="false" outlineLevel="0" collapsed="false">
      <c r="A12" s="0" t="s">
        <v>305</v>
      </c>
      <c r="B12" s="45" t="s">
        <v>217</v>
      </c>
      <c r="C12" s="30"/>
      <c r="D12" s="45" t="s">
        <v>218</v>
      </c>
      <c r="E12" s="46"/>
      <c r="F12" s="30" t="n">
        <v>58424000</v>
      </c>
      <c r="I12" s="58" t="n">
        <v>105135000</v>
      </c>
    </row>
    <row r="13" customFormat="false" ht="11.25" hidden="false" customHeight="false" outlineLevel="0" collapsed="false">
      <c r="A13" s="0" t="s">
        <v>306</v>
      </c>
      <c r="B13" s="45" t="s">
        <v>217</v>
      </c>
      <c r="C13" s="30"/>
      <c r="D13" s="45" t="s">
        <v>218</v>
      </c>
      <c r="E13" s="46"/>
      <c r="F13" s="30" t="n">
        <v>66100000</v>
      </c>
      <c r="I13" s="58" t="n">
        <v>97200000</v>
      </c>
    </row>
    <row r="14" customFormat="false" ht="11.25" hidden="false" customHeight="false" outlineLevel="0" collapsed="false">
      <c r="A14" s="0" t="s">
        <v>307</v>
      </c>
      <c r="B14" s="45" t="s">
        <v>217</v>
      </c>
      <c r="C14" s="30"/>
      <c r="D14" s="45" t="s">
        <v>218</v>
      </c>
      <c r="E14" s="46"/>
      <c r="F14" s="30" t="n">
        <v>3088000</v>
      </c>
      <c r="I14" s="58" t="n">
        <v>6439000</v>
      </c>
    </row>
    <row r="15" customFormat="false" ht="11.25" hidden="false" customHeight="false" outlineLevel="0" collapsed="false">
      <c r="A15" s="0" t="s">
        <v>308</v>
      </c>
      <c r="B15" s="45" t="s">
        <v>217</v>
      </c>
      <c r="C15" s="30"/>
      <c r="D15" s="45" t="s">
        <v>218</v>
      </c>
      <c r="E15" s="46"/>
      <c r="F15" s="30" t="n">
        <v>12630000</v>
      </c>
      <c r="I15" s="58" t="n">
        <f aca="false">F15</f>
        <v>12630000</v>
      </c>
    </row>
    <row r="16" customFormat="false" ht="11.25" hidden="false" customHeight="false" outlineLevel="0" collapsed="false">
      <c r="A16" s="1" t="s">
        <v>309</v>
      </c>
      <c r="B16" s="45"/>
      <c r="C16" s="30"/>
      <c r="D16" s="45"/>
      <c r="E16" s="46"/>
      <c r="I16" s="71" t="n">
        <f aca="false">SUM(I12:I15)</f>
        <v>221404000</v>
      </c>
      <c r="J16" s="48"/>
      <c r="K16" s="48"/>
      <c r="L16" s="48"/>
      <c r="M16" s="79" t="n">
        <v>460000000</v>
      </c>
    </row>
    <row r="17" customFormat="false" ht="11.25" hidden="false" customHeight="false" outlineLevel="0" collapsed="false">
      <c r="B17" s="45"/>
      <c r="C17" s="30"/>
      <c r="D17" s="45"/>
      <c r="E17" s="46"/>
    </row>
    <row r="18" customFormat="false" ht="11.25" hidden="false" customHeight="false" outlineLevel="0" collapsed="false">
      <c r="A18" s="0" t="s">
        <v>310</v>
      </c>
      <c r="B18" s="45"/>
      <c r="C18" s="30"/>
      <c r="D18" s="45"/>
      <c r="E18" s="46"/>
    </row>
    <row r="19" customFormat="false" ht="11.25" hidden="false" customHeight="false" outlineLevel="0" collapsed="false">
      <c r="B19" s="45" t="s">
        <v>311</v>
      </c>
      <c r="C19" s="30" t="n">
        <v>3314340</v>
      </c>
      <c r="E19" s="46" t="n">
        <v>92.678</v>
      </c>
    </row>
    <row r="20" customFormat="false" ht="11.25" hidden="false" customHeight="false" outlineLevel="0" collapsed="false">
      <c r="B20" s="45" t="s">
        <v>312</v>
      </c>
      <c r="C20" s="30" t="n">
        <f aca="false">5309572-C19</f>
        <v>1995232</v>
      </c>
      <c r="E20" s="46" t="n">
        <v>34.875</v>
      </c>
    </row>
    <row r="21" customFormat="false" ht="11.25" hidden="false" customHeight="false" outlineLevel="0" collapsed="false">
      <c r="B21" s="45" t="s">
        <v>217</v>
      </c>
      <c r="C21" s="30" t="n">
        <f aca="false">C20</f>
        <v>1995232</v>
      </c>
      <c r="E21" s="46" t="n">
        <v>44.875</v>
      </c>
    </row>
    <row r="23" customFormat="false" ht="12.75" hidden="false" customHeight="false" outlineLevel="0" collapsed="false">
      <c r="A23" s="55"/>
    </row>
    <row r="24" customFormat="false" ht="11.25" hidden="false" customHeight="false" outlineLevel="0" collapsed="false">
      <c r="A24" s="67"/>
      <c r="B24" s="45"/>
      <c r="C24" s="68"/>
      <c r="D24" s="45"/>
      <c r="E24" s="46"/>
      <c r="F24" s="30"/>
      <c r="G24" s="68"/>
    </row>
    <row r="25" customFormat="false" ht="11.25" hidden="false" customHeight="false" outlineLevel="0" collapsed="false">
      <c r="A25" s="69"/>
      <c r="B25" s="45"/>
      <c r="C25" s="68"/>
      <c r="D25" s="45"/>
      <c r="E25" s="46"/>
      <c r="F25" s="30"/>
      <c r="G25" s="68"/>
    </row>
    <row r="26" customFormat="false" ht="11.25" hidden="false" customHeight="false" outlineLevel="0" collapsed="false">
      <c r="A26" s="69"/>
      <c r="B26" s="45"/>
      <c r="C26" s="68"/>
      <c r="D26" s="45"/>
      <c r="E26" s="46"/>
      <c r="F26" s="30"/>
      <c r="G26" s="68"/>
    </row>
    <row r="27" customFormat="false" ht="11.25" hidden="false" customHeight="false" outlineLevel="0" collapsed="false">
      <c r="A27" s="69"/>
      <c r="B27" s="45"/>
      <c r="C27" s="68"/>
      <c r="D27" s="45"/>
      <c r="E27" s="46"/>
      <c r="F27" s="30"/>
      <c r="G27" s="68"/>
    </row>
    <row r="28" customFormat="false" ht="11.25" hidden="false" customHeight="false" outlineLevel="0" collapsed="false">
      <c r="A28" s="69"/>
      <c r="B28" s="45"/>
      <c r="C28" s="68"/>
      <c r="D28" s="45"/>
      <c r="E28" s="46"/>
      <c r="F28" s="30"/>
      <c r="G28" s="68"/>
    </row>
    <row r="29" customFormat="false" ht="11.25" hidden="false" customHeight="false" outlineLevel="0" collapsed="false">
      <c r="A29" s="69"/>
      <c r="B29" s="45"/>
      <c r="C29" s="68"/>
      <c r="D29" s="45"/>
      <c r="E29" s="46"/>
      <c r="F29" s="30"/>
      <c r="G29" s="68"/>
    </row>
    <row r="30" customFormat="false" ht="11.25" hidden="false" customHeight="false" outlineLevel="0" collapsed="false">
      <c r="A30" s="69"/>
      <c r="B30" s="45"/>
      <c r="C30" s="68"/>
      <c r="D30" s="45"/>
      <c r="E30" s="46"/>
      <c r="F30" s="30"/>
      <c r="G30" s="68"/>
    </row>
    <row r="31" customFormat="false" ht="11.25" hidden="false" customHeight="false" outlineLevel="0" collapsed="false">
      <c r="B31" s="45"/>
      <c r="C31" s="68"/>
      <c r="D31" s="45"/>
      <c r="E31" s="46"/>
      <c r="F31" s="30"/>
      <c r="G31" s="68"/>
    </row>
    <row r="32" customFormat="false" ht="11.25" hidden="false" customHeight="false" outlineLevel="0" collapsed="false">
      <c r="A32" s="69"/>
      <c r="B32" s="45"/>
      <c r="C32" s="68"/>
      <c r="D32" s="45"/>
      <c r="E32" s="46"/>
      <c r="F32" s="30"/>
      <c r="G32" s="68"/>
    </row>
    <row r="33" customFormat="false" ht="11.25" hidden="false" customHeight="false" outlineLevel="0" collapsed="false">
      <c r="A33" s="69"/>
      <c r="B33" s="45"/>
      <c r="C33" s="70"/>
      <c r="D33" s="45"/>
      <c r="E33" s="46"/>
      <c r="F33" s="30"/>
      <c r="G33" s="68"/>
    </row>
    <row r="34" customFormat="false" ht="11.25" hidden="false" customHeight="false" outlineLevel="0" collapsed="false">
      <c r="A34" s="69"/>
      <c r="B34" s="45"/>
      <c r="C34" s="68"/>
      <c r="D34" s="45"/>
      <c r="E34" s="46"/>
      <c r="F34" s="30"/>
      <c r="G34" s="68"/>
    </row>
    <row r="35" customFormat="false" ht="11.25" hidden="false" customHeight="false" outlineLevel="0" collapsed="false">
      <c r="A35" s="69"/>
      <c r="B35" s="45"/>
      <c r="C35" s="68"/>
      <c r="D35" s="45"/>
      <c r="E35" s="46"/>
      <c r="F35" s="30"/>
      <c r="G35" s="68"/>
    </row>
    <row r="36" customFormat="false" ht="11.25" hidden="false" customHeight="false" outlineLevel="0" collapsed="false">
      <c r="A36" s="69"/>
      <c r="B36" s="45"/>
      <c r="C36" s="68"/>
      <c r="D36" s="45"/>
      <c r="E36" s="46"/>
      <c r="F36" s="30"/>
      <c r="G36" s="68"/>
    </row>
    <row r="37" customFormat="false" ht="11.25" hidden="false" customHeight="false" outlineLevel="0" collapsed="false">
      <c r="A37" s="69"/>
      <c r="B37" s="45"/>
      <c r="C37" s="68"/>
      <c r="D37" s="45"/>
      <c r="E37" s="46"/>
      <c r="F37" s="30"/>
      <c r="G37" s="68"/>
    </row>
    <row r="38" customFormat="false" ht="11.25" hidden="false" customHeight="false" outlineLevel="0" collapsed="false">
      <c r="A38" s="69"/>
      <c r="B38" s="45"/>
      <c r="C38" s="68"/>
      <c r="D38" s="45"/>
      <c r="E38" s="46"/>
      <c r="F38" s="30"/>
      <c r="G38" s="68"/>
    </row>
    <row r="39" customFormat="false" ht="11.25" hidden="false" customHeight="false" outlineLevel="0" collapsed="false">
      <c r="A39" s="69"/>
      <c r="B39" s="45"/>
      <c r="C39" s="68"/>
      <c r="D39" s="45"/>
      <c r="E39" s="46"/>
      <c r="F39" s="30"/>
      <c r="G39" s="68"/>
    </row>
    <row r="40" customFormat="false" ht="11.25" hidden="false" customHeight="false" outlineLevel="0" collapsed="false">
      <c r="A40" s="69"/>
      <c r="B40" s="45"/>
      <c r="C40" s="68"/>
      <c r="D40" s="45"/>
      <c r="E40" s="46"/>
      <c r="F40" s="30"/>
      <c r="G40" s="68"/>
    </row>
    <row r="41" customFormat="false" ht="11.25" hidden="false" customHeight="false" outlineLevel="0" collapsed="false">
      <c r="A41" s="69"/>
      <c r="B41" s="45"/>
      <c r="C41" s="68"/>
      <c r="D41" s="45"/>
      <c r="E41" s="46"/>
      <c r="F41" s="30"/>
      <c r="G41" s="68"/>
    </row>
    <row r="42" customFormat="false" ht="11.25" hidden="false" customHeight="false" outlineLevel="0" collapsed="false">
      <c r="A42" s="69"/>
      <c r="B42" s="45"/>
      <c r="C42" s="68"/>
      <c r="D42" s="45"/>
      <c r="E42" s="46"/>
      <c r="F42" s="30"/>
      <c r="G42" s="68"/>
    </row>
    <row r="43" customFormat="false" ht="11.25" hidden="false" customHeight="false" outlineLevel="0" collapsed="false">
      <c r="A43" s="69"/>
      <c r="B43" s="45"/>
      <c r="C43" s="68"/>
      <c r="D43" s="45"/>
      <c r="E43" s="46"/>
      <c r="F43" s="30"/>
      <c r="G43" s="68"/>
    </row>
    <row r="44" customFormat="false" ht="11.25" hidden="false" customHeight="false" outlineLevel="0" collapsed="false">
      <c r="A44" s="69"/>
      <c r="B44" s="45"/>
      <c r="C44" s="68"/>
      <c r="D44" s="45"/>
      <c r="E44" s="46"/>
      <c r="F44" s="30"/>
      <c r="G44" s="68"/>
    </row>
    <row r="45" customFormat="false" ht="11.25" hidden="false" customHeight="false" outlineLevel="0" collapsed="false">
      <c r="A45" s="69"/>
      <c r="B45" s="45"/>
      <c r="C45" s="68"/>
      <c r="D45" s="45"/>
      <c r="E45" s="46"/>
      <c r="F45" s="30"/>
      <c r="G45" s="68"/>
    </row>
    <row r="46" customFormat="false" ht="11.25" hidden="false" customHeight="false" outlineLevel="0" collapsed="false">
      <c r="A46" s="69"/>
      <c r="B46" s="45"/>
      <c r="C46" s="68"/>
      <c r="D46" s="45"/>
      <c r="E46" s="46"/>
      <c r="F46" s="30"/>
      <c r="G46" s="68"/>
    </row>
    <row r="47" customFormat="false" ht="11.25" hidden="false" customHeight="false" outlineLevel="0" collapsed="false">
      <c r="A47" s="69"/>
      <c r="B47" s="45"/>
      <c r="C47" s="68"/>
      <c r="D47" s="45"/>
      <c r="E47" s="46"/>
      <c r="F47" s="30"/>
      <c r="G47" s="68"/>
    </row>
    <row r="48" customFormat="false" ht="11.25" hidden="false" customHeight="false" outlineLevel="0" collapsed="false">
      <c r="A48" s="69"/>
      <c r="B48" s="45"/>
      <c r="C48" s="68"/>
      <c r="D48" s="45"/>
      <c r="E48" s="46"/>
      <c r="F48" s="30"/>
      <c r="G48" s="68"/>
    </row>
    <row r="49" customFormat="false" ht="11.25" hidden="false" customHeight="false" outlineLevel="0" collapsed="false">
      <c r="A49" s="69"/>
      <c r="B49" s="45"/>
      <c r="C49" s="68"/>
      <c r="D49" s="45"/>
      <c r="E49" s="46"/>
      <c r="F49" s="30"/>
      <c r="G49" s="68"/>
    </row>
    <row r="50" customFormat="false" ht="11.25" hidden="false" customHeight="false" outlineLevel="0" collapsed="false">
      <c r="A50" s="69"/>
      <c r="B50" s="45"/>
      <c r="C50" s="68"/>
      <c r="D50" s="45"/>
      <c r="E50" s="46"/>
      <c r="F50" s="30"/>
      <c r="G50" s="68"/>
    </row>
    <row r="51" customFormat="false" ht="11.25" hidden="false" customHeight="false" outlineLevel="0" collapsed="false">
      <c r="B51" s="45"/>
      <c r="C51" s="68"/>
      <c r="D51" s="45"/>
      <c r="E51" s="46"/>
      <c r="F51" s="30"/>
      <c r="G51" s="68"/>
    </row>
    <row r="52" customFormat="false" ht="11.25" hidden="false" customHeight="false" outlineLevel="0" collapsed="false">
      <c r="B52" s="45"/>
      <c r="C52" s="68"/>
      <c r="D52" s="45"/>
      <c r="E52" s="46"/>
      <c r="F52" s="30"/>
      <c r="G52" s="68"/>
    </row>
    <row r="53" customFormat="false" ht="11.25" hidden="false" customHeight="false" outlineLevel="0" collapsed="false">
      <c r="A53" s="69"/>
      <c r="B53" s="45"/>
      <c r="C53" s="30"/>
      <c r="D53" s="45"/>
      <c r="E53" s="46"/>
      <c r="F53" s="30"/>
      <c r="G53" s="68"/>
    </row>
    <row r="54" customFormat="false" ht="11.25" hidden="false" customHeight="false" outlineLevel="0" collapsed="false">
      <c r="A54" s="69"/>
      <c r="B54" s="45"/>
      <c r="C54" s="30"/>
      <c r="D54" s="45"/>
      <c r="E54" s="46"/>
      <c r="F54" s="30"/>
      <c r="G54" s="68"/>
    </row>
    <row r="55" customFormat="false" ht="11.25" hidden="false" customHeight="false" outlineLevel="0" collapsed="false">
      <c r="A55" s="69"/>
      <c r="B55" s="45"/>
      <c r="C55" s="68"/>
      <c r="D55" s="45"/>
      <c r="E55" s="46"/>
      <c r="F55" s="30"/>
      <c r="G55" s="68"/>
    </row>
    <row r="56" customFormat="false" ht="11.25" hidden="false" customHeight="false" outlineLevel="0" collapsed="false">
      <c r="A56" s="69"/>
      <c r="B56" s="45"/>
      <c r="C56" s="68"/>
      <c r="D56" s="45"/>
      <c r="E56" s="46"/>
      <c r="F56" s="30"/>
      <c r="G56" s="68"/>
    </row>
    <row r="57" customFormat="false" ht="11.25" hidden="false" customHeight="false" outlineLevel="0" collapsed="false">
      <c r="A57" s="69"/>
      <c r="B57" s="45"/>
      <c r="C57" s="68"/>
      <c r="D57" s="45"/>
      <c r="E57" s="46"/>
      <c r="F57" s="30"/>
      <c r="G57" s="68"/>
    </row>
    <row r="58" customFormat="false" ht="11.25" hidden="false" customHeight="false" outlineLevel="0" collapsed="false">
      <c r="B58" s="45"/>
      <c r="C58" s="30"/>
      <c r="D58" s="45"/>
      <c r="E58" s="46"/>
      <c r="F58" s="30"/>
      <c r="G58" s="68"/>
    </row>
    <row r="59" customFormat="false" ht="11.25" hidden="false" customHeight="false" outlineLevel="0" collapsed="false">
      <c r="B59" s="45"/>
      <c r="C59" s="30"/>
      <c r="D59" s="45"/>
      <c r="E59" s="46"/>
      <c r="F59" s="30"/>
      <c r="G59" s="68"/>
    </row>
    <row r="60" customFormat="false" ht="11.25" hidden="false" customHeight="false" outlineLevel="0" collapsed="false">
      <c r="B60" s="45"/>
      <c r="C60" s="30"/>
      <c r="D60" s="45"/>
      <c r="E60" s="46"/>
      <c r="F60" s="30"/>
      <c r="G60" s="68"/>
    </row>
    <row r="61" customFormat="false" ht="11.25" hidden="false" customHeight="false" outlineLevel="0" collapsed="false">
      <c r="B61" s="45"/>
      <c r="C61" s="30"/>
      <c r="D61" s="45"/>
      <c r="E61" s="46"/>
      <c r="F61" s="30"/>
      <c r="G61" s="68"/>
    </row>
    <row r="62" customFormat="false" ht="11.25" hidden="false" customHeight="false" outlineLevel="0" collapsed="false">
      <c r="B62" s="45"/>
      <c r="C62" s="30"/>
      <c r="D62" s="45"/>
      <c r="E62" s="46"/>
      <c r="F62" s="30"/>
      <c r="G62" s="68"/>
    </row>
    <row r="63" customFormat="false" ht="11.25" hidden="false" customHeight="false" outlineLevel="0" collapsed="false">
      <c r="A63" s="69"/>
      <c r="B63" s="45"/>
      <c r="C63" s="68"/>
      <c r="D63" s="45"/>
      <c r="E63" s="46"/>
      <c r="F63" s="30"/>
      <c r="G63" s="68"/>
    </row>
    <row r="64" customFormat="false" ht="11.25" hidden="false" customHeight="false" outlineLevel="0" collapsed="false">
      <c r="A64" s="69"/>
      <c r="B64" s="45"/>
      <c r="C64" s="68"/>
      <c r="D64" s="45"/>
      <c r="E64" s="46"/>
      <c r="F64" s="30"/>
      <c r="G64" s="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K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5" activeCellId="0" sqref="C15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0.82"/>
    <col collapsed="false" customWidth="true" hidden="false" outlineLevel="0" max="3" min="3" style="0" width="12.99"/>
    <col collapsed="false" customWidth="true" hidden="false" outlineLevel="0" max="5" min="5" style="0" width="14.99"/>
    <col collapsed="false" customWidth="true" hidden="false" outlineLevel="0" max="6" min="6" style="0" width="12.49"/>
    <col collapsed="false" customWidth="true" hidden="false" outlineLevel="0" max="7" min="7" style="0" width="12.82"/>
    <col collapsed="false" customWidth="true" hidden="false" outlineLevel="0" max="8" min="8" style="0" width="10.49"/>
    <col collapsed="false" customWidth="true" hidden="false" outlineLevel="0" max="11" min="11" style="0" width="12.99"/>
  </cols>
  <sheetData>
    <row r="2" customFormat="false" ht="26.25" hidden="false" customHeight="false" outlineLevel="0" collapsed="false">
      <c r="A2" s="43" t="s">
        <v>192</v>
      </c>
      <c r="B2" s="43" t="s">
        <v>193</v>
      </c>
      <c r="C2" s="43" t="s">
        <v>97</v>
      </c>
      <c r="D2" s="43"/>
      <c r="E2" s="44" t="s">
        <v>194</v>
      </c>
      <c r="F2" s="43" t="s">
        <v>195</v>
      </c>
      <c r="G2" s="0" t="s">
        <v>51</v>
      </c>
      <c r="H2" s="0" t="s">
        <v>47</v>
      </c>
      <c r="I2" s="0" t="s">
        <v>198</v>
      </c>
      <c r="J2" s="0" t="s">
        <v>55</v>
      </c>
      <c r="K2" s="0" t="s">
        <v>200</v>
      </c>
    </row>
    <row r="3" customFormat="false" ht="11.25" hidden="false" customHeight="false" outlineLevel="0" collapsed="false">
      <c r="A3" s="80" t="s">
        <v>77</v>
      </c>
      <c r="B3" s="81" t="s">
        <v>313</v>
      </c>
      <c r="C3" s="82" t="n">
        <v>24117800</v>
      </c>
      <c r="D3" s="83"/>
      <c r="E3" s="84" t="n">
        <v>10.75</v>
      </c>
      <c r="F3" s="85"/>
      <c r="G3" s="80"/>
      <c r="H3" s="86"/>
      <c r="I3" s="86"/>
      <c r="J3" s="86"/>
      <c r="K3" s="87"/>
    </row>
    <row r="4" customFormat="false" ht="11.25" hidden="false" customHeight="false" outlineLevel="0" collapsed="false">
      <c r="A4" s="0" t="s">
        <v>207</v>
      </c>
      <c r="B4" s="45"/>
      <c r="C4" s="30"/>
      <c r="D4" s="30"/>
      <c r="E4" s="46"/>
      <c r="F4" s="50"/>
      <c r="G4" s="50"/>
    </row>
    <row r="5" customFormat="false" ht="11.25" hidden="false" customHeight="false" outlineLevel="0" collapsed="false">
      <c r="A5" s="0" t="s">
        <v>208</v>
      </c>
      <c r="B5" s="45"/>
      <c r="C5" s="30"/>
      <c r="D5" s="30"/>
      <c r="E5" s="46"/>
      <c r="F5" s="50"/>
      <c r="G5" s="50"/>
    </row>
    <row r="6" customFormat="false" ht="12.75" hidden="false" customHeight="false" outlineLevel="0" collapsed="false">
      <c r="A6" s="51" t="s">
        <v>209</v>
      </c>
      <c r="B6" s="52"/>
      <c r="C6" s="30"/>
      <c r="D6" s="30"/>
      <c r="E6" s="46"/>
      <c r="F6" s="47"/>
      <c r="G6" s="47"/>
    </row>
    <row r="7" customFormat="false" ht="11.25" hidden="false" customHeight="false" outlineLevel="0" collapsed="false">
      <c r="B7" s="45"/>
      <c r="C7" s="30"/>
      <c r="D7" s="45"/>
      <c r="E7" s="46"/>
    </row>
    <row r="8" customFormat="false" ht="11.25" hidden="false" customHeight="false" outlineLevel="0" collapsed="false">
      <c r="A8" s="1" t="s">
        <v>314</v>
      </c>
      <c r="B8" s="45"/>
      <c r="C8" s="30"/>
      <c r="D8" s="45"/>
      <c r="E8" s="46"/>
    </row>
    <row r="9" customFormat="false" ht="11.25" hidden="false" customHeight="false" outlineLevel="0" collapsed="false">
      <c r="A9" s="0" t="s">
        <v>315</v>
      </c>
      <c r="B9" s="88" t="n">
        <v>36916</v>
      </c>
    </row>
    <row r="11" customFormat="false" ht="11.25" hidden="false" customHeight="false" outlineLevel="0" collapsed="false">
      <c r="A11" s="1" t="s">
        <v>316</v>
      </c>
      <c r="B11" s="1" t="s">
        <v>63</v>
      </c>
      <c r="C11" s="1" t="s">
        <v>317</v>
      </c>
      <c r="D11" s="1" t="s">
        <v>318</v>
      </c>
      <c r="E11" s="1" t="s">
        <v>319</v>
      </c>
      <c r="F11" s="1" t="s">
        <v>164</v>
      </c>
      <c r="G11" s="1" t="s">
        <v>320</v>
      </c>
      <c r="H11" s="1" t="s">
        <v>165</v>
      </c>
      <c r="I11" s="1" t="s">
        <v>321</v>
      </c>
      <c r="J11" s="1" t="s">
        <v>322</v>
      </c>
      <c r="K11" s="1" t="s">
        <v>323</v>
      </c>
    </row>
    <row r="12" customFormat="false" ht="11.25" hidden="false" customHeight="false" outlineLevel="0" collapsed="false">
      <c r="A12" s="1" t="s">
        <v>324</v>
      </c>
      <c r="B12" s="0" t="n">
        <v>36616</v>
      </c>
      <c r="C12" s="24" t="n">
        <v>33832</v>
      </c>
      <c r="D12" s="0" t="n">
        <v>591</v>
      </c>
      <c r="E12" s="30" t="n">
        <v>19994712</v>
      </c>
      <c r="F12" s="30" t="n">
        <v>18023750</v>
      </c>
      <c r="G12" s="13" t="n">
        <v>18122379.9652778</v>
      </c>
      <c r="H12" s="30" t="n">
        <v>1976250</v>
      </c>
      <c r="I12" s="0" t="n">
        <v>0.15</v>
      </c>
      <c r="J12" s="0" t="n">
        <v>300</v>
      </c>
      <c r="K12" s="13" t="n">
        <v>1996835.9375</v>
      </c>
    </row>
    <row r="13" customFormat="false" ht="11.25" hidden="false" customHeight="false" outlineLevel="0" collapsed="false">
      <c r="A13" s="1" t="s">
        <v>325</v>
      </c>
      <c r="B13" s="0" t="n">
        <v>36798</v>
      </c>
      <c r="C13" s="24" t="n">
        <v>42291</v>
      </c>
      <c r="D13" s="0" t="n">
        <v>2150</v>
      </c>
      <c r="E13" s="30" t="n">
        <v>90925650</v>
      </c>
      <c r="F13" s="30" t="n">
        <v>86971504</v>
      </c>
      <c r="G13" s="13" t="n">
        <v>87485505.58864</v>
      </c>
      <c r="H13" s="30" t="n">
        <v>3954146</v>
      </c>
      <c r="I13" s="0" t="n">
        <v>0.15</v>
      </c>
      <c r="J13" s="0" t="n">
        <v>118</v>
      </c>
      <c r="K13" s="13" t="n">
        <v>3998630.1425</v>
      </c>
    </row>
    <row r="14" customFormat="false" ht="11.25" hidden="false" customHeight="false" outlineLevel="0" collapsed="false">
      <c r="A14" s="1" t="s">
        <v>326</v>
      </c>
      <c r="B14" s="0" t="n">
        <v>36766</v>
      </c>
      <c r="C14" s="24" t="n">
        <v>13955</v>
      </c>
      <c r="D14" s="0" t="n">
        <v>2150.61626657112</v>
      </c>
      <c r="E14" s="30" t="n">
        <v>30011850</v>
      </c>
      <c r="F14" s="30" t="n">
        <v>29111495</v>
      </c>
      <c r="G14" s="13" t="n">
        <v>29289916.1182444</v>
      </c>
      <c r="H14" s="30" t="n">
        <v>900355</v>
      </c>
      <c r="I14" s="0" t="n">
        <v>0.15</v>
      </c>
      <c r="J14" s="0" t="n">
        <v>150</v>
      </c>
      <c r="K14" s="13" t="n">
        <v>910859.141666667</v>
      </c>
    </row>
    <row r="15" customFormat="false" ht="11.25" hidden="false" customHeight="false" outlineLevel="0" collapsed="false">
      <c r="C15" s="0" t="n">
        <v>90078</v>
      </c>
      <c r="E15" s="30" t="n">
        <v>140932212</v>
      </c>
      <c r="F15" s="30" t="n">
        <v>134106749</v>
      </c>
      <c r="G15" s="30" t="n">
        <v>134897801.672162</v>
      </c>
      <c r="H15" s="30" t="n">
        <v>6830751</v>
      </c>
      <c r="K15" s="0" t="n">
        <v>6906325.22166667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0" activeCellId="0" sqref="A10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0.82"/>
    <col collapsed="false" customWidth="true" hidden="false" outlineLevel="0" max="2" min="2" style="0" width="8.65"/>
    <col collapsed="false" customWidth="true" hidden="false" outlineLevel="0" max="3" min="3" style="0" width="11.49"/>
    <col collapsed="false" customWidth="true" hidden="false" outlineLevel="0" max="6" min="6" style="0" width="13.49"/>
    <col collapsed="false" customWidth="true" hidden="false" outlineLevel="0" max="7" min="7" style="0" width="8.82"/>
    <col collapsed="false" customWidth="true" hidden="false" outlineLevel="0" max="12" min="12" style="0" width="12.99"/>
  </cols>
  <sheetData>
    <row r="2" customFormat="false" ht="51.75" hidden="false" customHeight="false" outlineLevel="0" collapsed="false">
      <c r="A2" s="43" t="s">
        <v>192</v>
      </c>
      <c r="B2" s="43" t="s">
        <v>193</v>
      </c>
      <c r="C2" s="43" t="s">
        <v>97</v>
      </c>
      <c r="D2" s="43"/>
      <c r="E2" s="44" t="s">
        <v>194</v>
      </c>
      <c r="F2" s="43" t="s">
        <v>195</v>
      </c>
      <c r="G2" s="0" t="s">
        <v>51</v>
      </c>
      <c r="H2" s="0" t="s">
        <v>47</v>
      </c>
      <c r="I2" s="0" t="s">
        <v>198</v>
      </c>
      <c r="J2" s="0" t="s">
        <v>55</v>
      </c>
      <c r="K2" s="0" t="s">
        <v>196</v>
      </c>
      <c r="L2" s="0" t="s">
        <v>200</v>
      </c>
    </row>
    <row r="3" customFormat="false" ht="11.25" hidden="false" customHeight="false" outlineLevel="0" collapsed="false">
      <c r="A3" s="0" t="s">
        <v>203</v>
      </c>
      <c r="B3" s="45" t="s">
        <v>204</v>
      </c>
      <c r="C3" s="89" t="n">
        <v>6326045</v>
      </c>
      <c r="D3" s="30"/>
      <c r="E3" s="46" t="n">
        <v>84.88</v>
      </c>
      <c r="F3" s="50"/>
      <c r="G3" s="47"/>
      <c r="L3" s="48"/>
    </row>
    <row r="4" customFormat="false" ht="11.25" hidden="false" customHeight="false" outlineLevel="0" collapsed="false">
      <c r="A4" s="0" t="s">
        <v>207</v>
      </c>
      <c r="B4" s="45"/>
      <c r="C4" s="30"/>
      <c r="D4" s="30"/>
      <c r="E4" s="46"/>
      <c r="F4" s="50"/>
      <c r="G4" s="50"/>
    </row>
    <row r="5" customFormat="false" ht="11.25" hidden="false" customHeight="false" outlineLevel="0" collapsed="false">
      <c r="A5" s="0" t="s">
        <v>208</v>
      </c>
      <c r="B5" s="45"/>
      <c r="C5" s="30"/>
      <c r="D5" s="30"/>
      <c r="E5" s="46"/>
      <c r="F5" s="50"/>
      <c r="G5" s="50"/>
    </row>
    <row r="6" customFormat="false" ht="12.75" hidden="false" customHeight="false" outlineLevel="0" collapsed="false">
      <c r="A6" s="51" t="s">
        <v>209</v>
      </c>
      <c r="B6" s="52"/>
      <c r="C6" s="30"/>
      <c r="D6" s="30"/>
      <c r="E6" s="46"/>
      <c r="F6" s="47"/>
      <c r="G6" s="47"/>
    </row>
    <row r="7" customFormat="false" ht="12.75" hidden="false" customHeight="false" outlineLevel="0" collapsed="false">
      <c r="A7" s="51"/>
      <c r="B7" s="52"/>
      <c r="C7" s="30"/>
      <c r="D7" s="30"/>
      <c r="E7" s="46"/>
      <c r="F7" s="47"/>
      <c r="G7" s="47"/>
    </row>
    <row r="8" customFormat="false" ht="12.75" hidden="false" customHeight="false" outlineLevel="0" collapsed="false">
      <c r="A8" s="53" t="s">
        <v>210</v>
      </c>
      <c r="B8" s="52"/>
      <c r="C8" s="30"/>
      <c r="D8" s="30"/>
      <c r="E8" s="46"/>
      <c r="F8" s="47"/>
      <c r="G8" s="47"/>
    </row>
    <row r="9" customFormat="false" ht="12.75" hidden="false" customHeight="false" outlineLevel="0" collapsed="false">
      <c r="A9" s="51"/>
      <c r="B9" s="52"/>
      <c r="C9" s="30"/>
      <c r="D9" s="30"/>
      <c r="E9" s="46"/>
      <c r="F9" s="47"/>
      <c r="G9" s="47"/>
    </row>
    <row r="10" customFormat="false" ht="12.75" hidden="false" customHeight="false" outlineLevel="0" collapsed="false">
      <c r="A10" s="90" t="s">
        <v>327</v>
      </c>
      <c r="B10" s="52"/>
      <c r="C10" s="30"/>
      <c r="D10" s="30"/>
      <c r="E10" s="46"/>
      <c r="F10" s="47"/>
      <c r="G10" s="47"/>
    </row>
    <row r="11" customFormat="false" ht="12.75" hidden="false" customHeight="false" outlineLevel="0" collapsed="false">
      <c r="A11" s="55"/>
      <c r="B11" s="45"/>
      <c r="E11" s="56"/>
    </row>
    <row r="12" customFormat="false" ht="11.25" hidden="false" customHeight="false" outlineLevel="0" collapsed="false">
      <c r="B12" s="45"/>
      <c r="C12" s="30"/>
      <c r="D12" s="45"/>
      <c r="E12" s="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2001-01-12T18:18:35Z</dcterms:created>
  <dc:creator>pfissle</dc:creator>
  <dc:description/>
  <dc:language>en-US</dc:language>
  <cp:lastModifiedBy>rbharati</cp:lastModifiedBy>
  <cp:lastPrinted>2001-02-06T12:46:13Z</cp:lastPrinted>
  <dcterms:modified xsi:type="dcterms:W3CDTF">2001-01-12T19:14:17Z</dcterms:modified>
  <cp:revision>0</cp:revision>
  <dc:subject/>
  <dc:title/>
</cp:coreProperties>
</file>