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" sheetId="1" state="visible" r:id="rId3"/>
    <sheet name="Gen Engines" sheetId="2" state="visible" r:id="rId4"/>
    <sheet name="Netting Calcs" sheetId="3" state="visible" r:id="rId5"/>
    <sheet name="2000 EIQ" sheetId="4" state="visible" r:id="rId6"/>
    <sheet name="1999 EIQ" sheetId="5" state="visible" r:id="rId7"/>
    <sheet name="Alternative" sheetId="6" state="visible" r:id="rId8"/>
    <sheet name="Summary" sheetId="7" state="visible" r:id="rId9"/>
    <sheet name="Example" sheetId="8" state="visible" r:id="rId10"/>
    <sheet name="I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<sst xmlns="http://schemas.openxmlformats.org/spreadsheetml/2006/main" count="523" uniqueCount="209">
  <si>
    <t xml:space="preserve">TRANSWESTERN PIPELINE COMPANY</t>
  </si>
  <si>
    <t xml:space="preserve">RED ROCK EXPANSION PROJECT</t>
  </si>
  <si>
    <t xml:space="preserve">KINGMAN COMPRESSOR STATION</t>
  </si>
  <si>
    <t xml:space="preserve">Table 1</t>
  </si>
  <si>
    <t xml:space="preserve">TURBINE INFORMATION</t>
  </si>
  <si>
    <t xml:space="preserve">Manufacturer:</t>
  </si>
  <si>
    <t xml:space="preserve">GE LM2500</t>
  </si>
  <si>
    <t xml:space="preserve">Fuel Type:</t>
  </si>
  <si>
    <t xml:space="preserve">Sweet Natural Gas</t>
  </si>
  <si>
    <t xml:space="preserve">HHV:</t>
  </si>
  <si>
    <t xml:space="preserve">Btu/scf</t>
  </si>
  <si>
    <t xml:space="preserve">Site Elevation:</t>
  </si>
  <si>
    <t xml:space="preserve">Inlet Loss:</t>
  </si>
  <si>
    <t xml:space="preserve">in H2O</t>
  </si>
  <si>
    <t xml:space="preserve">Exhaust Loss:</t>
  </si>
  <si>
    <t xml:space="preserve">Shaft Power:</t>
  </si>
  <si>
    <t xml:space="preserve">hp @ 12.8oF (Base Load)</t>
  </si>
  <si>
    <t xml:space="preserve">hp @ 60oF (Base Load)</t>
  </si>
  <si>
    <t xml:space="preserve">Max Heat Rate:</t>
  </si>
  <si>
    <t xml:space="preserve">Btu/hp-hr @95oF (50% Load)</t>
  </si>
  <si>
    <t xml:space="preserve">MMBtu/hr</t>
  </si>
  <si>
    <t xml:space="preserve">(Max Heat Rate x shp@12.8oF)</t>
  </si>
  <si>
    <t xml:space="preserve">Avg Heat Rate:</t>
  </si>
  <si>
    <t xml:space="preserve">Btu/hp-hr @60oF (Base Load)</t>
  </si>
  <si>
    <t xml:space="preserve">(Avg Heat Rate x shp@60oF)</t>
  </si>
  <si>
    <t xml:space="preserve">Speed:</t>
  </si>
  <si>
    <t xml:space="preserve">rpm</t>
  </si>
  <si>
    <t xml:space="preserve">Max Hourly Fuel:</t>
  </si>
  <si>
    <t xml:space="preserve">MMscf/hr</t>
  </si>
  <si>
    <t xml:space="preserve">(Max Heat Rate/HHV)</t>
  </si>
  <si>
    <t xml:space="preserve">Avg Hourly Fuel:</t>
  </si>
  <si>
    <t xml:space="preserve">(Avg Heat Rate/HHV)</t>
  </si>
  <si>
    <t xml:space="preserve">Annual Fuel:</t>
  </si>
  <si>
    <t xml:space="preserve">MMscf/yr</t>
  </si>
  <si>
    <t xml:space="preserve">(Avg Fuel x 8760)</t>
  </si>
  <si>
    <t xml:space="preserve">Potential Emissions</t>
  </si>
  <si>
    <t xml:space="preserve">Temp</t>
  </si>
  <si>
    <t xml:space="preserve">Turbine</t>
  </si>
  <si>
    <t xml:space="preserve">NOx (as NO2)</t>
  </si>
  <si>
    <t xml:space="preserve">CO</t>
  </si>
  <si>
    <t xml:space="preserve">THC</t>
  </si>
  <si>
    <t xml:space="preserve">(oF)</t>
  </si>
  <si>
    <t xml:space="preserve">Load (%)</t>
  </si>
  <si>
    <t xml:space="preserve">(lb/hr)</t>
  </si>
  <si>
    <t xml:space="preserve">(tpy)</t>
  </si>
  <si>
    <t xml:space="preserve">Base</t>
  </si>
  <si>
    <t xml:space="preserve">Max Hourly</t>
  </si>
  <si>
    <t xml:space="preserve">Base Load Max</t>
  </si>
  <si>
    <t xml:space="preserve">AP-42 Emission Factors (04/00)</t>
  </si>
  <si>
    <t xml:space="preserve">PM</t>
  </si>
  <si>
    <t xml:space="preserve">lb/MMBtu</t>
  </si>
  <si>
    <t xml:space="preserve">SO2</t>
  </si>
  <si>
    <t xml:space="preserve">Formaldehyde</t>
  </si>
  <si>
    <t xml:space="preserve">Proposed Turbine Emissions</t>
  </si>
  <si>
    <t xml:space="preserve">Maximum</t>
  </si>
  <si>
    <t xml:space="preserve">Annual</t>
  </si>
  <si>
    <t xml:space="preserve">Pollutant</t>
  </si>
  <si>
    <t xml:space="preserve">NOX</t>
  </si>
  <si>
    <t xml:space="preserve">operating at 64% load 100% of time</t>
  </si>
  <si>
    <t xml:space="preserve">VOC</t>
  </si>
  <si>
    <t xml:space="preserve">Proposed Turbine Emissions with 15% Safety Factor</t>
  </si>
  <si>
    <t xml:space="preserve">Table 2</t>
  </si>
  <si>
    <t xml:space="preserve">GENERATOR ENGINE INFORMATION</t>
  </si>
  <si>
    <t xml:space="preserve">Caterpillar 3406B</t>
  </si>
  <si>
    <t xml:space="preserve">Diesel</t>
  </si>
  <si>
    <t xml:space="preserve">Rated Power:</t>
  </si>
  <si>
    <t xml:space="preserve">hp @100% Load</t>
  </si>
  <si>
    <t xml:space="preserve">Fuel Flow Rate:</t>
  </si>
  <si>
    <t xml:space="preserve">gal/hr</t>
  </si>
  <si>
    <t xml:space="preserve">lb/hr @s.g. 0.87</t>
  </si>
  <si>
    <t xml:space="preserve">Diesel Heat:</t>
  </si>
  <si>
    <t xml:space="preserve">Btu/lb</t>
  </si>
  <si>
    <t xml:space="preserve">Heat Rate:</t>
  </si>
  <si>
    <t xml:space="preserve">Btu/hp-hr</t>
  </si>
  <si>
    <t xml:space="preserve">Operating Schedule:</t>
  </si>
  <si>
    <t xml:space="preserve">hours/yr</t>
  </si>
  <si>
    <t xml:space="preserve">Emission Factors</t>
  </si>
  <si>
    <t xml:space="preserve">Rate</t>
  </si>
  <si>
    <t xml:space="preserve">Units</t>
  </si>
  <si>
    <t xml:space="preserve">Source</t>
  </si>
  <si>
    <t xml:space="preserve">NOx</t>
  </si>
  <si>
    <t xml:space="preserve">lb/hr</t>
  </si>
  <si>
    <t xml:space="preserve">Mfr</t>
  </si>
  <si>
    <t xml:space="preserve">AP-42</t>
  </si>
  <si>
    <t xml:space="preserve">Proposed Generator Engine  Emissions</t>
  </si>
  <si>
    <t xml:space="preserve">1999 Emissions Based on Test Data</t>
  </si>
  <si>
    <t xml:space="preserve">Unit</t>
  </si>
  <si>
    <t xml:space="preserve">Nox (tpy)</t>
  </si>
  <si>
    <t xml:space="preserve">CO (tpy)</t>
  </si>
  <si>
    <t xml:space="preserve">VOC (tpy)</t>
  </si>
  <si>
    <t xml:space="preserve">001</t>
  </si>
  <si>
    <t xml:space="preserve">002</t>
  </si>
  <si>
    <t xml:space="preserve">003</t>
  </si>
  <si>
    <t xml:space="preserve">Total</t>
  </si>
  <si>
    <t xml:space="preserve">2000 Emissions Based on Test Data</t>
  </si>
  <si>
    <t xml:space="preserve">Last 2-Year Emissions Average </t>
  </si>
  <si>
    <t xml:space="preserve">Proposed Emission Increases (tpy)</t>
  </si>
  <si>
    <t xml:space="preserve">Gen Engines</t>
  </si>
  <si>
    <t xml:space="preserve">TOTAL</t>
  </si>
  <si>
    <t xml:space="preserve">Contemporaneous Emission Decreases (tpy)</t>
  </si>
  <si>
    <t xml:space="preserve">Net Change (Increase - Decrease) (tpy)</t>
  </si>
  <si>
    <t xml:space="preserve">Notes:</t>
  </si>
  <si>
    <t xml:space="preserve">(1) Proposed NOx, CO, and VOC emissions based on turbine being operated at 64% load 100% of the time.</t>
  </si>
  <si>
    <t xml:space="preserve">(2) Proposed increases are from proposed turbine and generator engines.</t>
  </si>
  <si>
    <t xml:space="preserve">(3) Contemporaneous decreases are from permanent shutdown of Units 101, 102, 103, 121, and 122.</t>
  </si>
  <si>
    <t xml:space="preserve">KINGMAN COMPRESSOR STATION #1</t>
  </si>
  <si>
    <t xml:space="preserve"> </t>
  </si>
  <si>
    <t xml:space="preserve">2000 ARIZONA EMISSIONS </t>
  </si>
  <si>
    <t xml:space="preserve">NATURAL GAS FIRED PIPELINE COMPRESSOR ENGINE ANNUAL EMISSIONS BASED ON TEST DATA</t>
  </si>
  <si>
    <t xml:space="preserve">POINT 101: STACKS 001, 002, 003, 121   </t>
  </si>
  <si>
    <t xml:space="preserve">STACK</t>
  </si>
  <si>
    <t xml:space="preserve">RATED</t>
  </si>
  <si>
    <t xml:space="preserve">EMISSION FACTORS (lb/MMBtu)</t>
  </si>
  <si>
    <t xml:space="preserve">ANNUAL EMISSIONS (TONS/YR)</t>
  </si>
  <si>
    <t xml:space="preserve">Fuel</t>
  </si>
  <si>
    <t xml:space="preserve">I.D.</t>
  </si>
  <si>
    <t xml:space="preserve">ANNUAL</t>
  </si>
  <si>
    <t xml:space="preserve">HORSE</t>
  </si>
  <si>
    <t xml:space="preserve">(3)</t>
  </si>
  <si>
    <t xml:space="preserve">(2)</t>
  </si>
  <si>
    <t xml:space="preserve">(1)</t>
  </si>
  <si>
    <t xml:space="preserve">Usage</t>
  </si>
  <si>
    <t xml:space="preserve">% Run</t>
  </si>
  <si>
    <t xml:space="preserve">#</t>
  </si>
  <si>
    <t xml:space="preserve">HOURS</t>
  </si>
  <si>
    <t xml:space="preserve">POWER</t>
  </si>
  <si>
    <t xml:space="preserve">nm-VOC</t>
  </si>
  <si>
    <t xml:space="preserve">PM10</t>
  </si>
  <si>
    <t xml:space="preserve">(MMscf)</t>
  </si>
  <si>
    <t xml:space="preserve">Time</t>
  </si>
  <si>
    <t xml:space="preserve">NOTES:</t>
  </si>
  <si>
    <t xml:space="preserve">(1) Emission factor for PM10 from AP-42, Table 3.2-3 (7/00), 100% of Total Outlet particulate is assumed to be PM10.</t>
  </si>
  <si>
    <t xml:space="preserve">(2) Engine emission factors (Unit 121) for NOx, CO from source test, and nm-VOC from AP-42,Table 3.2-3 (7/00) for 4-cycle rich burn engines.</t>
  </si>
  <si>
    <t xml:space="preserve">(3) SO2 emission factors from EPA's database "AFSEF" using average fuel consumption of 8500 Btu/hp-hr and 1046 Btu/scf. </t>
  </si>
  <si>
    <t xml:space="preserve">(4) Engine emission factors for NOx, CO, and nm-VOC for Units 001, 002, and 003 from stack testing data.</t>
  </si>
  <si>
    <t xml:space="preserve">TEST DATA</t>
  </si>
  <si>
    <t xml:space="preserve">TEST 1</t>
  </si>
  <si>
    <t xml:space="preserve">TEST 2</t>
  </si>
  <si>
    <t xml:space="preserve">TEST 3</t>
  </si>
  <si>
    <t xml:space="preserve">AVG </t>
  </si>
  <si>
    <t xml:space="preserve">UNIT 001</t>
  </si>
  <si>
    <t xml:space="preserve">UNIT 002</t>
  </si>
  <si>
    <t xml:space="preserve">UNIT 003</t>
  </si>
  <si>
    <t xml:space="preserve">* NOx and CO data were obtained from the emission test conducted between July 27-29, 1998</t>
  </si>
  <si>
    <t xml:space="preserve">1999 ARIZONA EMISSIONS </t>
  </si>
  <si>
    <t xml:space="preserve">POINT 101: STACKS 001,002,003    </t>
  </si>
  <si>
    <t xml:space="preserve">EMISSION FACTORS (lb/hp-hr) and (lb/hr)</t>
  </si>
  <si>
    <t xml:space="preserve">(1) Emission factor for PM10 from AP-42, Table 3.2-3, 100% of Total Outlet particulate is assumed to be PM10.</t>
  </si>
  <si>
    <t xml:space="preserve">(2) Engine emission factors for NOx, CO, and nm-VOC from stack testing data.</t>
  </si>
  <si>
    <t xml:space="preserve">Table 4</t>
  </si>
  <si>
    <t xml:space="preserve">ALTERNATIVE OPERATING SCENARIO EMISSIONS</t>
  </si>
  <si>
    <t xml:space="preserve">Engine Data</t>
  </si>
  <si>
    <t xml:space="preserve">Operating Hours:</t>
  </si>
  <si>
    <t xml:space="preserve">hours</t>
  </si>
  <si>
    <t xml:space="preserve">Comp Rated hp:</t>
  </si>
  <si>
    <t xml:space="preserve">hp</t>
  </si>
  <si>
    <t xml:space="preserve">Gen Rate hp:</t>
  </si>
  <si>
    <t xml:space="preserve">AP-42 Emissions Factors (07/00) for 4-Cycle Rich &lt;90% Load</t>
  </si>
  <si>
    <t xml:space="preserve">Proposed Emissions (tpy)</t>
  </si>
  <si>
    <t xml:space="preserve">* NOx, CO and PM calculations were carried out with emission test data </t>
  </si>
  <si>
    <t xml:space="preserve">Alternative scenario operating limit.</t>
  </si>
  <si>
    <t xml:space="preserve">Alternative scenario should not result in 12-month rolling emissions &gt; actuals + 40 tpy = </t>
  </si>
  <si>
    <t xml:space="preserve">tpy</t>
  </si>
  <si>
    <t xml:space="preserve">For six months emissions should not be &gt;</t>
  </si>
  <si>
    <t xml:space="preserve">For six months emissions from proposed project =</t>
  </si>
  <si>
    <t xml:space="preserve">For six months emissions, alternative scenario should not be &gt;</t>
  </si>
  <si>
    <t xml:space="preserve">As seen in the table, NOX for</t>
  </si>
  <si>
    <t xml:space="preserve">&lt;</t>
  </si>
  <si>
    <t xml:space="preserve">Table 5</t>
  </si>
  <si>
    <t xml:space="preserve">SUMMARY OF STATION EMISSIONS</t>
  </si>
  <si>
    <t xml:space="preserve">PRIMARY OPERATING SCENARIO</t>
  </si>
  <si>
    <t xml:space="preserve">Source Name</t>
  </si>
  <si>
    <t xml:space="preserve">Source ID</t>
  </si>
  <si>
    <t xml:space="preserve">Compressor Engine 1</t>
  </si>
  <si>
    <t xml:space="preserve">P1</t>
  </si>
  <si>
    <t xml:space="preserve">Compressor Engine 2</t>
  </si>
  <si>
    <t xml:space="preserve">P2</t>
  </si>
  <si>
    <t xml:space="preserve">Compressor Engine 3</t>
  </si>
  <si>
    <t xml:space="preserve">P3</t>
  </si>
  <si>
    <t xml:space="preserve">Generator Engine 1</t>
  </si>
  <si>
    <t xml:space="preserve">P4</t>
  </si>
  <si>
    <t xml:space="preserve">Generator Engine 2</t>
  </si>
  <si>
    <t xml:space="preserve">P5</t>
  </si>
  <si>
    <t xml:space="preserve">Compressor Turbine</t>
  </si>
  <si>
    <t xml:space="preserve">P7</t>
  </si>
  <si>
    <t xml:space="preserve">Diesel Generator Engine</t>
  </si>
  <si>
    <t xml:space="preserve">P8</t>
  </si>
  <si>
    <t xml:space="preserve">ALTERNATIVE OPERATING SCENARIO</t>
  </si>
  <si>
    <t xml:space="preserve">Diesel Generator Engine </t>
  </si>
  <si>
    <t xml:space="preserve">Table 6</t>
  </si>
  <si>
    <t xml:space="preserve">EXAMPLE EMISSION CALCULATIONS</t>
  </si>
  <si>
    <t xml:space="preserve">GE LM2500 TURBINE</t>
  </si>
  <si>
    <t xml:space="preserve">NOx Emissions</t>
  </si>
  <si>
    <t xml:space="preserve">Maximum Hourly (lb/hr)</t>
  </si>
  <si>
    <t xml:space="preserve">lb/hr =</t>
  </si>
  <si>
    <t xml:space="preserve">maximum hourly emission rate at 64% load at 00F x 1.15</t>
  </si>
  <si>
    <t xml:space="preserve">Annual (ton per year)</t>
  </si>
  <si>
    <t xml:space="preserve">tpy =</t>
  </si>
  <si>
    <t xml:space="preserve">Max hourly (lb/hr) x 8760 hrs/yr x 1/2000 tons/lb</t>
  </si>
  <si>
    <t xml:space="preserve">CO Emissions</t>
  </si>
  <si>
    <t xml:space="preserve">VOC Emissions</t>
  </si>
  <si>
    <t xml:space="preserve">maximum hourly emission rate at 64% load at 0oF x 10% NMHC x 1.15</t>
  </si>
  <si>
    <t xml:space="preserve">Particulate Emissions</t>
  </si>
  <si>
    <t xml:space="preserve">maximum heat rate at 50% load at 95oF x AP42 factor lb/MMBtu x 1.15</t>
  </si>
  <si>
    <t xml:space="preserve">385.80 MMBtu/hr x 6.6E-3 lb/MMBtu x 1.15</t>
  </si>
  <si>
    <t xml:space="preserve">SO2 Emissions</t>
  </si>
  <si>
    <t xml:space="preserve">385.80 MMBtu/hr x 3.4E-3 lb/MMBtu x 1.15</t>
  </si>
  <si>
    <t xml:space="preserve">Formaldehyde Emissions</t>
  </si>
  <si>
    <t xml:space="preserve">385.80 MMBtu/hr x 7.1E-4 lb/MMBtu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</si>
</sst>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0.0"/>
    <numFmt numFmtId="167" formatCode="0.00"/>
    <numFmt numFmtId="168" formatCode="0.00E+00"/>
    <numFmt numFmtId="169" formatCode="0"/>
    <numFmt numFmtId="170" formatCode="0.000"/>
    <numFmt numFmtId="171" formatCode="#,##0.00"/>
    <numFmt numFmtId="172" formatCode="#,##0.000"/>
    <numFmt numFmtId="173" formatCode="#,##0.0000"/>
    <numFmt numFmtId="174" formatCode="0%"/>
    <numFmt numFmtId="175" formatCode="0.0%"/>
    <numFmt numFmtId="176" formatCode="0.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0"/>
    </font>
    <font>
      <b val="true"/>
      <sz val="14"/>
      <name val="Arial"/>
      <family val="0"/>
    </font>
    <font>
      <b val="true"/>
      <sz val="16"/>
      <name val="Arial"/>
      <family val="0"/>
    </font>
    <font>
      <sz val="12"/>
      <name val="Arial"/>
      <family val="0"/>
    </font>
    <font>
      <sz val="14"/>
      <name val="Arial"/>
      <family val="0"/>
    </font>
    <font>
      <b val="true"/>
      <sz val="12"/>
      <name val="Arial"/>
      <family val="0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44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0" xfId="20"/>
    <cellStyle name="Currency0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0.85"/>
  </cols>
  <sheetData>
    <row r="1" customFormat="false" ht="24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4.0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4.0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customFormat="false" ht="19.35" hidden="false" customHeight="false" outlineLevel="0" collapsed="false">
      <c r="A5" s="3" t="s">
        <v>3</v>
      </c>
      <c r="C5" s="1"/>
      <c r="D5" s="1"/>
      <c r="E5" s="1"/>
      <c r="F5" s="1"/>
      <c r="G5" s="1"/>
      <c r="H5" s="1"/>
      <c r="I5" s="1"/>
      <c r="J5" s="1"/>
      <c r="K5" s="1"/>
    </row>
    <row r="6" customFormat="false" ht="19.3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Format="false" ht="21.7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10" customFormat="false" ht="19.35" hidden="false" customHeight="false" outlineLevel="0" collapsed="false">
      <c r="A10" s="5" t="s">
        <v>5</v>
      </c>
      <c r="B10" s="5" t="s">
        <v>6</v>
      </c>
      <c r="C10" s="5"/>
      <c r="D10" s="5"/>
      <c r="E10" s="5"/>
      <c r="F10" s="6"/>
      <c r="G10" s="6"/>
      <c r="H10" s="6"/>
      <c r="I10" s="6"/>
      <c r="J10" s="5"/>
      <c r="K10" s="5"/>
    </row>
    <row r="11" customFormat="false" ht="19.35" hidden="false" customHeight="false" outlineLevel="0" collapsed="false">
      <c r="A11" s="5" t="s">
        <v>7</v>
      </c>
      <c r="B11" s="5" t="s">
        <v>8</v>
      </c>
      <c r="C11" s="5"/>
      <c r="D11" s="5"/>
      <c r="E11" s="5"/>
      <c r="F11" s="6"/>
      <c r="G11" s="6"/>
      <c r="H11" s="6"/>
      <c r="I11" s="6"/>
      <c r="J11" s="5"/>
      <c r="K11" s="5"/>
    </row>
    <row r="12" customFormat="false" ht="19.35" hidden="false" customHeight="false" outlineLevel="0" collapsed="false">
      <c r="A12" s="5" t="s">
        <v>9</v>
      </c>
      <c r="B12" s="5" t="n">
        <v>1020</v>
      </c>
      <c r="C12" s="5" t="s">
        <v>10</v>
      </c>
      <c r="D12" s="5"/>
      <c r="E12" s="5"/>
      <c r="F12" s="6"/>
      <c r="G12" s="6"/>
      <c r="H12" s="6"/>
      <c r="I12" s="6"/>
      <c r="J12" s="5"/>
      <c r="K12" s="5"/>
    </row>
    <row r="13" customFormat="false" ht="19.35" hidden="false" customHeight="false" outlineLevel="0" collapsed="false">
      <c r="A13" s="5" t="s">
        <v>11</v>
      </c>
      <c r="B13" s="5" t="n">
        <v>5063</v>
      </c>
      <c r="C13" s="5"/>
      <c r="D13" s="5"/>
      <c r="E13" s="5"/>
      <c r="F13" s="6"/>
      <c r="G13" s="6"/>
      <c r="H13" s="6"/>
      <c r="I13" s="6"/>
      <c r="J13" s="5"/>
      <c r="K13" s="5"/>
    </row>
    <row r="14" customFormat="false" ht="19.35" hidden="false" customHeight="false" outlineLevel="0" collapsed="false">
      <c r="A14" s="5" t="s">
        <v>12</v>
      </c>
      <c r="B14" s="7" t="n">
        <v>4</v>
      </c>
      <c r="C14" s="5" t="s">
        <v>13</v>
      </c>
      <c r="D14" s="5"/>
      <c r="E14" s="5"/>
      <c r="F14" s="6"/>
      <c r="G14" s="6"/>
      <c r="H14" s="6"/>
      <c r="I14" s="6"/>
      <c r="J14" s="5"/>
      <c r="K14" s="5"/>
    </row>
    <row r="15" customFormat="false" ht="19.35" hidden="false" customHeight="false" outlineLevel="0" collapsed="false">
      <c r="A15" s="5" t="s">
        <v>14</v>
      </c>
      <c r="B15" s="7" t="n">
        <v>4</v>
      </c>
      <c r="C15" s="5" t="s">
        <v>13</v>
      </c>
      <c r="D15" s="5"/>
      <c r="E15" s="5"/>
      <c r="F15" s="6"/>
      <c r="G15" s="6"/>
      <c r="H15" s="6"/>
      <c r="I15" s="6"/>
      <c r="J15" s="5"/>
      <c r="K15" s="5"/>
    </row>
    <row r="16" customFormat="false" ht="19.35" hidden="false" customHeight="false" outlineLevel="0" collapsed="false">
      <c r="A16" s="5" t="s">
        <v>15</v>
      </c>
      <c r="B16" s="5" t="n">
        <v>40916</v>
      </c>
      <c r="C16" s="5" t="s">
        <v>16</v>
      </c>
      <c r="D16" s="5"/>
      <c r="E16" s="5"/>
      <c r="F16" s="6"/>
      <c r="G16" s="6"/>
      <c r="H16" s="6"/>
      <c r="I16" s="6"/>
      <c r="J16" s="5"/>
      <c r="K16" s="5"/>
    </row>
    <row r="17" customFormat="false" ht="19.35" hidden="false" customHeight="false" outlineLevel="0" collapsed="false">
      <c r="A17" s="5"/>
      <c r="B17" s="5" t="n">
        <v>33526</v>
      </c>
      <c r="C17" s="5" t="s">
        <v>17</v>
      </c>
      <c r="D17" s="5"/>
      <c r="E17" s="5"/>
      <c r="F17" s="6"/>
      <c r="G17" s="6"/>
      <c r="H17" s="6"/>
      <c r="I17" s="6"/>
      <c r="J17" s="5"/>
      <c r="K17" s="5"/>
    </row>
    <row r="18" customFormat="false" ht="19.35" hidden="false" customHeight="false" outlineLevel="0" collapsed="false">
      <c r="A18" s="5" t="s">
        <v>18</v>
      </c>
      <c r="B18" s="5" t="n">
        <v>9429</v>
      </c>
      <c r="C18" s="5" t="s">
        <v>19</v>
      </c>
      <c r="D18" s="5"/>
      <c r="E18" s="5"/>
      <c r="F18" s="6"/>
      <c r="G18" s="6"/>
      <c r="H18" s="6"/>
      <c r="I18" s="6"/>
      <c r="J18" s="5"/>
      <c r="K18" s="5"/>
    </row>
    <row r="19" customFormat="false" ht="19.35" hidden="false" customHeight="false" outlineLevel="0" collapsed="false">
      <c r="A19" s="5"/>
      <c r="B19" s="8" t="n">
        <f aca="false">+B16*B18/1000000</f>
        <v>385.796964</v>
      </c>
      <c r="C19" s="5" t="s">
        <v>20</v>
      </c>
      <c r="D19" s="5" t="s">
        <v>21</v>
      </c>
      <c r="E19" s="5"/>
      <c r="F19" s="6"/>
      <c r="G19" s="6"/>
      <c r="H19" s="6"/>
      <c r="I19" s="6"/>
      <c r="J19" s="5"/>
      <c r="K19" s="5"/>
    </row>
    <row r="20" customFormat="false" ht="19.35" hidden="false" customHeight="false" outlineLevel="0" collapsed="false">
      <c r="A20" s="5" t="s">
        <v>22</v>
      </c>
      <c r="B20" s="8" t="n">
        <v>6298</v>
      </c>
      <c r="C20" s="5" t="s">
        <v>23</v>
      </c>
      <c r="D20" s="5"/>
      <c r="E20" s="5"/>
      <c r="F20" s="6"/>
      <c r="G20" s="6"/>
      <c r="H20" s="6"/>
      <c r="I20" s="6"/>
      <c r="J20" s="5"/>
      <c r="K20" s="5"/>
    </row>
    <row r="21" customFormat="false" ht="19.35" hidden="false" customHeight="false" outlineLevel="0" collapsed="false">
      <c r="A21" s="5"/>
      <c r="B21" s="8" t="n">
        <f aca="false">+B20*B17/1000000</f>
        <v>211.146748</v>
      </c>
      <c r="C21" s="5" t="s">
        <v>20</v>
      </c>
      <c r="D21" s="5" t="s">
        <v>24</v>
      </c>
      <c r="E21" s="5"/>
      <c r="F21" s="6"/>
      <c r="G21" s="6"/>
      <c r="H21" s="6"/>
      <c r="I21" s="6"/>
      <c r="J21" s="5"/>
      <c r="K21" s="5"/>
    </row>
    <row r="22" customFormat="false" ht="19.35" hidden="false" customHeight="false" outlineLevel="0" collapsed="false">
      <c r="A22" s="5" t="s">
        <v>25</v>
      </c>
      <c r="B22" s="5" t="n">
        <v>6100</v>
      </c>
      <c r="C22" s="5" t="s">
        <v>26</v>
      </c>
      <c r="D22" s="5"/>
      <c r="E22" s="5"/>
      <c r="F22" s="6"/>
      <c r="G22" s="6"/>
      <c r="H22" s="6"/>
      <c r="I22" s="6"/>
      <c r="J22" s="5"/>
      <c r="K22" s="5"/>
    </row>
    <row r="23" customFormat="false" ht="19.35" hidden="false" customHeight="false" outlineLevel="0" collapsed="false">
      <c r="A23" s="5" t="s">
        <v>27</v>
      </c>
      <c r="B23" s="8" t="n">
        <f aca="false">+B19/B12</f>
        <v>0.378232317647059</v>
      </c>
      <c r="C23" s="5" t="s">
        <v>28</v>
      </c>
      <c r="D23" s="5" t="s">
        <v>29</v>
      </c>
      <c r="E23" s="5"/>
      <c r="F23" s="6"/>
      <c r="G23" s="6"/>
      <c r="H23" s="6"/>
      <c r="I23" s="6"/>
      <c r="J23" s="5"/>
      <c r="K23" s="5"/>
    </row>
    <row r="24" customFormat="false" ht="19.35" hidden="false" customHeight="false" outlineLevel="0" collapsed="false">
      <c r="A24" s="5" t="s">
        <v>30</v>
      </c>
      <c r="B24" s="8" t="n">
        <f aca="false">+B21/B12</f>
        <v>0.207006615686275</v>
      </c>
      <c r="C24" s="5" t="s">
        <v>28</v>
      </c>
      <c r="D24" s="5" t="s">
        <v>31</v>
      </c>
      <c r="E24" s="5"/>
      <c r="F24" s="6"/>
      <c r="G24" s="6"/>
      <c r="H24" s="6"/>
      <c r="I24" s="6"/>
      <c r="J24" s="5"/>
      <c r="K24" s="5"/>
    </row>
    <row r="25" customFormat="false" ht="19.35" hidden="false" customHeight="false" outlineLevel="0" collapsed="false">
      <c r="A25" s="5" t="s">
        <v>32</v>
      </c>
      <c r="B25" s="8" t="n">
        <f aca="false">+B24*8760</f>
        <v>1813.37795341176</v>
      </c>
      <c r="C25" s="5" t="s">
        <v>33</v>
      </c>
      <c r="D25" s="5" t="s">
        <v>34</v>
      </c>
      <c r="E25" s="5"/>
      <c r="F25" s="6"/>
      <c r="G25" s="6"/>
      <c r="H25" s="6"/>
      <c r="I25" s="6"/>
      <c r="J25" s="5"/>
      <c r="K25" s="5"/>
    </row>
    <row r="26" customFormat="false" ht="19.3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5"/>
      <c r="K26" s="5"/>
    </row>
    <row r="27" customFormat="false" ht="19.35" hidden="false" customHeight="false" outlineLevel="0" collapsed="false">
      <c r="A27" s="6" t="s">
        <v>35</v>
      </c>
      <c r="B27" s="6"/>
      <c r="C27" s="6"/>
      <c r="D27" s="6"/>
      <c r="E27" s="6"/>
      <c r="F27" s="6"/>
      <c r="G27" s="6"/>
      <c r="H27" s="6"/>
      <c r="I27" s="6"/>
      <c r="J27" s="5"/>
      <c r="K27" s="5"/>
    </row>
    <row r="28" customFormat="false" ht="19.35" hidden="false" customHeight="false" outlineLevel="0" collapsed="false">
      <c r="A28" s="9" t="s">
        <v>36</v>
      </c>
      <c r="B28" s="10" t="s">
        <v>37</v>
      </c>
      <c r="C28" s="11" t="s">
        <v>38</v>
      </c>
      <c r="D28" s="12"/>
      <c r="E28" s="11" t="s">
        <v>39</v>
      </c>
      <c r="F28" s="12"/>
      <c r="G28" s="13" t="s">
        <v>40</v>
      </c>
      <c r="H28" s="12"/>
      <c r="I28" s="6"/>
      <c r="J28" s="5"/>
      <c r="K28" s="5"/>
    </row>
    <row r="29" customFormat="false" ht="19.35" hidden="false" customHeight="false" outlineLevel="0" collapsed="false">
      <c r="A29" s="14" t="s">
        <v>41</v>
      </c>
      <c r="B29" s="15" t="s">
        <v>42</v>
      </c>
      <c r="C29" s="16" t="s">
        <v>43</v>
      </c>
      <c r="D29" s="17" t="s">
        <v>44</v>
      </c>
      <c r="E29" s="17" t="s">
        <v>43</v>
      </c>
      <c r="F29" s="17" t="s">
        <v>44</v>
      </c>
      <c r="G29" s="17" t="s">
        <v>43</v>
      </c>
      <c r="H29" s="17" t="s">
        <v>44</v>
      </c>
      <c r="I29" s="6"/>
    </row>
    <row r="30" customFormat="false" ht="19.35" hidden="false" customHeight="false" outlineLevel="0" collapsed="false">
      <c r="A30" s="17" t="n">
        <v>0</v>
      </c>
      <c r="B30" s="17" t="s">
        <v>45</v>
      </c>
      <c r="C30" s="18" t="n">
        <v>24.6</v>
      </c>
      <c r="D30" s="18" t="n">
        <f aca="false">+C30*8760/2000</f>
        <v>107.748</v>
      </c>
      <c r="E30" s="18" t="n">
        <v>15</v>
      </c>
      <c r="F30" s="18" t="n">
        <f aca="false">+E30*8760/2000</f>
        <v>65.7</v>
      </c>
      <c r="G30" s="19" t="n">
        <v>5.1</v>
      </c>
      <c r="H30" s="18" t="n">
        <f aca="false">+G30*8760/2000</f>
        <v>22.338</v>
      </c>
      <c r="I30" s="6"/>
    </row>
    <row r="31" customFormat="false" ht="19.35" hidden="false" customHeight="false" outlineLevel="0" collapsed="false">
      <c r="A31" s="17" t="n">
        <v>0</v>
      </c>
      <c r="B31" s="17" t="n">
        <v>64</v>
      </c>
      <c r="C31" s="18" t="n">
        <v>27.8</v>
      </c>
      <c r="D31" s="18" t="n">
        <f aca="false">+C31*8760/2000</f>
        <v>121.764</v>
      </c>
      <c r="E31" s="18" t="n">
        <v>16.9</v>
      </c>
      <c r="F31" s="18" t="n">
        <f aca="false">+E31*8760/2000</f>
        <v>74.022</v>
      </c>
      <c r="G31" s="19" t="n">
        <v>5.9</v>
      </c>
      <c r="H31" s="18" t="n">
        <f aca="false">+G31*8760/2000</f>
        <v>25.842</v>
      </c>
      <c r="I31" s="6"/>
    </row>
    <row r="32" customFormat="false" ht="19.35" hidden="false" customHeight="false" outlineLevel="0" collapsed="false">
      <c r="A32" s="17" t="n">
        <v>0</v>
      </c>
      <c r="B32" s="17" t="n">
        <v>50</v>
      </c>
      <c r="C32" s="18" t="n">
        <v>25.2</v>
      </c>
      <c r="D32" s="18" t="n">
        <f aca="false">+C32*8760/2000</f>
        <v>110.376</v>
      </c>
      <c r="E32" s="18" t="n">
        <v>15.3</v>
      </c>
      <c r="F32" s="18" t="n">
        <f aca="false">+E32*8760/2000</f>
        <v>67.014</v>
      </c>
      <c r="G32" s="19" t="n">
        <v>5.4</v>
      </c>
      <c r="H32" s="18" t="n">
        <f aca="false">+G32*8760/2000</f>
        <v>23.652</v>
      </c>
      <c r="I32" s="6"/>
    </row>
    <row r="33" customFormat="false" ht="19.35" hidden="false" customHeight="false" outlineLevel="0" collapsed="false">
      <c r="A33" s="17" t="n">
        <v>12.8</v>
      </c>
      <c r="B33" s="17" t="s">
        <v>45</v>
      </c>
      <c r="C33" s="18" t="n">
        <v>24.9</v>
      </c>
      <c r="D33" s="18" t="n">
        <f aca="false">+C33*8760/2000</f>
        <v>109.062</v>
      </c>
      <c r="E33" s="18" t="n">
        <v>15.2</v>
      </c>
      <c r="F33" s="18" t="n">
        <f aca="false">+E33*8760/2000</f>
        <v>66.576</v>
      </c>
      <c r="G33" s="19" t="n">
        <v>5.1</v>
      </c>
      <c r="H33" s="18" t="n">
        <f aca="false">+G33*8760/2000</f>
        <v>22.338</v>
      </c>
      <c r="I33" s="6"/>
    </row>
    <row r="34" customFormat="false" ht="19.35" hidden="false" customHeight="false" outlineLevel="0" collapsed="false">
      <c r="A34" s="17" t="n">
        <v>12.8</v>
      </c>
      <c r="B34" s="17" t="n">
        <v>50</v>
      </c>
      <c r="C34" s="18" t="n">
        <v>24.7</v>
      </c>
      <c r="D34" s="18" t="n">
        <f aca="false">+C34*8760/2000</f>
        <v>108.186</v>
      </c>
      <c r="E34" s="18" t="n">
        <v>15</v>
      </c>
      <c r="F34" s="18" t="n">
        <f aca="false">+E34*8760/2000</f>
        <v>65.7</v>
      </c>
      <c r="G34" s="19" t="n">
        <v>5.3</v>
      </c>
      <c r="H34" s="18" t="n">
        <f aca="false">+G34*8760/2000</f>
        <v>23.214</v>
      </c>
      <c r="I34" s="6"/>
    </row>
    <row r="35" customFormat="false" ht="19.35" hidden="false" customHeight="false" outlineLevel="0" collapsed="false">
      <c r="A35" s="17" t="n">
        <v>40</v>
      </c>
      <c r="B35" s="17" t="s">
        <v>45</v>
      </c>
      <c r="C35" s="18" t="n">
        <v>22.8</v>
      </c>
      <c r="D35" s="18" t="n">
        <f aca="false">+C35*8760/2000</f>
        <v>99.864</v>
      </c>
      <c r="E35" s="18" t="n">
        <v>13.8</v>
      </c>
      <c r="F35" s="18" t="n">
        <f aca="false">+E35*8760/2000</f>
        <v>60.444</v>
      </c>
      <c r="G35" s="19" t="n">
        <v>4.7</v>
      </c>
      <c r="H35" s="18" t="n">
        <f aca="false">+G35*8760/2000</f>
        <v>20.586</v>
      </c>
      <c r="I35" s="6"/>
    </row>
    <row r="36" customFormat="false" ht="19.35" hidden="false" customHeight="false" outlineLevel="0" collapsed="false">
      <c r="A36" s="17" t="n">
        <v>40</v>
      </c>
      <c r="B36" s="17" t="n">
        <v>50</v>
      </c>
      <c r="C36" s="18" t="n">
        <v>22.5</v>
      </c>
      <c r="D36" s="18" t="n">
        <f aca="false">+C36*8760/2000</f>
        <v>98.55</v>
      </c>
      <c r="E36" s="18" t="n">
        <v>13.7</v>
      </c>
      <c r="F36" s="18" t="n">
        <f aca="false">+E36*8760/2000</f>
        <v>60.006</v>
      </c>
      <c r="G36" s="19" t="n">
        <v>4.8</v>
      </c>
      <c r="H36" s="18" t="n">
        <f aca="false">+G36*8760/2000</f>
        <v>21.024</v>
      </c>
      <c r="I36" s="6"/>
    </row>
    <row r="37" customFormat="false" ht="19.35" hidden="false" customHeight="false" outlineLevel="0" collapsed="false">
      <c r="A37" s="17" t="n">
        <v>60</v>
      </c>
      <c r="B37" s="17" t="s">
        <v>45</v>
      </c>
      <c r="C37" s="18" t="n">
        <v>21.2</v>
      </c>
      <c r="D37" s="18" t="n">
        <f aca="false">+C37*8760/2000</f>
        <v>92.856</v>
      </c>
      <c r="E37" s="18" t="n">
        <v>12.9</v>
      </c>
      <c r="F37" s="18" t="n">
        <f aca="false">+E37*8760/2000</f>
        <v>56.502</v>
      </c>
      <c r="G37" s="19" t="n">
        <v>4.4</v>
      </c>
      <c r="H37" s="18" t="n">
        <f aca="false">+G37*8760/2000</f>
        <v>19.272</v>
      </c>
      <c r="I37" s="6"/>
    </row>
    <row r="38" customFormat="false" ht="19.35" hidden="false" customHeight="false" outlineLevel="0" collapsed="false">
      <c r="A38" s="17" t="n">
        <v>60</v>
      </c>
      <c r="B38" s="17" t="n">
        <v>50</v>
      </c>
      <c r="C38" s="18" t="n">
        <v>14.5</v>
      </c>
      <c r="D38" s="18" t="n">
        <f aca="false">+C38*8760/2000</f>
        <v>63.51</v>
      </c>
      <c r="E38" s="18" t="n">
        <v>8.8</v>
      </c>
      <c r="F38" s="18" t="n">
        <f aca="false">+E38*8760/2000</f>
        <v>38.544</v>
      </c>
      <c r="G38" s="19" t="n">
        <v>3</v>
      </c>
      <c r="H38" s="18" t="n">
        <f aca="false">+G38*8760/2000</f>
        <v>13.14</v>
      </c>
      <c r="I38" s="6"/>
    </row>
    <row r="39" customFormat="false" ht="19.35" hidden="false" customHeight="false" outlineLevel="0" collapsed="false">
      <c r="A39" s="17" t="n">
        <v>95</v>
      </c>
      <c r="B39" s="17" t="s">
        <v>45</v>
      </c>
      <c r="C39" s="18" t="n">
        <v>18.5</v>
      </c>
      <c r="D39" s="18" t="n">
        <f aca="false">+C39*8760/2000</f>
        <v>81.03</v>
      </c>
      <c r="E39" s="18" t="n">
        <v>11.3</v>
      </c>
      <c r="F39" s="18" t="n">
        <f aca="false">+E39*8760/2000</f>
        <v>49.494</v>
      </c>
      <c r="G39" s="19" t="n">
        <v>3.8</v>
      </c>
      <c r="H39" s="18" t="n">
        <f aca="false">+G39*8760/2000</f>
        <v>16.644</v>
      </c>
      <c r="I39" s="6"/>
    </row>
    <row r="40" customFormat="false" ht="19.35" hidden="false" customHeight="false" outlineLevel="0" collapsed="false">
      <c r="A40" s="20" t="n">
        <v>95</v>
      </c>
      <c r="B40" s="20" t="n">
        <v>50</v>
      </c>
      <c r="C40" s="21" t="n">
        <v>13.1</v>
      </c>
      <c r="D40" s="21" t="n">
        <f aca="false">+C40*8760/2000</f>
        <v>57.378</v>
      </c>
      <c r="E40" s="21" t="n">
        <v>8</v>
      </c>
      <c r="F40" s="21" t="n">
        <f aca="false">+E40*8760/2000</f>
        <v>35.04</v>
      </c>
      <c r="G40" s="22" t="n">
        <v>2.7</v>
      </c>
      <c r="H40" s="21" t="n">
        <f aca="false">+G40*8760/2000</f>
        <v>11.826</v>
      </c>
      <c r="I40" s="6"/>
    </row>
    <row r="41" customFormat="false" ht="19.35" hidden="false" customHeight="false" outlineLevel="0" collapsed="false">
      <c r="A41" s="23"/>
      <c r="B41" s="23" t="s">
        <v>46</v>
      </c>
      <c r="C41" s="24" t="n">
        <f aca="false">MAX(C30:C40)</f>
        <v>27.8</v>
      </c>
      <c r="D41" s="24" t="n">
        <f aca="false">MAX(D30:D40)</f>
        <v>121.764</v>
      </c>
      <c r="E41" s="24" t="n">
        <f aca="false">MAX(E30:E40)</f>
        <v>16.9</v>
      </c>
      <c r="F41" s="24" t="n">
        <f aca="false">MAX(F30:F40)</f>
        <v>74.022</v>
      </c>
      <c r="G41" s="24" t="n">
        <f aca="false">MAX(G30:G40)</f>
        <v>5.9</v>
      </c>
      <c r="H41" s="24" t="n">
        <f aca="false">MAX(H30:H40)</f>
        <v>25.842</v>
      </c>
      <c r="I41" s="6"/>
    </row>
    <row r="42" customFormat="false" ht="19.35" hidden="false" customHeight="false" outlineLevel="0" collapsed="false">
      <c r="A42" s="25"/>
      <c r="B42" s="19" t="s">
        <v>47</v>
      </c>
      <c r="C42" s="18" t="n">
        <v>24.9</v>
      </c>
      <c r="D42" s="18" t="n">
        <f aca="false">+C42*4.38</f>
        <v>109.062</v>
      </c>
      <c r="E42" s="18" t="n">
        <f aca="false">+E33</f>
        <v>15.2</v>
      </c>
      <c r="F42" s="18" t="n">
        <f aca="false">+E42*4.38</f>
        <v>66.576</v>
      </c>
      <c r="G42" s="18" t="n">
        <f aca="false">+G33</f>
        <v>5.1</v>
      </c>
      <c r="H42" s="18" t="n">
        <f aca="false">+G42*4.38</f>
        <v>22.338</v>
      </c>
      <c r="I42" s="6"/>
    </row>
    <row r="43" customFormat="false" ht="19.35" hidden="false" customHeight="false" outlineLevel="0" collapsed="false">
      <c r="G43" s="6"/>
      <c r="H43" s="6"/>
      <c r="I43" s="6"/>
    </row>
    <row r="44" customFormat="false" ht="17" hidden="false" customHeight="false" outlineLevel="0" collapsed="false">
      <c r="A44" s="5" t="s">
        <v>48</v>
      </c>
      <c r="B44" s="5"/>
      <c r="C44" s="5"/>
      <c r="D44" s="5"/>
      <c r="E44" s="5"/>
      <c r="F44" s="5"/>
      <c r="G44" s="5"/>
      <c r="H44" s="5"/>
      <c r="I44" s="5"/>
      <c r="J44" s="5"/>
      <c r="K44" s="5"/>
    </row>
    <row r="45" customFormat="false" ht="17" hidden="false" customHeight="false" outlineLevel="0" collapsed="false">
      <c r="A45" s="19" t="s">
        <v>49</v>
      </c>
      <c r="B45" s="26" t="n">
        <v>0.0066</v>
      </c>
      <c r="C45" s="19" t="s">
        <v>50</v>
      </c>
      <c r="D45" s="5"/>
      <c r="E45" s="5"/>
      <c r="F45" s="5"/>
      <c r="G45" s="5"/>
      <c r="H45" s="5"/>
      <c r="I45" s="5"/>
      <c r="J45" s="5"/>
      <c r="K45" s="5"/>
    </row>
    <row r="46" customFormat="false" ht="17" hidden="false" customHeight="false" outlineLevel="0" collapsed="false">
      <c r="A46" s="19" t="s">
        <v>51</v>
      </c>
      <c r="B46" s="26" t="n">
        <v>0.0034</v>
      </c>
      <c r="C46" s="19" t="s">
        <v>50</v>
      </c>
      <c r="D46" s="5"/>
      <c r="E46" s="5"/>
      <c r="F46" s="5"/>
      <c r="G46" s="5"/>
      <c r="H46" s="5"/>
      <c r="I46" s="5"/>
      <c r="J46" s="5"/>
      <c r="K46" s="5"/>
    </row>
    <row r="47" customFormat="false" ht="17" hidden="false" customHeight="false" outlineLevel="0" collapsed="false">
      <c r="A47" s="19" t="s">
        <v>52</v>
      </c>
      <c r="B47" s="26" t="n">
        <v>0.00071</v>
      </c>
      <c r="C47" s="19" t="s">
        <v>50</v>
      </c>
      <c r="D47" s="5"/>
      <c r="E47" s="5"/>
      <c r="F47" s="5"/>
      <c r="G47" s="5"/>
      <c r="H47" s="5"/>
      <c r="I47" s="5"/>
      <c r="J47" s="5"/>
      <c r="K47" s="5"/>
    </row>
    <row r="48" customFormat="false" ht="17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customFormat="false" ht="17" hidden="false" customHeight="false" outlineLevel="0" collapsed="false">
      <c r="A49" s="27" t="s">
        <v>53</v>
      </c>
      <c r="B49" s="5"/>
      <c r="C49" s="5"/>
      <c r="D49" s="5"/>
      <c r="E49" s="5"/>
      <c r="F49" s="5"/>
      <c r="G49" s="5"/>
      <c r="H49" s="5"/>
      <c r="I49" s="5"/>
      <c r="J49" s="5"/>
      <c r="K49" s="5"/>
    </row>
    <row r="50" customFormat="false" ht="17" hidden="false" customHeight="false" outlineLevel="0" collapsed="false">
      <c r="A50" s="28"/>
      <c r="B50" s="10" t="s">
        <v>54</v>
      </c>
      <c r="C50" s="10" t="s">
        <v>55</v>
      </c>
      <c r="D50" s="5"/>
    </row>
    <row r="51" customFormat="false" ht="17" hidden="false" customHeight="false" outlineLevel="0" collapsed="false">
      <c r="A51" s="25" t="s">
        <v>56</v>
      </c>
      <c r="B51" s="15" t="s">
        <v>43</v>
      </c>
      <c r="C51" s="15" t="s">
        <v>44</v>
      </c>
      <c r="D51" s="5"/>
    </row>
    <row r="52" customFormat="false" ht="17" hidden="false" customHeight="false" outlineLevel="0" collapsed="false">
      <c r="A52" s="19" t="s">
        <v>57</v>
      </c>
      <c r="B52" s="18" t="n">
        <f aca="false">+C41</f>
        <v>27.8</v>
      </c>
      <c r="C52" s="18" t="n">
        <f aca="false">B52*4.38</f>
        <v>121.764</v>
      </c>
      <c r="D52" s="5" t="s">
        <v>58</v>
      </c>
    </row>
    <row r="53" customFormat="false" ht="17" hidden="false" customHeight="false" outlineLevel="0" collapsed="false">
      <c r="A53" s="19" t="s">
        <v>39</v>
      </c>
      <c r="B53" s="18" t="n">
        <f aca="false">+E41</f>
        <v>16.9</v>
      </c>
      <c r="C53" s="18" t="n">
        <f aca="false">B53*4.38</f>
        <v>74.022</v>
      </c>
      <c r="D53" s="5" t="s">
        <v>58</v>
      </c>
    </row>
    <row r="54" customFormat="false" ht="17" hidden="false" customHeight="false" outlineLevel="0" collapsed="false">
      <c r="A54" s="19" t="s">
        <v>59</v>
      </c>
      <c r="B54" s="18" t="n">
        <f aca="false">+G41*0.1</f>
        <v>0.59</v>
      </c>
      <c r="C54" s="18" t="n">
        <f aca="false">B54*4.38</f>
        <v>2.5842</v>
      </c>
      <c r="D54" s="5" t="s">
        <v>58</v>
      </c>
    </row>
    <row r="55" customFormat="false" ht="17" hidden="false" customHeight="false" outlineLevel="0" collapsed="false">
      <c r="A55" s="19" t="s">
        <v>49</v>
      </c>
      <c r="B55" s="18" t="n">
        <f aca="false">+B45*$B$19</f>
        <v>2.5462599624</v>
      </c>
      <c r="C55" s="18" t="n">
        <f aca="false">B55*4.38</f>
        <v>11.152618635312</v>
      </c>
      <c r="D55" s="5"/>
    </row>
    <row r="56" customFormat="false" ht="17" hidden="false" customHeight="false" outlineLevel="0" collapsed="false">
      <c r="A56" s="19" t="s">
        <v>51</v>
      </c>
      <c r="B56" s="18" t="n">
        <f aca="false">+B46*$B$19</f>
        <v>1.3117096776</v>
      </c>
      <c r="C56" s="18" t="n">
        <f aca="false">B56*4.38</f>
        <v>5.745288387888</v>
      </c>
      <c r="D56" s="5"/>
    </row>
    <row r="57" customFormat="false" ht="17" hidden="false" customHeight="false" outlineLevel="0" collapsed="false">
      <c r="A57" s="19" t="s">
        <v>52</v>
      </c>
      <c r="B57" s="18" t="n">
        <f aca="false">+B47*B19</f>
        <v>0.27391584444</v>
      </c>
      <c r="C57" s="18" t="n">
        <f aca="false">B57*4.38</f>
        <v>1.1997513986472</v>
      </c>
      <c r="D57" s="5"/>
    </row>
    <row r="59" customFormat="false" ht="17" hidden="false" customHeight="false" outlineLevel="0" collapsed="false">
      <c r="A59" s="27" t="s">
        <v>60</v>
      </c>
    </row>
    <row r="60" customFormat="false" ht="17" hidden="false" customHeight="false" outlineLevel="0" collapsed="false">
      <c r="A60" s="28"/>
      <c r="B60" s="10" t="s">
        <v>54</v>
      </c>
      <c r="C60" s="10" t="s">
        <v>55</v>
      </c>
    </row>
    <row r="61" customFormat="false" ht="17" hidden="false" customHeight="false" outlineLevel="0" collapsed="false">
      <c r="A61" s="25" t="s">
        <v>56</v>
      </c>
      <c r="B61" s="15" t="s">
        <v>43</v>
      </c>
      <c r="C61" s="15" t="s">
        <v>44</v>
      </c>
    </row>
    <row r="62" customFormat="false" ht="17" hidden="false" customHeight="false" outlineLevel="0" collapsed="false">
      <c r="A62" s="19" t="s">
        <v>57</v>
      </c>
      <c r="B62" s="18" t="n">
        <f aca="false">+B52*1.15</f>
        <v>31.97</v>
      </c>
      <c r="C62" s="18" t="n">
        <f aca="false">+C52*1.15</f>
        <v>140.0286</v>
      </c>
    </row>
    <row r="63" customFormat="false" ht="17" hidden="false" customHeight="false" outlineLevel="0" collapsed="false">
      <c r="A63" s="19" t="s">
        <v>39</v>
      </c>
      <c r="B63" s="18" t="n">
        <f aca="false">+B53*1.15</f>
        <v>19.435</v>
      </c>
      <c r="C63" s="18" t="n">
        <f aca="false">+C53*1.15</f>
        <v>85.1253</v>
      </c>
    </row>
    <row r="64" customFormat="false" ht="17" hidden="false" customHeight="false" outlineLevel="0" collapsed="false">
      <c r="A64" s="19" t="s">
        <v>59</v>
      </c>
      <c r="B64" s="18" t="n">
        <f aca="false">+B54*1.15</f>
        <v>0.6785</v>
      </c>
      <c r="C64" s="18" t="n">
        <f aca="false">+C54*1.15</f>
        <v>2.97183</v>
      </c>
    </row>
    <row r="65" customFormat="false" ht="17" hidden="false" customHeight="false" outlineLevel="0" collapsed="false">
      <c r="A65" s="19" t="s">
        <v>49</v>
      </c>
      <c r="B65" s="18" t="n">
        <f aca="false">+B55*1.15</f>
        <v>2.92819895676</v>
      </c>
      <c r="C65" s="18" t="n">
        <f aca="false">+C55*1.15</f>
        <v>12.8255114306088</v>
      </c>
    </row>
    <row r="66" customFormat="false" ht="17" hidden="false" customHeight="false" outlineLevel="0" collapsed="false">
      <c r="A66" s="19" t="s">
        <v>51</v>
      </c>
      <c r="B66" s="18" t="n">
        <f aca="false">+B56*1.15</f>
        <v>1.50846612924</v>
      </c>
      <c r="C66" s="18" t="n">
        <f aca="false">+C56*1.15</f>
        <v>6.6070816460712</v>
      </c>
    </row>
    <row r="67" customFormat="false" ht="17" hidden="false" customHeight="false" outlineLevel="0" collapsed="false">
      <c r="A67" s="19" t="s">
        <v>52</v>
      </c>
      <c r="B67" s="18" t="n">
        <f aca="false">+B57*1.15</f>
        <v>0.315003221106</v>
      </c>
      <c r="C67" s="18" t="n">
        <f aca="false">+C57*1.15</f>
        <v>1.37971410844428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>
      <c r="A1" s="2" t="s">
        <v>0</v>
      </c>
      <c r="B1" s="29"/>
      <c r="C1" s="29"/>
    </row>
    <row r="2" customFormat="false" ht="24.05" hidden="false" customHeight="false" outlineLevel="0" collapsed="false">
      <c r="A2" s="2" t="s">
        <v>1</v>
      </c>
      <c r="B2" s="29"/>
      <c r="C2" s="29"/>
    </row>
    <row r="3" customFormat="false" ht="24.05" hidden="false" customHeight="false" outlineLevel="0" collapsed="false">
      <c r="A3" s="2" t="s">
        <v>2</v>
      </c>
      <c r="B3" s="29"/>
      <c r="C3" s="29"/>
    </row>
    <row r="4" customFormat="false" ht="14.65" hidden="false" customHeight="false" outlineLevel="0" collapsed="false">
      <c r="B4" s="29"/>
      <c r="C4" s="29"/>
    </row>
    <row r="5" customFormat="false" ht="19.35" hidden="false" customHeight="false" outlineLevel="0" collapsed="false">
      <c r="B5" s="29"/>
      <c r="C5" s="29"/>
    </row>
    <row r="6" customFormat="false" ht="19.35" hidden="false" customHeight="false" outlineLevel="0" collapsed="false">
      <c r="A6" s="3" t="s">
        <v>61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21.7" hidden="false" customHeight="false" outlineLevel="0" collapsed="false"/>
    <row r="8" customFormat="false" ht="21.7" hidden="false" customHeight="false" outlineLevel="0" collapsed="false">
      <c r="A8" s="4" t="s">
        <v>62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10" customFormat="false" ht="19.35" hidden="false" customHeight="false" outlineLevel="0" collapsed="false"/>
    <row r="11" customFormat="false" ht="19.35" hidden="false" customHeight="false" outlineLevel="0" collapsed="false">
      <c r="A11" s="5" t="s">
        <v>5</v>
      </c>
      <c r="B11" s="5" t="s">
        <v>63</v>
      </c>
      <c r="C11" s="5"/>
      <c r="D11" s="5"/>
      <c r="E11" s="5"/>
      <c r="F11" s="6"/>
      <c r="G11" s="6"/>
      <c r="H11" s="6"/>
      <c r="I11" s="6"/>
      <c r="J11" s="5"/>
      <c r="K11" s="5"/>
      <c r="L11" s="5"/>
    </row>
    <row r="12" customFormat="false" ht="19.35" hidden="false" customHeight="false" outlineLevel="0" collapsed="false">
      <c r="A12" s="5" t="s">
        <v>7</v>
      </c>
      <c r="B12" s="5" t="s">
        <v>64</v>
      </c>
      <c r="C12" s="5"/>
      <c r="D12" s="5"/>
      <c r="E12" s="5"/>
      <c r="F12" s="6"/>
      <c r="G12" s="6"/>
      <c r="H12" s="6"/>
      <c r="I12" s="6"/>
      <c r="J12" s="5"/>
      <c r="K12" s="5"/>
      <c r="L12" s="5"/>
    </row>
    <row r="13" customFormat="false" ht="19.35" hidden="false" customHeight="false" outlineLevel="0" collapsed="false">
      <c r="A13" s="5" t="s">
        <v>11</v>
      </c>
      <c r="B13" s="5" t="n">
        <v>5063</v>
      </c>
      <c r="C13" s="5"/>
      <c r="D13" s="5"/>
      <c r="E13" s="5"/>
      <c r="F13" s="6"/>
      <c r="G13" s="6"/>
      <c r="H13" s="6"/>
      <c r="I13" s="6"/>
      <c r="J13" s="5"/>
      <c r="K13" s="5"/>
      <c r="L13" s="5"/>
    </row>
    <row r="14" customFormat="false" ht="19.35" hidden="false" customHeight="false" outlineLevel="0" collapsed="false">
      <c r="A14" s="5" t="s">
        <v>65</v>
      </c>
      <c r="B14" s="5" t="n">
        <v>519</v>
      </c>
      <c r="C14" s="5" t="s">
        <v>66</v>
      </c>
      <c r="D14" s="5"/>
      <c r="E14" s="5"/>
      <c r="F14" s="6"/>
      <c r="G14" s="6"/>
      <c r="H14" s="6"/>
      <c r="I14" s="6"/>
      <c r="J14" s="5"/>
      <c r="K14" s="5"/>
      <c r="L14" s="5"/>
    </row>
    <row r="15" customFormat="false" ht="19.35" hidden="false" customHeight="false" outlineLevel="0" collapsed="false">
      <c r="A15" s="5" t="s">
        <v>67</v>
      </c>
      <c r="B15" s="5" t="n">
        <v>26.4</v>
      </c>
      <c r="C15" s="5" t="s">
        <v>68</v>
      </c>
      <c r="D15" s="5"/>
      <c r="E15" s="5"/>
      <c r="F15" s="6"/>
      <c r="G15" s="6"/>
      <c r="H15" s="6"/>
      <c r="I15" s="6"/>
      <c r="J15" s="5"/>
      <c r="K15" s="5"/>
      <c r="L15" s="5"/>
    </row>
    <row r="16" customFormat="false" ht="19.35" hidden="false" customHeight="false" outlineLevel="0" collapsed="false">
      <c r="A16" s="5"/>
      <c r="B16" s="8" t="n">
        <f aca="false">+B15*8.34*0.87</f>
        <v>191.55312</v>
      </c>
      <c r="C16" s="5" t="s">
        <v>69</v>
      </c>
      <c r="D16" s="5"/>
      <c r="E16" s="5"/>
      <c r="F16" s="6"/>
      <c r="G16" s="6"/>
      <c r="H16" s="6"/>
      <c r="I16" s="6"/>
      <c r="J16" s="5"/>
      <c r="K16" s="5"/>
      <c r="L16" s="5"/>
    </row>
    <row r="17" customFormat="false" ht="19.35" hidden="false" customHeight="false" outlineLevel="0" collapsed="false">
      <c r="A17" s="5" t="s">
        <v>70</v>
      </c>
      <c r="B17" s="5" t="n">
        <v>19300</v>
      </c>
      <c r="C17" s="5" t="s">
        <v>71</v>
      </c>
      <c r="D17" s="5"/>
      <c r="E17" s="5"/>
      <c r="F17" s="6"/>
      <c r="G17" s="6"/>
      <c r="H17" s="6"/>
      <c r="I17" s="6"/>
      <c r="J17" s="5"/>
      <c r="K17" s="5"/>
      <c r="L17" s="5"/>
    </row>
    <row r="18" customFormat="false" ht="19.35" hidden="false" customHeight="false" outlineLevel="0" collapsed="false">
      <c r="A18" s="5" t="s">
        <v>72</v>
      </c>
      <c r="B18" s="8" t="n">
        <f aca="false">+B17*B16/1000000</f>
        <v>3.696975216</v>
      </c>
      <c r="C18" s="5" t="s">
        <v>20</v>
      </c>
      <c r="D18" s="5"/>
      <c r="E18" s="5"/>
      <c r="F18" s="6"/>
      <c r="G18" s="6"/>
      <c r="H18" s="6"/>
      <c r="I18" s="6"/>
      <c r="J18" s="5"/>
      <c r="K18" s="5"/>
      <c r="L18" s="5"/>
    </row>
    <row r="19" customFormat="false" ht="19.35" hidden="false" customHeight="false" outlineLevel="0" collapsed="false">
      <c r="A19" s="5"/>
      <c r="B19" s="30" t="n">
        <f aca="false">+B18*1000000/B14</f>
        <v>7123.26631213873</v>
      </c>
      <c r="C19" s="5" t="s">
        <v>73</v>
      </c>
      <c r="D19" s="5"/>
      <c r="E19" s="5"/>
      <c r="F19" s="6"/>
      <c r="G19" s="6"/>
      <c r="H19" s="6"/>
      <c r="I19" s="6"/>
      <c r="J19" s="5"/>
      <c r="K19" s="5"/>
      <c r="L19" s="5"/>
    </row>
    <row r="20" customFormat="false" ht="19.35" hidden="false" customHeight="false" outlineLevel="0" collapsed="false">
      <c r="A20" s="5" t="s">
        <v>25</v>
      </c>
      <c r="B20" s="5" t="n">
        <v>1800</v>
      </c>
      <c r="C20" s="5" t="s">
        <v>26</v>
      </c>
      <c r="D20" s="5"/>
      <c r="E20" s="5"/>
      <c r="F20" s="6"/>
      <c r="G20" s="6"/>
      <c r="H20" s="6"/>
      <c r="I20" s="6"/>
      <c r="J20" s="5"/>
      <c r="K20" s="5"/>
      <c r="L20" s="5"/>
    </row>
    <row r="21" customFormat="false" ht="19.35" hidden="false" customHeight="false" outlineLevel="0" collapsed="false">
      <c r="A21" s="5"/>
      <c r="B21" s="5"/>
      <c r="C21" s="5"/>
      <c r="D21" s="5"/>
      <c r="E21" s="5"/>
      <c r="F21" s="6"/>
      <c r="G21" s="6"/>
      <c r="H21" s="6"/>
      <c r="I21" s="6"/>
      <c r="J21" s="5"/>
      <c r="K21" s="5"/>
      <c r="L21" s="5"/>
    </row>
    <row r="22" customFormat="false" ht="19.35" hidden="false" customHeight="false" outlineLevel="0" collapsed="false">
      <c r="A22" s="5" t="s">
        <v>74</v>
      </c>
      <c r="B22" s="5" t="n">
        <v>2000</v>
      </c>
      <c r="C22" s="5" t="s">
        <v>75</v>
      </c>
      <c r="D22" s="5"/>
      <c r="E22" s="5"/>
      <c r="F22" s="6"/>
      <c r="G22" s="6"/>
      <c r="H22" s="6"/>
      <c r="I22" s="6"/>
      <c r="J22" s="5"/>
      <c r="K22" s="5"/>
      <c r="L22" s="5"/>
    </row>
    <row r="23" customFormat="false" ht="19.3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5"/>
      <c r="K23" s="5"/>
      <c r="L23" s="5"/>
    </row>
    <row r="24" customFormat="false" ht="19.35" hidden="false" customHeight="false" outlineLevel="0" collapsed="false">
      <c r="A24" s="5" t="s">
        <v>76</v>
      </c>
      <c r="G24" s="6"/>
      <c r="H24" s="6"/>
      <c r="I24" s="6"/>
    </row>
    <row r="25" customFormat="false" ht="19.35" hidden="false" customHeight="false" outlineLevel="0" collapsed="false">
      <c r="A25" s="19" t="s">
        <v>56</v>
      </c>
      <c r="B25" s="17" t="s">
        <v>77</v>
      </c>
      <c r="C25" s="17" t="s">
        <v>78</v>
      </c>
      <c r="D25" s="17" t="s">
        <v>79</v>
      </c>
      <c r="E25" s="5"/>
      <c r="F25" s="5"/>
      <c r="G25" s="5"/>
      <c r="H25" s="5"/>
      <c r="I25" s="5"/>
      <c r="J25" s="5"/>
      <c r="K25" s="5"/>
      <c r="L25" s="5"/>
    </row>
    <row r="26" customFormat="false" ht="19.35" hidden="false" customHeight="false" outlineLevel="0" collapsed="false">
      <c r="A26" s="19" t="s">
        <v>80</v>
      </c>
      <c r="B26" s="19" t="n">
        <v>9.23</v>
      </c>
      <c r="C26" s="19" t="s">
        <v>81</v>
      </c>
      <c r="D26" s="19" t="s">
        <v>82</v>
      </c>
      <c r="E26" s="5"/>
      <c r="F26" s="5"/>
      <c r="G26" s="5"/>
      <c r="H26" s="5"/>
      <c r="I26" s="5"/>
      <c r="J26" s="5"/>
      <c r="K26" s="5"/>
      <c r="L26" s="5"/>
    </row>
    <row r="27" customFormat="false" ht="19.35" hidden="false" customHeight="false" outlineLevel="0" collapsed="false">
      <c r="A27" s="19" t="s">
        <v>39</v>
      </c>
      <c r="B27" s="19" t="n">
        <v>9.65</v>
      </c>
      <c r="C27" s="19" t="s">
        <v>81</v>
      </c>
      <c r="D27" s="19" t="s">
        <v>82</v>
      </c>
      <c r="E27" s="5"/>
      <c r="F27" s="5"/>
      <c r="G27" s="5"/>
      <c r="H27" s="5"/>
      <c r="I27" s="5"/>
      <c r="J27" s="5"/>
      <c r="K27" s="5"/>
      <c r="L27" s="5"/>
    </row>
    <row r="28" customFormat="false" ht="19.35" hidden="false" customHeight="false" outlineLevel="0" collapsed="false">
      <c r="A28" s="19" t="s">
        <v>40</v>
      </c>
      <c r="B28" s="19" t="n">
        <v>0.12</v>
      </c>
      <c r="C28" s="19" t="s">
        <v>81</v>
      </c>
      <c r="D28" s="19" t="s">
        <v>82</v>
      </c>
      <c r="E28" s="5"/>
      <c r="F28" s="5"/>
      <c r="G28" s="5"/>
      <c r="H28" s="5"/>
      <c r="I28" s="5"/>
      <c r="J28" s="5"/>
      <c r="K28" s="5"/>
      <c r="L28" s="5"/>
    </row>
    <row r="29" customFormat="false" ht="19.35" hidden="false" customHeight="false" outlineLevel="0" collapsed="false">
      <c r="A29" s="19" t="s">
        <v>49</v>
      </c>
      <c r="B29" s="18" t="n">
        <v>2.82</v>
      </c>
      <c r="C29" s="19" t="s">
        <v>81</v>
      </c>
      <c r="D29" s="19" t="s">
        <v>82</v>
      </c>
      <c r="E29" s="5"/>
      <c r="F29" s="5"/>
      <c r="G29" s="5"/>
      <c r="H29" s="5"/>
      <c r="I29" s="5"/>
      <c r="J29" s="5"/>
      <c r="K29" s="5"/>
      <c r="L29" s="5"/>
    </row>
    <row r="30" customFormat="false" ht="19.35" hidden="false" customHeight="false" outlineLevel="0" collapsed="false">
      <c r="A30" s="19" t="s">
        <v>51</v>
      </c>
      <c r="B30" s="18" t="n">
        <v>0.29</v>
      </c>
      <c r="C30" s="19" t="s">
        <v>50</v>
      </c>
      <c r="D30" s="19" t="s">
        <v>83</v>
      </c>
      <c r="E30" s="5"/>
      <c r="F30" s="5"/>
      <c r="G30" s="5"/>
      <c r="H30" s="5"/>
      <c r="I30" s="5"/>
      <c r="J30" s="5"/>
      <c r="K30" s="5"/>
      <c r="L30" s="5"/>
    </row>
    <row r="31" customFormat="false" ht="19.3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customFormat="false" ht="19.35" hidden="false" customHeight="false" outlineLevel="0" collapsed="false">
      <c r="A32" s="27" t="s">
        <v>84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customFormat="false" ht="19.35" hidden="false" customHeight="false" outlineLevel="0" collapsed="false">
      <c r="A33" s="28"/>
      <c r="B33" s="10" t="s">
        <v>54</v>
      </c>
      <c r="C33" s="10" t="s">
        <v>55</v>
      </c>
      <c r="D33" s="5"/>
    </row>
    <row r="34" customFormat="false" ht="19.35" hidden="false" customHeight="false" outlineLevel="0" collapsed="false">
      <c r="A34" s="25" t="s">
        <v>56</v>
      </c>
      <c r="B34" s="15" t="s">
        <v>43</v>
      </c>
      <c r="C34" s="15" t="s">
        <v>44</v>
      </c>
      <c r="D34" s="5"/>
    </row>
    <row r="35" customFormat="false" ht="19.35" hidden="false" customHeight="false" outlineLevel="0" collapsed="false">
      <c r="A35" s="19" t="s">
        <v>57</v>
      </c>
      <c r="B35" s="18" t="n">
        <f aca="false">+B26</f>
        <v>9.23</v>
      </c>
      <c r="C35" s="18" t="n">
        <f aca="false">+B35*$B$22/2000</f>
        <v>9.23</v>
      </c>
      <c r="D35" s="5"/>
    </row>
    <row r="36" customFormat="false" ht="19.35" hidden="false" customHeight="false" outlineLevel="0" collapsed="false">
      <c r="A36" s="19" t="s">
        <v>39</v>
      </c>
      <c r="B36" s="18" t="n">
        <f aca="false">+B27</f>
        <v>9.65</v>
      </c>
      <c r="C36" s="18" t="n">
        <f aca="false">+B36*$B$22/2000</f>
        <v>9.65</v>
      </c>
      <c r="D36" s="5"/>
    </row>
    <row r="37" customFormat="false" ht="19.35" hidden="false" customHeight="false" outlineLevel="0" collapsed="false">
      <c r="A37" s="19" t="s">
        <v>59</v>
      </c>
      <c r="B37" s="18" t="n">
        <f aca="false">+B28</f>
        <v>0.12</v>
      </c>
      <c r="C37" s="18" t="n">
        <f aca="false">+B37*$B$22/2000</f>
        <v>0.12</v>
      </c>
      <c r="D37" s="5"/>
    </row>
    <row r="38" customFormat="false" ht="19.35" hidden="false" customHeight="false" outlineLevel="0" collapsed="false">
      <c r="A38" s="19" t="s">
        <v>49</v>
      </c>
      <c r="B38" s="18" t="n">
        <f aca="false">+B29</f>
        <v>2.82</v>
      </c>
      <c r="C38" s="18" t="n">
        <f aca="false">+B38*$B$22/2000</f>
        <v>2.82</v>
      </c>
      <c r="D38" s="5"/>
    </row>
    <row r="39" customFormat="false" ht="19.35" hidden="false" customHeight="false" outlineLevel="0" collapsed="false">
      <c r="A39" s="19" t="s">
        <v>51</v>
      </c>
      <c r="B39" s="18" t="n">
        <f aca="false">+B30*B18</f>
        <v>1.07212281264</v>
      </c>
      <c r="C39" s="18" t="n">
        <f aca="false">+B39*$B$22/2000</f>
        <v>1.07212281264</v>
      </c>
      <c r="D39" s="5"/>
    </row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0.41"/>
    <col collapsed="false" customWidth="true" hidden="false" outlineLevel="0" max="3" min="3" style="1" width="11.7"/>
    <col collapsed="false" customWidth="true" hidden="false" outlineLevel="0" max="4" min="4" style="1" width="12.56"/>
  </cols>
  <sheetData>
    <row r="1" customFormat="false" ht="24.05" hidden="false" customHeight="false" outlineLevel="0" collapsed="false">
      <c r="A1" s="31" t="s">
        <v>0</v>
      </c>
      <c r="B1" s="5"/>
      <c r="C1" s="5"/>
      <c r="D1" s="5"/>
      <c r="E1" s="5"/>
      <c r="F1" s="5"/>
    </row>
    <row r="2" customFormat="false" ht="24.05" hidden="false" customHeight="false" outlineLevel="0" collapsed="false">
      <c r="A2" s="31" t="s">
        <v>1</v>
      </c>
      <c r="B2" s="5"/>
      <c r="C2" s="5"/>
      <c r="D2" s="5"/>
      <c r="E2" s="5"/>
      <c r="F2" s="5"/>
    </row>
    <row r="3" customFormat="false" ht="24.05" hidden="false" customHeight="false" outlineLevel="0" collapsed="false">
      <c r="A3" s="31" t="s">
        <v>2</v>
      </c>
      <c r="B3" s="5"/>
      <c r="C3" s="5"/>
      <c r="D3" s="5"/>
      <c r="E3" s="5"/>
      <c r="F3" s="5"/>
    </row>
    <row r="4" customFormat="false" ht="17" hidden="false" customHeight="false" outlineLevel="0" collapsed="false">
      <c r="A4" s="5"/>
      <c r="B4" s="5"/>
      <c r="C4" s="5"/>
      <c r="D4" s="5"/>
      <c r="E4" s="5"/>
      <c r="F4" s="5"/>
    </row>
    <row r="5" customFormat="false" ht="19.35" hidden="false" customHeight="false" outlineLevel="0" collapsed="false">
      <c r="A5" s="5"/>
      <c r="B5" s="5"/>
      <c r="C5" s="5"/>
      <c r="D5" s="5"/>
      <c r="E5" s="5"/>
      <c r="F5" s="5"/>
    </row>
    <row r="6" customFormat="false" ht="19.35" hidden="false" customHeight="false" outlineLevel="0" collapsed="false">
      <c r="A6" s="27" t="s">
        <v>85</v>
      </c>
      <c r="B6" s="5"/>
      <c r="C6" s="5"/>
      <c r="D6" s="5"/>
      <c r="E6" s="5"/>
      <c r="F6" s="5"/>
    </row>
    <row r="7" customFormat="false" ht="21.7" hidden="false" customHeight="false" outlineLevel="0" collapsed="false">
      <c r="A7" s="17" t="s">
        <v>86</v>
      </c>
      <c r="B7" s="17" t="s">
        <v>87</v>
      </c>
      <c r="C7" s="17" t="s">
        <v>88</v>
      </c>
      <c r="D7" s="17" t="s">
        <v>89</v>
      </c>
      <c r="E7" s="5"/>
      <c r="F7" s="5"/>
    </row>
    <row r="8" customFormat="false" ht="21.7" hidden="false" customHeight="false" outlineLevel="0" collapsed="false">
      <c r="A8" s="17" t="s">
        <v>90</v>
      </c>
      <c r="B8" s="32" t="n">
        <f aca="false">'1999 EIQ'!J13</f>
        <v>99.43239449</v>
      </c>
      <c r="C8" s="32" t="n">
        <f aca="false">'1999 EIQ'!K13</f>
        <v>10.06859139</v>
      </c>
      <c r="D8" s="32" t="n">
        <f aca="false">'1999 EIQ'!L13</f>
        <v>1.21981869168768E-009</v>
      </c>
      <c r="E8" s="5"/>
      <c r="F8" s="5"/>
    </row>
    <row r="9" customFormat="false" ht="17" hidden="false" customHeight="false" outlineLevel="0" collapsed="false">
      <c r="A9" s="17" t="s">
        <v>91</v>
      </c>
      <c r="B9" s="32" t="n">
        <f aca="false">'1999 EIQ'!J14</f>
        <v>77.4811833333333</v>
      </c>
      <c r="C9" s="32" t="n">
        <f aca="false">'1999 EIQ'!K14</f>
        <v>12.9259833333333</v>
      </c>
      <c r="D9" s="32" t="n">
        <f aca="false">'1999 EIQ'!L14</f>
        <v>1.46960263849451E-009</v>
      </c>
      <c r="E9" s="5"/>
      <c r="F9" s="5"/>
    </row>
    <row r="10" customFormat="false" ht="19.35" hidden="false" customHeight="false" outlineLevel="0" collapsed="false">
      <c r="A10" s="17" t="s">
        <v>92</v>
      </c>
      <c r="B10" s="32" t="n">
        <f aca="false">'1999 EIQ'!J15</f>
        <v>115.83811272</v>
      </c>
      <c r="C10" s="32" t="n">
        <f aca="false">'1999 EIQ'!K15</f>
        <v>11.89247082</v>
      </c>
      <c r="D10" s="32" t="n">
        <f aca="false">'1999 EIQ'!L15</f>
        <v>6.98425016314221E-010</v>
      </c>
      <c r="E10" s="5"/>
      <c r="F10" s="5"/>
    </row>
    <row r="11" customFormat="false" ht="19.35" hidden="false" customHeight="false" outlineLevel="0" collapsed="false">
      <c r="A11" s="17" t="n">
        <v>121</v>
      </c>
      <c r="B11" s="32" t="n">
        <v>0</v>
      </c>
      <c r="C11" s="32" t="n">
        <v>0</v>
      </c>
      <c r="D11" s="32" t="n">
        <v>0</v>
      </c>
      <c r="E11" s="5"/>
      <c r="F11" s="5"/>
    </row>
    <row r="12" customFormat="false" ht="19.35" hidden="false" customHeight="false" outlineLevel="0" collapsed="false">
      <c r="A12" s="17" t="n">
        <v>122</v>
      </c>
      <c r="B12" s="32" t="n">
        <v>0</v>
      </c>
      <c r="C12" s="32" t="n">
        <v>0</v>
      </c>
      <c r="D12" s="32" t="n">
        <v>0</v>
      </c>
      <c r="E12" s="5"/>
      <c r="F12" s="5"/>
    </row>
    <row r="13" customFormat="false" ht="19.35" hidden="false" customHeight="false" outlineLevel="0" collapsed="false">
      <c r="A13" s="17" t="s">
        <v>93</v>
      </c>
      <c r="B13" s="32" t="n">
        <f aca="false">SUM(B8:B12)</f>
        <v>292.751690543333</v>
      </c>
      <c r="C13" s="32" t="n">
        <f aca="false">SUM(C8:C12)</f>
        <v>34.8870455433333</v>
      </c>
      <c r="D13" s="32" t="n">
        <f aca="false">SUM(D8:D12)</f>
        <v>3.38784634649641E-009</v>
      </c>
      <c r="E13" s="5"/>
      <c r="F13" s="5"/>
    </row>
    <row r="14" customFormat="false" ht="19.35" hidden="false" customHeight="false" outlineLevel="0" collapsed="false">
      <c r="A14" s="16"/>
      <c r="B14" s="33"/>
      <c r="C14" s="33"/>
      <c r="D14" s="33"/>
      <c r="E14" s="5"/>
      <c r="F14" s="5"/>
    </row>
    <row r="15" customFormat="false" ht="19.35" hidden="false" customHeight="false" outlineLevel="0" collapsed="false">
      <c r="A15" s="27" t="s">
        <v>94</v>
      </c>
      <c r="B15" s="8"/>
      <c r="C15" s="8"/>
      <c r="D15" s="8"/>
      <c r="E15" s="5"/>
      <c r="F15" s="5"/>
    </row>
    <row r="16" customFormat="false" ht="19.35" hidden="false" customHeight="false" outlineLevel="0" collapsed="false">
      <c r="A16" s="17" t="s">
        <v>86</v>
      </c>
      <c r="B16" s="32" t="s">
        <v>87</v>
      </c>
      <c r="C16" s="32" t="s">
        <v>88</v>
      </c>
      <c r="D16" s="32" t="s">
        <v>89</v>
      </c>
      <c r="E16" s="5"/>
      <c r="F16" s="5"/>
    </row>
    <row r="17" customFormat="false" ht="19.35" hidden="false" customHeight="false" outlineLevel="0" collapsed="false">
      <c r="A17" s="17" t="s">
        <v>90</v>
      </c>
      <c r="B17" s="32" t="n">
        <f aca="false">'2000 EIQ'!J13</f>
        <v>350.366516666667</v>
      </c>
      <c r="C17" s="32" t="n">
        <f aca="false">'2000 EIQ'!K13</f>
        <v>35.47835</v>
      </c>
      <c r="D17" s="32" t="n">
        <f aca="false">'2000 EIQ'!L13</f>
        <v>1.21981869168768E-009</v>
      </c>
      <c r="E17" s="5"/>
      <c r="F17" s="5"/>
    </row>
    <row r="18" customFormat="false" ht="19.35" hidden="false" customHeight="false" outlineLevel="0" collapsed="false">
      <c r="A18" s="17" t="s">
        <v>91</v>
      </c>
      <c r="B18" s="32" t="n">
        <f aca="false">'2000 EIQ'!J14</f>
        <v>249.2948</v>
      </c>
      <c r="C18" s="32" t="n">
        <f aca="false">'2000 EIQ'!K14</f>
        <v>41.5892</v>
      </c>
      <c r="D18" s="32" t="n">
        <f aca="false">'2000 EIQ'!L14</f>
        <v>1.46960263849451E-009</v>
      </c>
      <c r="E18" s="5"/>
      <c r="F18" s="5"/>
    </row>
    <row r="19" customFormat="false" ht="19.35" hidden="false" customHeight="false" outlineLevel="0" collapsed="false">
      <c r="A19" s="17" t="s">
        <v>92</v>
      </c>
      <c r="B19" s="32" t="n">
        <f aca="false">'2000 EIQ'!J15</f>
        <v>278.168</v>
      </c>
      <c r="C19" s="32" t="n">
        <f aca="false">'2000 EIQ'!K15</f>
        <v>28.558</v>
      </c>
      <c r="D19" s="32" t="n">
        <f aca="false">'2000 EIQ'!L15</f>
        <v>6.98425016314221E-010</v>
      </c>
      <c r="E19" s="5"/>
      <c r="F19" s="5"/>
    </row>
    <row r="20" customFormat="false" ht="19.35" hidden="false" customHeight="false" outlineLevel="0" collapsed="false">
      <c r="A20" s="17" t="n">
        <v>121</v>
      </c>
      <c r="B20" s="32" t="n">
        <f aca="false">'2000 EIQ'!J16</f>
        <v>1.84</v>
      </c>
      <c r="C20" s="32" t="n">
        <f aca="false">'2000 EIQ'!K16</f>
        <v>0.4</v>
      </c>
      <c r="D20" s="32" t="n">
        <f aca="false">'2000 EIQ'!L16</f>
        <v>0.0800384</v>
      </c>
      <c r="E20" s="5"/>
      <c r="F20" s="5"/>
    </row>
    <row r="21" customFormat="false" ht="19.35" hidden="false" customHeight="false" outlineLevel="0" collapsed="false">
      <c r="A21" s="17" t="n">
        <v>122</v>
      </c>
      <c r="B21" s="32" t="n">
        <v>0</v>
      </c>
      <c r="C21" s="32" t="n">
        <v>0</v>
      </c>
      <c r="D21" s="32" t="n">
        <v>0</v>
      </c>
      <c r="E21" s="5"/>
      <c r="F21" s="5"/>
    </row>
    <row r="22" customFormat="false" ht="19.35" hidden="false" customHeight="false" outlineLevel="0" collapsed="false">
      <c r="A22" s="17" t="s">
        <v>93</v>
      </c>
      <c r="B22" s="32" t="n">
        <f aca="false">SUM(B17:B21)</f>
        <v>879.669316666667</v>
      </c>
      <c r="C22" s="32" t="n">
        <f aca="false">SUM(C17:C21)</f>
        <v>106.02555</v>
      </c>
      <c r="D22" s="32" t="n">
        <f aca="false">SUM(D17:D21)</f>
        <v>0.0800384033878464</v>
      </c>
      <c r="E22" s="5"/>
      <c r="F22" s="5"/>
    </row>
    <row r="23" customFormat="false" ht="19.35" hidden="false" customHeight="false" outlineLevel="0" collapsed="false">
      <c r="A23" s="16"/>
      <c r="B23" s="33"/>
      <c r="C23" s="33"/>
      <c r="D23" s="33"/>
      <c r="E23" s="5"/>
      <c r="F23" s="5"/>
    </row>
    <row r="24" customFormat="false" ht="19.35" hidden="false" customHeight="false" outlineLevel="0" collapsed="false">
      <c r="A24" s="27" t="s">
        <v>95</v>
      </c>
      <c r="B24" s="8"/>
      <c r="C24" s="8"/>
      <c r="D24" s="8"/>
      <c r="E24" s="5"/>
      <c r="F24" s="5"/>
    </row>
    <row r="25" customFormat="false" ht="19.35" hidden="false" customHeight="false" outlineLevel="0" collapsed="false">
      <c r="A25" s="17" t="s">
        <v>86</v>
      </c>
      <c r="B25" s="32" t="s">
        <v>87</v>
      </c>
      <c r="C25" s="32" t="s">
        <v>88</v>
      </c>
      <c r="D25" s="32" t="s">
        <v>89</v>
      </c>
      <c r="E25" s="5"/>
      <c r="F25" s="5"/>
    </row>
    <row r="26" customFormat="false" ht="19.35" hidden="false" customHeight="false" outlineLevel="0" collapsed="false">
      <c r="A26" s="17" t="s">
        <v>90</v>
      </c>
      <c r="B26" s="32" t="n">
        <f aca="false">(B8+B17)/2</f>
        <v>224.899455578333</v>
      </c>
      <c r="C26" s="32" t="n">
        <f aca="false">(C8+C17)/2</f>
        <v>22.773470695</v>
      </c>
      <c r="D26" s="32" t="n">
        <f aca="false">(D8+D17)/2</f>
        <v>1.21981869168768E-009</v>
      </c>
      <c r="E26" s="5"/>
      <c r="F26" s="5"/>
    </row>
    <row r="27" customFormat="false" ht="19.35" hidden="false" customHeight="false" outlineLevel="0" collapsed="false">
      <c r="A27" s="17" t="s">
        <v>91</v>
      </c>
      <c r="B27" s="32" t="n">
        <f aca="false">(B9+B18)/2</f>
        <v>163.387991666667</v>
      </c>
      <c r="C27" s="32" t="n">
        <f aca="false">(C9+C18)/2</f>
        <v>27.2575916666667</v>
      </c>
      <c r="D27" s="32" t="n">
        <f aca="false">(D9+D18)/2</f>
        <v>1.46960263849451E-009</v>
      </c>
      <c r="E27" s="5"/>
      <c r="F27" s="5"/>
    </row>
    <row r="28" customFormat="false" ht="19.35" hidden="false" customHeight="false" outlineLevel="0" collapsed="false">
      <c r="A28" s="17" t="s">
        <v>92</v>
      </c>
      <c r="B28" s="32" t="n">
        <f aca="false">(B10+B19)/2</f>
        <v>197.00305636</v>
      </c>
      <c r="C28" s="32" t="n">
        <f aca="false">(C10+C19)/2</f>
        <v>20.22523541</v>
      </c>
      <c r="D28" s="32" t="n">
        <f aca="false">(D10+D19)/2</f>
        <v>6.98425016314221E-010</v>
      </c>
      <c r="E28" s="5"/>
      <c r="F28" s="5"/>
    </row>
    <row r="29" customFormat="false" ht="19.35" hidden="false" customHeight="false" outlineLevel="0" collapsed="false">
      <c r="A29" s="17" t="n">
        <v>121</v>
      </c>
      <c r="B29" s="32" t="n">
        <f aca="false">(B11+B20)/2</f>
        <v>0.92</v>
      </c>
      <c r="C29" s="32" t="n">
        <f aca="false">(C11+C20)/2</f>
        <v>0.2</v>
      </c>
      <c r="D29" s="32" t="n">
        <f aca="false">(D11+D20)/2</f>
        <v>0.0400192</v>
      </c>
      <c r="E29" s="5"/>
      <c r="F29" s="5"/>
    </row>
    <row r="30" customFormat="false" ht="19.35" hidden="false" customHeight="false" outlineLevel="0" collapsed="false">
      <c r="A30" s="17" t="n">
        <v>122</v>
      </c>
      <c r="B30" s="32" t="n">
        <f aca="false">(B12+B21)/2</f>
        <v>0</v>
      </c>
      <c r="C30" s="32" t="n">
        <f aca="false">(C12+C21)/2</f>
        <v>0</v>
      </c>
      <c r="D30" s="32" t="n">
        <f aca="false">(D12+D21)/2</f>
        <v>0</v>
      </c>
      <c r="E30" s="5"/>
      <c r="F30" s="5"/>
    </row>
    <row r="31" customFormat="false" ht="19.35" hidden="false" customHeight="false" outlineLevel="0" collapsed="false">
      <c r="A31" s="17" t="s">
        <v>93</v>
      </c>
      <c r="B31" s="32" t="n">
        <f aca="false">SUM(B26:B30)</f>
        <v>586.210503605</v>
      </c>
      <c r="C31" s="32" t="n">
        <f aca="false">SUM(C26:C30)</f>
        <v>70.4562977716667</v>
      </c>
      <c r="D31" s="32" t="n">
        <f aca="false">SUM(D26:D30)</f>
        <v>0.0400192033878463</v>
      </c>
      <c r="E31" s="5"/>
      <c r="F31" s="5"/>
    </row>
    <row r="32" customFormat="false" ht="19.35" hidden="false" customHeight="false" outlineLevel="0" collapsed="false">
      <c r="A32" s="5"/>
      <c r="B32" s="8"/>
      <c r="C32" s="8"/>
      <c r="D32" s="8"/>
      <c r="E32" s="5"/>
      <c r="F32" s="5"/>
    </row>
    <row r="33" customFormat="false" ht="19.35" hidden="false" customHeight="false" outlineLevel="0" collapsed="false">
      <c r="A33" s="27" t="s">
        <v>96</v>
      </c>
      <c r="B33" s="8"/>
      <c r="C33" s="8"/>
      <c r="D33" s="8"/>
      <c r="E33" s="5"/>
      <c r="F33" s="5"/>
    </row>
    <row r="34" customFormat="false" ht="19.35" hidden="false" customHeight="false" outlineLevel="0" collapsed="false">
      <c r="A34" s="19" t="s">
        <v>37</v>
      </c>
      <c r="B34" s="32" t="n">
        <f aca="false">Turbine!C62</f>
        <v>140.0286</v>
      </c>
      <c r="C34" s="32" t="n">
        <f aca="false">Turbine!C63</f>
        <v>85.1253</v>
      </c>
      <c r="D34" s="32" t="n">
        <f aca="false">Turbine!C64</f>
        <v>2.97183</v>
      </c>
      <c r="E34" s="5"/>
      <c r="F34" s="5"/>
    </row>
    <row r="35" customFormat="false" ht="19.35" hidden="false" customHeight="false" outlineLevel="0" collapsed="false">
      <c r="A35" s="19" t="s">
        <v>97</v>
      </c>
      <c r="B35" s="32" t="n">
        <f aca="false">'Gen Engines'!C35</f>
        <v>9.23</v>
      </c>
      <c r="C35" s="32" t="n">
        <f aca="false">'Gen Engines'!C36</f>
        <v>9.65</v>
      </c>
      <c r="D35" s="32" t="n">
        <f aca="false">'Gen Engines'!C37</f>
        <v>0.12</v>
      </c>
      <c r="E35" s="5"/>
      <c r="F35" s="5"/>
    </row>
    <row r="36" customFormat="false" ht="19.35" hidden="false" customHeight="false" outlineLevel="0" collapsed="false">
      <c r="A36" s="19" t="s">
        <v>98</v>
      </c>
      <c r="B36" s="32" t="n">
        <f aca="false">SUM(B34:B35)</f>
        <v>149.2586</v>
      </c>
      <c r="C36" s="32" t="n">
        <f aca="false">SUM(C34:C35)</f>
        <v>94.7753</v>
      </c>
      <c r="D36" s="32" t="n">
        <f aca="false">SUM(D34:D35)</f>
        <v>3.09183</v>
      </c>
      <c r="E36" s="5"/>
      <c r="F36" s="5"/>
    </row>
    <row r="37" customFormat="false" ht="19.35" hidden="false" customHeight="false" outlineLevel="0" collapsed="false">
      <c r="A37" s="5"/>
      <c r="B37" s="8"/>
      <c r="C37" s="8"/>
      <c r="D37" s="8"/>
      <c r="E37" s="5"/>
      <c r="F37" s="5"/>
    </row>
    <row r="38" customFormat="false" ht="19.35" hidden="false" customHeight="false" outlineLevel="0" collapsed="false">
      <c r="A38" s="27" t="s">
        <v>99</v>
      </c>
      <c r="B38" s="8"/>
      <c r="C38" s="8"/>
      <c r="D38" s="8"/>
      <c r="E38" s="5"/>
      <c r="F38" s="5"/>
    </row>
    <row r="39" customFormat="false" ht="19.35" hidden="false" customHeight="false" outlineLevel="0" collapsed="false">
      <c r="A39" s="5"/>
      <c r="B39" s="32" t="n">
        <f aca="false">+B31</f>
        <v>586.210503605</v>
      </c>
      <c r="C39" s="32" t="n">
        <f aca="false">+C31</f>
        <v>70.4562977716667</v>
      </c>
      <c r="D39" s="32" t="n">
        <f aca="false">+D31</f>
        <v>0.0400192033878463</v>
      </c>
      <c r="E39" s="5"/>
      <c r="F39" s="5"/>
    </row>
    <row r="40" customFormat="false" ht="19.35" hidden="false" customHeight="false" outlineLevel="0" collapsed="false">
      <c r="A40" s="5"/>
      <c r="B40" s="33"/>
      <c r="C40" s="33"/>
      <c r="D40" s="33"/>
      <c r="E40" s="5"/>
      <c r="F40" s="5"/>
    </row>
    <row r="41" customFormat="false" ht="19.35" hidden="false" customHeight="false" outlineLevel="0" collapsed="false">
      <c r="A41" s="27" t="s">
        <v>100</v>
      </c>
      <c r="B41" s="33"/>
      <c r="C41" s="33"/>
      <c r="D41" s="33"/>
      <c r="E41" s="5"/>
      <c r="F41" s="5"/>
    </row>
    <row r="42" customFormat="false" ht="19.35" hidden="false" customHeight="false" outlineLevel="0" collapsed="false">
      <c r="A42" s="5"/>
      <c r="B42" s="32" t="n">
        <f aca="false">+B36-B39</f>
        <v>-436.951903605</v>
      </c>
      <c r="C42" s="32" t="n">
        <f aca="false">+C36-C39</f>
        <v>24.3190022283333</v>
      </c>
      <c r="D42" s="32" t="n">
        <f aca="false">+D36-D39</f>
        <v>3.05181079661215</v>
      </c>
      <c r="E42" s="5"/>
      <c r="F42" s="5"/>
    </row>
    <row r="43" customFormat="false" ht="19.35" hidden="false" customHeight="false" outlineLevel="0" collapsed="false">
      <c r="A43" s="5"/>
      <c r="B43" s="33"/>
      <c r="C43" s="33"/>
      <c r="D43" s="33"/>
      <c r="E43" s="5"/>
      <c r="F43" s="5"/>
    </row>
    <row r="44" customFormat="false" ht="17" hidden="false" customHeight="false" outlineLevel="0" collapsed="false">
      <c r="A44" s="34" t="s">
        <v>101</v>
      </c>
      <c r="B44" s="5"/>
      <c r="C44" s="5"/>
      <c r="D44" s="5"/>
      <c r="E44" s="5"/>
      <c r="F44" s="5"/>
    </row>
    <row r="45" customFormat="false" ht="17" hidden="false" customHeight="false" outlineLevel="0" collapsed="false">
      <c r="A45" s="35" t="s">
        <v>102</v>
      </c>
      <c r="B45" s="5"/>
      <c r="C45" s="5"/>
      <c r="D45" s="5"/>
      <c r="E45" s="5"/>
      <c r="F45" s="5"/>
    </row>
    <row r="46" customFormat="false" ht="17" hidden="false" customHeight="false" outlineLevel="0" collapsed="false">
      <c r="A46" s="35" t="s">
        <v>103</v>
      </c>
      <c r="B46" s="5"/>
      <c r="C46" s="5"/>
      <c r="D46" s="5"/>
      <c r="E46" s="5"/>
      <c r="F46" s="5"/>
    </row>
    <row r="47" customFormat="false" ht="17" hidden="false" customHeight="false" outlineLevel="0" collapsed="false">
      <c r="A47" s="35" t="s">
        <v>104</v>
      </c>
      <c r="B47" s="5"/>
      <c r="C47" s="5"/>
      <c r="D47" s="5"/>
      <c r="E47" s="5"/>
      <c r="F47" s="5"/>
    </row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7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7" min="7" style="1" width="9.99"/>
    <col collapsed="false" customWidth="true" hidden="false" outlineLevel="0" max="10" min="10" style="1" width="10.41"/>
    <col collapsed="false" customWidth="true" hidden="false" outlineLevel="0" max="14" min="14" style="1" width="9.99"/>
  </cols>
  <sheetData>
    <row r="1" customFormat="false" ht="24.05" hidden="false" customHeight="false" outlineLevel="0" collapsed="false">
      <c r="A1" s="3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customFormat="false" ht="24.05" hidden="false" customHeight="false" outlineLevel="0" collapsed="false">
      <c r="A2" s="36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 t="s">
        <v>106</v>
      </c>
      <c r="N2" s="37"/>
      <c r="O2" s="37"/>
      <c r="P2" s="5"/>
    </row>
    <row r="3" customFormat="false" ht="24.05" hidden="false" customHeight="false" outlineLevel="0" collapsed="false">
      <c r="A3" s="36" t="s">
        <v>107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customFormat="false" ht="17" hidden="false" customHeight="false" outlineLevel="0" collapsed="false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customFormat="false" ht="19.3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 t="s">
        <v>106</v>
      </c>
      <c r="N5" s="37"/>
      <c r="O5" s="37"/>
      <c r="P5" s="5"/>
    </row>
    <row r="6" customFormat="false" ht="19.35" hidden="false" customHeight="false" outlineLevel="0" collapsed="false">
      <c r="A6" s="37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customFormat="false" ht="21.7" hidden="false" customHeight="false" outlineLevel="0" collapsed="false">
      <c r="A7" s="3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customFormat="false" ht="21.7" hidden="false" customHeight="false" outlineLevel="0" collapsed="false">
      <c r="A8" s="37" t="s">
        <v>109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customFormat="false" ht="17" hidden="false" customHeight="false" outlineLevel="0" collapsed="false">
      <c r="A9" s="39" t="s">
        <v>110</v>
      </c>
      <c r="B9" s="40" t="s">
        <v>98</v>
      </c>
      <c r="C9" s="41" t="s">
        <v>111</v>
      </c>
      <c r="D9" s="40" t="s">
        <v>112</v>
      </c>
      <c r="E9" s="40"/>
      <c r="F9" s="40"/>
      <c r="G9" s="40"/>
      <c r="H9" s="40"/>
      <c r="I9" s="42" t="s">
        <v>113</v>
      </c>
      <c r="J9" s="42"/>
      <c r="K9" s="42"/>
      <c r="L9" s="42"/>
      <c r="M9" s="42"/>
      <c r="N9" s="43" t="s">
        <v>114</v>
      </c>
      <c r="O9" s="5"/>
      <c r="P9" s="5"/>
    </row>
    <row r="10" customFormat="false" ht="19.35" hidden="false" customHeight="false" outlineLevel="0" collapsed="false">
      <c r="A10" s="44" t="s">
        <v>115</v>
      </c>
      <c r="B10" s="45" t="s">
        <v>116</v>
      </c>
      <c r="C10" s="46" t="s">
        <v>117</v>
      </c>
      <c r="D10" s="47" t="s">
        <v>118</v>
      </c>
      <c r="E10" s="48"/>
      <c r="F10" s="48"/>
      <c r="G10" s="48" t="s">
        <v>119</v>
      </c>
      <c r="H10" s="48" t="s">
        <v>120</v>
      </c>
      <c r="I10" s="49"/>
      <c r="J10" s="50"/>
      <c r="K10" s="50"/>
      <c r="L10" s="50"/>
      <c r="M10" s="51" t="s">
        <v>106</v>
      </c>
      <c r="N10" s="43" t="s">
        <v>121</v>
      </c>
      <c r="O10" s="43" t="s">
        <v>122</v>
      </c>
      <c r="P10" s="5"/>
    </row>
    <row r="11" customFormat="false" ht="19.35" hidden="false" customHeight="false" outlineLevel="0" collapsed="false">
      <c r="A11" s="52" t="s">
        <v>123</v>
      </c>
      <c r="B11" s="53" t="s">
        <v>124</v>
      </c>
      <c r="C11" s="54" t="s">
        <v>125</v>
      </c>
      <c r="D11" s="53" t="s">
        <v>51</v>
      </c>
      <c r="E11" s="54" t="s">
        <v>57</v>
      </c>
      <c r="F11" s="54" t="s">
        <v>39</v>
      </c>
      <c r="G11" s="54" t="s">
        <v>126</v>
      </c>
      <c r="H11" s="54" t="s">
        <v>127</v>
      </c>
      <c r="I11" s="53" t="s">
        <v>51</v>
      </c>
      <c r="J11" s="54" t="s">
        <v>57</v>
      </c>
      <c r="K11" s="54" t="s">
        <v>39</v>
      </c>
      <c r="L11" s="54" t="s">
        <v>126</v>
      </c>
      <c r="M11" s="55" t="s">
        <v>127</v>
      </c>
      <c r="N11" s="43" t="s">
        <v>128</v>
      </c>
      <c r="O11" s="43" t="s">
        <v>129</v>
      </c>
      <c r="P11" s="5"/>
    </row>
    <row r="12" customFormat="false" ht="19.35" hidden="false" customHeight="false" outlineLevel="0" collapsed="false">
      <c r="A12" s="56"/>
      <c r="B12" s="57"/>
      <c r="C12" s="5"/>
      <c r="D12" s="58" t="s">
        <v>106</v>
      </c>
      <c r="E12" s="59" t="s">
        <v>106</v>
      </c>
      <c r="F12" s="59" t="s">
        <v>106</v>
      </c>
      <c r="G12" s="60" t="s">
        <v>106</v>
      </c>
      <c r="H12" s="5"/>
      <c r="I12" s="61"/>
      <c r="J12" s="62"/>
      <c r="K12" s="62"/>
      <c r="L12" s="62"/>
      <c r="M12" s="63"/>
      <c r="N12" s="5"/>
      <c r="O12" s="5"/>
      <c r="P12" s="5"/>
    </row>
    <row r="13" customFormat="false" ht="19.35" hidden="false" customHeight="false" outlineLevel="0" collapsed="false">
      <c r="A13" s="64" t="s">
        <v>90</v>
      </c>
      <c r="B13" s="65" t="n">
        <v>8549</v>
      </c>
      <c r="C13" s="66" t="n">
        <v>4000</v>
      </c>
      <c r="D13" s="67" t="n">
        <f aca="false">0.0022/453.592</f>
        <v>4.85017372440431E-006</v>
      </c>
      <c r="E13" s="68" t="n">
        <f aca="false">E28</f>
        <v>81.9666666666667</v>
      </c>
      <c r="F13" s="68" t="n">
        <f aca="false">E29</f>
        <v>8.3</v>
      </c>
      <c r="G13" s="68" t="n">
        <f aca="false">E30</f>
        <v>0.503</v>
      </c>
      <c r="H13" s="69" t="n">
        <v>0.0095</v>
      </c>
      <c r="I13" s="61" t="n">
        <f aca="false">$N13*1046*D13/2000</f>
        <v>0.00061640372846082</v>
      </c>
      <c r="J13" s="62" t="n">
        <f aca="false">E13*B13/2000</f>
        <v>350.366516666667</v>
      </c>
      <c r="K13" s="62" t="n">
        <f aca="false">F13*B13/2000</f>
        <v>35.47835</v>
      </c>
      <c r="L13" s="62" t="n">
        <f aca="false">G13*D13/2000</f>
        <v>1.21981869168768E-009</v>
      </c>
      <c r="M13" s="70" t="n">
        <f aca="false">$N13*1046*H13/2000</f>
        <v>1.2073455</v>
      </c>
      <c r="N13" s="71" t="n">
        <v>243</v>
      </c>
      <c r="O13" s="72" t="n">
        <f aca="false">B13/8760</f>
        <v>0.975913242009132</v>
      </c>
      <c r="P13" s="5"/>
    </row>
    <row r="14" customFormat="false" ht="19.35" hidden="false" customHeight="false" outlineLevel="0" collapsed="false">
      <c r="A14" s="64" t="s">
        <v>91</v>
      </c>
      <c r="B14" s="65" t="n">
        <v>7212</v>
      </c>
      <c r="C14" s="66" t="n">
        <v>4000</v>
      </c>
      <c r="D14" s="67" t="n">
        <f aca="false">0.0022/453.592</f>
        <v>4.85017372440431E-006</v>
      </c>
      <c r="E14" s="68" t="n">
        <f aca="false">E32</f>
        <v>69.1333333333333</v>
      </c>
      <c r="F14" s="68" t="n">
        <f aca="false">E33</f>
        <v>11.5333333333333</v>
      </c>
      <c r="G14" s="68" t="n">
        <f aca="false">E34</f>
        <v>0.606</v>
      </c>
      <c r="H14" s="69" t="n">
        <v>0.0095</v>
      </c>
      <c r="I14" s="61" t="n">
        <f aca="false">$N14*1046*D14/2000</f>
        <v>0.000520011375862008</v>
      </c>
      <c r="J14" s="62" t="n">
        <f aca="false">E14*B14/2000</f>
        <v>249.2948</v>
      </c>
      <c r="K14" s="62" t="n">
        <f aca="false">F14*B14/2000</f>
        <v>41.5892</v>
      </c>
      <c r="L14" s="62" t="n">
        <f aca="false">G14*D14/2000</f>
        <v>1.46960263849451E-009</v>
      </c>
      <c r="M14" s="70" t="n">
        <f aca="false">$N14*1046*H14/2000</f>
        <v>1.0185425</v>
      </c>
      <c r="N14" s="71" t="n">
        <v>205</v>
      </c>
      <c r="O14" s="72" t="n">
        <f aca="false">B14/8760</f>
        <v>0.823287671232877</v>
      </c>
      <c r="P14" s="5"/>
    </row>
    <row r="15" customFormat="false" ht="19.35" hidden="false" customHeight="false" outlineLevel="0" collapsed="false">
      <c r="A15" s="64" t="s">
        <v>92</v>
      </c>
      <c r="B15" s="65" t="n">
        <v>6540</v>
      </c>
      <c r="C15" s="66" t="n">
        <v>4000</v>
      </c>
      <c r="D15" s="67" t="n">
        <f aca="false">0.0022/453.592</f>
        <v>4.85017372440431E-006</v>
      </c>
      <c r="E15" s="68" t="n">
        <f aca="false">E36</f>
        <v>85.0666666666667</v>
      </c>
      <c r="F15" s="68" t="n">
        <f aca="false">E37</f>
        <v>8.73333333333333</v>
      </c>
      <c r="G15" s="68" t="n">
        <f aca="false">E38</f>
        <v>0.288</v>
      </c>
      <c r="H15" s="69" t="n">
        <v>0.0095</v>
      </c>
      <c r="I15" s="61" t="n">
        <f aca="false">$N15*1046*D15/2000</f>
        <v>0.000471815199562603</v>
      </c>
      <c r="J15" s="62" t="n">
        <f aca="false">E15*B15/2000</f>
        <v>278.168</v>
      </c>
      <c r="K15" s="62" t="n">
        <f aca="false">F15*B15/2000</f>
        <v>28.558</v>
      </c>
      <c r="L15" s="62" t="n">
        <f aca="false">G15*D15/2000</f>
        <v>6.98425016314221E-010</v>
      </c>
      <c r="M15" s="70" t="n">
        <f aca="false">$N15*1046*H15/2000</f>
        <v>0.924141</v>
      </c>
      <c r="N15" s="71" t="n">
        <v>186</v>
      </c>
      <c r="O15" s="72" t="n">
        <f aca="false">B15/8760</f>
        <v>0.746575342465753</v>
      </c>
      <c r="P15" s="5"/>
    </row>
    <row r="16" customFormat="false" ht="19.35" hidden="false" customHeight="false" outlineLevel="0" collapsed="false">
      <c r="A16" s="73" t="n">
        <v>121</v>
      </c>
      <c r="B16" s="74" t="n">
        <v>1600</v>
      </c>
      <c r="C16" s="75" t="n">
        <v>350</v>
      </c>
      <c r="D16" s="76" t="n">
        <f aca="false">0.0022/453.592</f>
        <v>4.85017372440431E-006</v>
      </c>
      <c r="E16" s="77" t="n">
        <v>2.3</v>
      </c>
      <c r="F16" s="77" t="n">
        <v>0.5</v>
      </c>
      <c r="G16" s="78" t="n">
        <v>0.0296</v>
      </c>
      <c r="H16" s="78" t="n">
        <v>0.0095</v>
      </c>
      <c r="I16" s="79" t="n">
        <f aca="false">$B16*$C16*D16*8500/2000/1000000</f>
        <v>1.15434134640823E-005</v>
      </c>
      <c r="J16" s="80" t="n">
        <f aca="false">E16*B16/2000</f>
        <v>1.84</v>
      </c>
      <c r="K16" s="80" t="n">
        <f aca="false">F16*B16/2000</f>
        <v>0.4</v>
      </c>
      <c r="L16" s="80" t="n">
        <f aca="false">$B$16*G16*3.38/2000</f>
        <v>0.0800384</v>
      </c>
      <c r="M16" s="80" t="n">
        <f aca="false">H16*N16*1046/2000</f>
        <v>0.02261</v>
      </c>
      <c r="N16" s="71" t="n">
        <f aca="false">8500/1046*B16*C16/1000000</f>
        <v>4.55066921606119</v>
      </c>
      <c r="O16" s="72" t="n">
        <f aca="false">B16/8760</f>
        <v>0.182648401826484</v>
      </c>
      <c r="P16" s="5"/>
    </row>
    <row r="17" customFormat="false" ht="19.35" hidden="false" customHeight="false" outlineLevel="0" collapsed="false">
      <c r="A17" s="81" t="s">
        <v>98</v>
      </c>
      <c r="B17" s="82"/>
      <c r="C17" s="83"/>
      <c r="D17" s="84" t="s">
        <v>106</v>
      </c>
      <c r="E17" s="85" t="s">
        <v>106</v>
      </c>
      <c r="F17" s="85" t="s">
        <v>106</v>
      </c>
      <c r="G17" s="86" t="s">
        <v>106</v>
      </c>
      <c r="H17" s="87" t="s">
        <v>106</v>
      </c>
      <c r="I17" s="88" t="n">
        <f aca="false">SUM(I13:I16)</f>
        <v>0.00161977371734951</v>
      </c>
      <c r="J17" s="88" t="n">
        <f aca="false">SUM(J13:J16)</f>
        <v>879.669316666667</v>
      </c>
      <c r="K17" s="88" t="n">
        <f aca="false">SUM(K13:K16)</f>
        <v>106.02555</v>
      </c>
      <c r="L17" s="88" t="n">
        <f aca="false">SUM(L13:L16)</f>
        <v>0.0800384033878464</v>
      </c>
      <c r="M17" s="89" t="n">
        <f aca="false">SUM(M13:M16)</f>
        <v>3.172639</v>
      </c>
      <c r="N17" s="90" t="n">
        <f aca="false">SUM(N13:N16)</f>
        <v>638.550669216061</v>
      </c>
      <c r="O17" s="5"/>
      <c r="P17" s="5"/>
      <c r="Q17" s="1"/>
    </row>
    <row r="18" customFormat="false" ht="19.3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62"/>
      <c r="J18" s="91"/>
      <c r="K18" s="5"/>
      <c r="L18" s="5"/>
      <c r="M18" s="5"/>
      <c r="N18" s="5"/>
      <c r="O18" s="5"/>
      <c r="P18" s="5"/>
      <c r="Q18" s="92"/>
      <c r="R18" s="92"/>
      <c r="S18" s="92"/>
    </row>
    <row r="19" customFormat="false" ht="19.35" hidden="false" customHeight="false" outlineLevel="0" collapsed="false">
      <c r="A19" s="93" t="s">
        <v>130</v>
      </c>
      <c r="B19" s="5"/>
      <c r="C19" s="5"/>
      <c r="D19" s="94"/>
      <c r="E19" s="95"/>
      <c r="F19" s="95"/>
      <c r="G19" s="95"/>
      <c r="H19" s="95"/>
      <c r="I19" s="96"/>
      <c r="J19" s="5"/>
      <c r="K19" s="5"/>
      <c r="L19" s="62"/>
      <c r="M19" s="62"/>
      <c r="N19" s="62"/>
      <c r="O19" s="62"/>
      <c r="P19" s="62"/>
      <c r="Q19" s="92"/>
    </row>
    <row r="20" customFormat="false" ht="19.35" hidden="false" customHeight="false" outlineLevel="0" collapsed="false">
      <c r="A20" s="93" t="s">
        <v>131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customFormat="false" ht="19.35" hidden="false" customHeight="false" outlineLevel="0" collapsed="false">
      <c r="A21" s="93" t="s">
        <v>132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customFormat="false" ht="19.35" hidden="false" customHeight="false" outlineLevel="0" collapsed="false">
      <c r="A22" s="93" t="s">
        <v>133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customFormat="false" ht="19.35" hidden="false" customHeight="false" outlineLevel="0" collapsed="false">
      <c r="A23" s="93" t="s">
        <v>134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customFormat="false" ht="19.35" hidden="false" customHeight="false" outlineLevel="0" collapsed="false"/>
    <row r="25" customFormat="false" ht="19.35" hidden="false" customHeight="false" outlineLevel="0" collapsed="false">
      <c r="A25" s="97" t="s">
        <v>135</v>
      </c>
      <c r="B25" s="97"/>
      <c r="C25" s="97"/>
      <c r="D25" s="97"/>
      <c r="E25" s="97"/>
    </row>
    <row r="26" customFormat="false" ht="19.35" hidden="false" customHeight="false" outlineLevel="0" collapsed="false">
      <c r="A26" s="98"/>
      <c r="B26" s="99" t="s">
        <v>136</v>
      </c>
      <c r="C26" s="100" t="s">
        <v>137</v>
      </c>
      <c r="D26" s="100" t="s">
        <v>138</v>
      </c>
      <c r="E26" s="101" t="s">
        <v>139</v>
      </c>
    </row>
    <row r="27" customFormat="false" ht="19.35" hidden="false" customHeight="false" outlineLevel="0" collapsed="false">
      <c r="A27" s="102" t="s">
        <v>140</v>
      </c>
      <c r="B27" s="103" t="s">
        <v>43</v>
      </c>
      <c r="C27" s="104" t="s">
        <v>43</v>
      </c>
      <c r="D27" s="104" t="s">
        <v>43</v>
      </c>
      <c r="E27" s="105" t="s">
        <v>43</v>
      </c>
    </row>
    <row r="28" customFormat="false" ht="19.35" hidden="false" customHeight="false" outlineLevel="0" collapsed="false">
      <c r="A28" s="106" t="s">
        <v>80</v>
      </c>
      <c r="B28" s="107" t="n">
        <v>90.3</v>
      </c>
      <c r="C28" s="17" t="n">
        <v>82.4</v>
      </c>
      <c r="D28" s="17" t="n">
        <v>73.2</v>
      </c>
      <c r="E28" s="108" t="n">
        <f aca="false">AVERAGE(B28:D28)</f>
        <v>81.9666666666667</v>
      </c>
    </row>
    <row r="29" customFormat="false" ht="19.35" hidden="false" customHeight="false" outlineLevel="0" collapsed="false">
      <c r="A29" s="106" t="s">
        <v>39</v>
      </c>
      <c r="B29" s="107" t="n">
        <v>8.1</v>
      </c>
      <c r="C29" s="17" t="n">
        <v>8.2</v>
      </c>
      <c r="D29" s="17" t="n">
        <v>8.6</v>
      </c>
      <c r="E29" s="108" t="n">
        <f aca="false">AVERAGE(B29:D29)</f>
        <v>8.3</v>
      </c>
    </row>
    <row r="30" customFormat="false" ht="19.35" hidden="false" customHeight="false" outlineLevel="0" collapsed="false">
      <c r="A30" s="109" t="s">
        <v>59</v>
      </c>
      <c r="B30" s="110" t="n">
        <v>0.531</v>
      </c>
      <c r="C30" s="111" t="n">
        <v>0.512</v>
      </c>
      <c r="D30" s="111" t="n">
        <v>0.465</v>
      </c>
      <c r="E30" s="112" t="n">
        <v>0.503</v>
      </c>
    </row>
    <row r="31" customFormat="false" ht="19.35" hidden="false" customHeight="false" outlineLevel="0" collapsed="false">
      <c r="A31" s="102" t="s">
        <v>141</v>
      </c>
      <c r="B31" s="103" t="s">
        <v>43</v>
      </c>
      <c r="C31" s="104" t="s">
        <v>43</v>
      </c>
      <c r="D31" s="104" t="s">
        <v>43</v>
      </c>
      <c r="E31" s="105" t="s">
        <v>43</v>
      </c>
    </row>
    <row r="32" customFormat="false" ht="19.35" hidden="false" customHeight="false" outlineLevel="0" collapsed="false">
      <c r="A32" s="106" t="s">
        <v>80</v>
      </c>
      <c r="B32" s="107" t="n">
        <v>71.9</v>
      </c>
      <c r="C32" s="17" t="n">
        <v>68</v>
      </c>
      <c r="D32" s="17" t="n">
        <v>67.5</v>
      </c>
      <c r="E32" s="108" t="n">
        <f aca="false">AVERAGE(B32:D32)</f>
        <v>69.1333333333333</v>
      </c>
    </row>
    <row r="33" customFormat="false" ht="19.35" hidden="false" customHeight="false" outlineLevel="0" collapsed="false">
      <c r="A33" s="106" t="s">
        <v>39</v>
      </c>
      <c r="B33" s="107" t="n">
        <v>11.5</v>
      </c>
      <c r="C33" s="17" t="n">
        <v>11.5</v>
      </c>
      <c r="D33" s="17" t="n">
        <v>11.6</v>
      </c>
      <c r="E33" s="108" t="n">
        <f aca="false">AVERAGE(B33:D33)</f>
        <v>11.5333333333333</v>
      </c>
    </row>
    <row r="34" customFormat="false" ht="19.35" hidden="false" customHeight="false" outlineLevel="0" collapsed="false">
      <c r="A34" s="109" t="s">
        <v>59</v>
      </c>
      <c r="B34" s="110" t="n">
        <v>0.618</v>
      </c>
      <c r="C34" s="111" t="n">
        <v>0.609</v>
      </c>
      <c r="D34" s="111" t="n">
        <v>0.593</v>
      </c>
      <c r="E34" s="112" t="n">
        <v>0.606</v>
      </c>
    </row>
    <row r="35" customFormat="false" ht="19.35" hidden="false" customHeight="false" outlineLevel="0" collapsed="false">
      <c r="A35" s="113" t="s">
        <v>142</v>
      </c>
      <c r="B35" s="114" t="s">
        <v>43</v>
      </c>
      <c r="C35" s="115" t="s">
        <v>43</v>
      </c>
      <c r="D35" s="115" t="s">
        <v>43</v>
      </c>
      <c r="E35" s="116" t="s">
        <v>43</v>
      </c>
    </row>
    <row r="36" customFormat="false" ht="19.35" hidden="false" customHeight="false" outlineLevel="0" collapsed="false">
      <c r="A36" s="106" t="s">
        <v>80</v>
      </c>
      <c r="B36" s="107" t="n">
        <v>80.4</v>
      </c>
      <c r="C36" s="17" t="n">
        <v>86.9</v>
      </c>
      <c r="D36" s="17" t="n">
        <v>87.9</v>
      </c>
      <c r="E36" s="108" t="n">
        <f aca="false">AVERAGE(B36:D36)</f>
        <v>85.0666666666667</v>
      </c>
    </row>
    <row r="37" customFormat="false" ht="19.35" hidden="false" customHeight="false" outlineLevel="0" collapsed="false">
      <c r="A37" s="106" t="s">
        <v>39</v>
      </c>
      <c r="B37" s="107" t="n">
        <v>8.7</v>
      </c>
      <c r="C37" s="17" t="n">
        <v>8.6</v>
      </c>
      <c r="D37" s="17" t="n">
        <v>8.9</v>
      </c>
      <c r="E37" s="108" t="n">
        <f aca="false">AVERAGE(B37:D37)</f>
        <v>8.73333333333333</v>
      </c>
    </row>
    <row r="38" customFormat="false" ht="19.35" hidden="false" customHeight="false" outlineLevel="0" collapsed="false">
      <c r="A38" s="109" t="s">
        <v>59</v>
      </c>
      <c r="B38" s="110" t="n">
        <v>0.28</v>
      </c>
      <c r="C38" s="111" t="n">
        <v>0.293</v>
      </c>
      <c r="D38" s="111" t="n">
        <v>0.292</v>
      </c>
      <c r="E38" s="112" t="n">
        <v>0.288</v>
      </c>
    </row>
    <row r="39" customFormat="false" ht="19.35" hidden="false" customHeight="false" outlineLevel="0" collapsed="false">
      <c r="A39" s="1" t="s">
        <v>143</v>
      </c>
    </row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mergeCells count="3">
    <mergeCell ref="D9:H9"/>
    <mergeCell ref="I9:M9"/>
    <mergeCell ref="A25:E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1.27"/>
    <col collapsed="false" customWidth="true" hidden="false" outlineLevel="0" max="2" min="2" style="1" width="10.56"/>
    <col collapsed="false" customWidth="true" hidden="false" outlineLevel="0" max="3" min="3" style="1" width="9.7"/>
    <col collapsed="false" customWidth="true" hidden="false" outlineLevel="0" max="7" min="7" style="1" width="9.56"/>
    <col collapsed="false" customWidth="true" hidden="false" outlineLevel="0" max="8" min="8" style="1" width="16.7"/>
    <col collapsed="false" customWidth="true" hidden="false" outlineLevel="0" max="10" min="10" style="1" width="10.27"/>
    <col collapsed="false" customWidth="true" hidden="false" outlineLevel="0" max="11" min="11" style="1" width="12.27"/>
  </cols>
  <sheetData>
    <row r="1" customFormat="false" ht="24.05" hidden="false" customHeight="false" outlineLevel="0" collapsed="false">
      <c r="A1" s="36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24.05" hidden="false" customHeight="false" outlineLevel="0" collapsed="false">
      <c r="A2" s="36" t="s">
        <v>105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 t="s">
        <v>106</v>
      </c>
      <c r="N2" s="37"/>
      <c r="O2" s="37"/>
    </row>
    <row r="3" customFormat="false" ht="24.05" hidden="false" customHeight="false" outlineLevel="0" collapsed="false">
      <c r="A3" s="36" t="s">
        <v>144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17" hidden="false" customHeight="false" outlineLevel="0" collapsed="false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19.3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 t="s">
        <v>106</v>
      </c>
      <c r="N5" s="37"/>
      <c r="O5" s="37"/>
    </row>
    <row r="6" customFormat="false" ht="19.35" hidden="false" customHeight="false" outlineLevel="0" collapsed="false">
      <c r="A6" s="37" t="s">
        <v>108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customFormat="false" ht="21.7" hidden="false" customHeight="false" outlineLevel="0" collapsed="false">
      <c r="A7" s="3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21.7" hidden="false" customHeight="false" outlineLevel="0" collapsed="false">
      <c r="A8" s="37" t="s">
        <v>145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customFormat="false" ht="17" hidden="false" customHeight="false" outlineLevel="0" collapsed="false">
      <c r="A9" s="39" t="s">
        <v>110</v>
      </c>
      <c r="B9" s="40" t="s">
        <v>98</v>
      </c>
      <c r="C9" s="41" t="s">
        <v>111</v>
      </c>
      <c r="D9" s="40" t="s">
        <v>146</v>
      </c>
      <c r="E9" s="40"/>
      <c r="F9" s="40"/>
      <c r="G9" s="40"/>
      <c r="H9" s="40"/>
      <c r="I9" s="42" t="s">
        <v>113</v>
      </c>
      <c r="J9" s="42"/>
      <c r="K9" s="42"/>
      <c r="L9" s="42"/>
      <c r="M9" s="42"/>
      <c r="N9" s="43" t="s">
        <v>114</v>
      </c>
      <c r="O9" s="5"/>
    </row>
    <row r="10" customFormat="false" ht="19.35" hidden="false" customHeight="false" outlineLevel="0" collapsed="false">
      <c r="A10" s="44" t="s">
        <v>115</v>
      </c>
      <c r="B10" s="45" t="s">
        <v>116</v>
      </c>
      <c r="C10" s="46" t="s">
        <v>117</v>
      </c>
      <c r="D10" s="47" t="s">
        <v>118</v>
      </c>
      <c r="E10" s="48"/>
      <c r="F10" s="48" t="s">
        <v>118</v>
      </c>
      <c r="G10" s="48" t="s">
        <v>119</v>
      </c>
      <c r="H10" s="48" t="s">
        <v>120</v>
      </c>
      <c r="I10" s="49"/>
      <c r="J10" s="50"/>
      <c r="K10" s="50"/>
      <c r="L10" s="50"/>
      <c r="M10" s="51" t="s">
        <v>106</v>
      </c>
      <c r="N10" s="43" t="s">
        <v>121</v>
      </c>
      <c r="O10" s="43" t="s">
        <v>122</v>
      </c>
    </row>
    <row r="11" customFormat="false" ht="19.35" hidden="false" customHeight="false" outlineLevel="0" collapsed="false">
      <c r="A11" s="52" t="s">
        <v>123</v>
      </c>
      <c r="B11" s="53" t="s">
        <v>124</v>
      </c>
      <c r="C11" s="54" t="s">
        <v>125</v>
      </c>
      <c r="D11" s="53" t="s">
        <v>51</v>
      </c>
      <c r="E11" s="54" t="s">
        <v>57</v>
      </c>
      <c r="F11" s="54" t="s">
        <v>39</v>
      </c>
      <c r="G11" s="54" t="s">
        <v>126</v>
      </c>
      <c r="H11" s="54" t="s">
        <v>127</v>
      </c>
      <c r="I11" s="53" t="s">
        <v>51</v>
      </c>
      <c r="J11" s="54" t="s">
        <v>57</v>
      </c>
      <c r="K11" s="54" t="s">
        <v>39</v>
      </c>
      <c r="L11" s="54" t="s">
        <v>126</v>
      </c>
      <c r="M11" s="55" t="s">
        <v>127</v>
      </c>
      <c r="N11" s="43" t="s">
        <v>128</v>
      </c>
      <c r="O11" s="43" t="s">
        <v>129</v>
      </c>
    </row>
    <row r="12" customFormat="false" ht="19.35" hidden="false" customHeight="false" outlineLevel="0" collapsed="false">
      <c r="A12" s="56"/>
      <c r="B12" s="57"/>
      <c r="C12" s="5"/>
      <c r="D12" s="58" t="s">
        <v>106</v>
      </c>
      <c r="E12" s="59" t="s">
        <v>106</v>
      </c>
      <c r="F12" s="59" t="s">
        <v>106</v>
      </c>
      <c r="G12" s="60" t="s">
        <v>106</v>
      </c>
      <c r="H12" s="5"/>
      <c r="I12" s="61"/>
      <c r="J12" s="62"/>
      <c r="K12" s="62"/>
      <c r="L12" s="62"/>
      <c r="M12" s="63"/>
      <c r="N12" s="5"/>
      <c r="O12" s="5"/>
    </row>
    <row r="13" customFormat="false" ht="19.35" hidden="false" customHeight="false" outlineLevel="0" collapsed="false">
      <c r="A13" s="64" t="s">
        <v>90</v>
      </c>
      <c r="B13" s="65" t="n">
        <v>2426.1666</v>
      </c>
      <c r="C13" s="66" t="n">
        <v>4000</v>
      </c>
      <c r="D13" s="67" t="n">
        <f aca="false">0.0022/453.592</f>
        <v>4.85017372440431E-006</v>
      </c>
      <c r="E13" s="68" t="n">
        <f aca="false">E28</f>
        <v>81.9666666666667</v>
      </c>
      <c r="F13" s="68" t="n">
        <f aca="false">E29</f>
        <v>8.3</v>
      </c>
      <c r="G13" s="68" t="n">
        <f aca="false">E30</f>
        <v>0.503</v>
      </c>
      <c r="H13" s="69" t="n">
        <v>0.0095</v>
      </c>
      <c r="I13" s="61" t="n">
        <f aca="false">$B13*$C13*D13/2000</f>
        <v>0.0235346589886947</v>
      </c>
      <c r="J13" s="62" t="n">
        <f aca="false">E13*B13/2000</f>
        <v>99.43239449</v>
      </c>
      <c r="K13" s="62" t="n">
        <f aca="false">F13*B13/2000</f>
        <v>10.06859139</v>
      </c>
      <c r="L13" s="62" t="n">
        <f aca="false">G13*D13/2000</f>
        <v>1.21981869168768E-009</v>
      </c>
      <c r="M13" s="70" t="n">
        <f aca="false">H13*N13*1046/2000</f>
        <v>0.337500268</v>
      </c>
      <c r="N13" s="117" t="n">
        <v>67.928</v>
      </c>
      <c r="O13" s="72" t="n">
        <f aca="false">B13/8760</f>
        <v>0.276959657534247</v>
      </c>
    </row>
    <row r="14" customFormat="false" ht="19.35" hidden="false" customHeight="false" outlineLevel="0" collapsed="false">
      <c r="A14" s="64" t="s">
        <v>91</v>
      </c>
      <c r="B14" s="65" t="n">
        <v>2241.5</v>
      </c>
      <c r="C14" s="66" t="n">
        <v>4000</v>
      </c>
      <c r="D14" s="67" t="n">
        <f aca="false">0.0022/453.592</f>
        <v>4.85017372440431E-006</v>
      </c>
      <c r="E14" s="68" t="n">
        <f aca="false">E32</f>
        <v>69.1333333333333</v>
      </c>
      <c r="F14" s="68" t="n">
        <f aca="false">E33</f>
        <v>11.5333333333333</v>
      </c>
      <c r="G14" s="68" t="n">
        <f aca="false">E34</f>
        <v>0.606</v>
      </c>
      <c r="H14" s="69" t="n">
        <v>0.0095</v>
      </c>
      <c r="I14" s="61" t="n">
        <f aca="false">$B14*$C14*D14/2000</f>
        <v>0.0217433288065045</v>
      </c>
      <c r="J14" s="62" t="n">
        <f aca="false">E14*B14/2000</f>
        <v>77.4811833333333</v>
      </c>
      <c r="K14" s="62" t="n">
        <f aca="false">F14*B14/2000</f>
        <v>12.9259833333333</v>
      </c>
      <c r="L14" s="62" t="n">
        <f aca="false">G14*D14/2000</f>
        <v>1.46960263849451E-009</v>
      </c>
      <c r="M14" s="70" t="n">
        <f aca="false">H14*N14*1046/2000</f>
        <v>0.311763438</v>
      </c>
      <c r="N14" s="117" t="n">
        <v>62.748</v>
      </c>
      <c r="O14" s="72" t="n">
        <f aca="false">B14/8760</f>
        <v>0.25587899543379</v>
      </c>
    </row>
    <row r="15" customFormat="false" ht="19.35" hidden="false" customHeight="false" outlineLevel="0" collapsed="false">
      <c r="A15" s="73" t="s">
        <v>92</v>
      </c>
      <c r="B15" s="74" t="n">
        <v>2723.4666</v>
      </c>
      <c r="C15" s="75" t="n">
        <v>4000</v>
      </c>
      <c r="D15" s="76" t="n">
        <f aca="false">0.0022/453.592</f>
        <v>4.85017372440431E-006</v>
      </c>
      <c r="E15" s="118" t="n">
        <f aca="false">E36</f>
        <v>85.0666666666667</v>
      </c>
      <c r="F15" s="118" t="n">
        <f aca="false">E37</f>
        <v>8.73333333333333</v>
      </c>
      <c r="G15" s="118" t="n">
        <f aca="false">E38</f>
        <v>0.288</v>
      </c>
      <c r="H15" s="69" t="n">
        <v>0.0095</v>
      </c>
      <c r="I15" s="79" t="n">
        <f aca="false">$B15*$C15*D15/2000</f>
        <v>0.0264185722852255</v>
      </c>
      <c r="J15" s="80" t="n">
        <f aca="false">E15*B15/2000</f>
        <v>115.83811272</v>
      </c>
      <c r="K15" s="62" t="n">
        <f aca="false">F15*B15/2000</f>
        <v>11.89247082</v>
      </c>
      <c r="L15" s="80" t="n">
        <f aca="false">G15*D15/2000</f>
        <v>6.98425016314221E-010</v>
      </c>
      <c r="M15" s="70" t="n">
        <f aca="false">H15*N15*1046/2000</f>
        <v>0.378818314</v>
      </c>
      <c r="N15" s="117" t="n">
        <v>76.244</v>
      </c>
      <c r="O15" s="72" t="n">
        <f aca="false">B15/8760</f>
        <v>0.31089801369863</v>
      </c>
    </row>
    <row r="16" customFormat="false" ht="19.35" hidden="false" customHeight="false" outlineLevel="0" collapsed="false">
      <c r="A16" s="81" t="s">
        <v>98</v>
      </c>
      <c r="B16" s="82"/>
      <c r="C16" s="83"/>
      <c r="D16" s="84" t="s">
        <v>106</v>
      </c>
      <c r="E16" s="85" t="s">
        <v>106</v>
      </c>
      <c r="F16" s="85" t="s">
        <v>106</v>
      </c>
      <c r="G16" s="86" t="s">
        <v>106</v>
      </c>
      <c r="H16" s="87" t="s">
        <v>106</v>
      </c>
      <c r="I16" s="88" t="n">
        <f aca="false">SUM(I13:I15)</f>
        <v>0.0716965600804247</v>
      </c>
      <c r="J16" s="88" t="n">
        <f aca="false">SUM(J13:J15)</f>
        <v>292.751690543333</v>
      </c>
      <c r="K16" s="88" t="n">
        <f aca="false">SUM(K13:K15)</f>
        <v>34.8870455433333</v>
      </c>
      <c r="L16" s="88" t="n">
        <f aca="false">SUM(L13:L15)</f>
        <v>3.38784634649641E-009</v>
      </c>
      <c r="M16" s="89" t="n">
        <f aca="false">SUM(M13:M15)</f>
        <v>1.02808202</v>
      </c>
      <c r="N16" s="119" t="n">
        <f aca="false">SUM(N13:N15)</f>
        <v>206.92</v>
      </c>
      <c r="O16" s="5"/>
    </row>
    <row r="17" customFormat="false" ht="19.35" hidden="false" customHeight="false" outlineLevel="0" collapsed="false">
      <c r="A17" s="5"/>
      <c r="B17" s="5"/>
      <c r="C17" s="5"/>
      <c r="D17" s="5"/>
      <c r="E17" s="5"/>
      <c r="F17" s="5"/>
      <c r="G17" s="5"/>
      <c r="H17" s="5"/>
      <c r="I17" s="62"/>
      <c r="J17" s="91"/>
      <c r="K17" s="5"/>
      <c r="L17" s="5"/>
      <c r="M17" s="5"/>
      <c r="N17" s="5"/>
      <c r="O17" s="5"/>
    </row>
    <row r="18" customFormat="false" ht="19.35" hidden="false" customHeight="false" outlineLevel="0" collapsed="false">
      <c r="A18" s="93" t="s">
        <v>130</v>
      </c>
      <c r="B18" s="5"/>
      <c r="C18" s="5"/>
      <c r="D18" s="94"/>
      <c r="E18" s="95"/>
      <c r="F18" s="95"/>
      <c r="G18" s="95"/>
      <c r="H18" s="95"/>
      <c r="I18" s="96"/>
      <c r="J18" s="5"/>
      <c r="K18" s="5"/>
      <c r="L18" s="62"/>
      <c r="M18" s="62"/>
      <c r="N18" s="62"/>
      <c r="O18" s="62"/>
      <c r="P18" s="92"/>
      <c r="Q18" s="92"/>
    </row>
    <row r="19" customFormat="false" ht="19.35" hidden="false" customHeight="false" outlineLevel="0" collapsed="false">
      <c r="A19" s="93" t="s">
        <v>147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9.35" hidden="false" customHeight="false" outlineLevel="0" collapsed="false">
      <c r="A20" s="93" t="s">
        <v>148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customFormat="false" ht="19.35" hidden="false" customHeight="false" outlineLevel="0" collapsed="false">
      <c r="A21" s="93" t="s">
        <v>133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9.35" hidden="false" customHeight="false" outlineLevel="0" collapsed="false">
      <c r="A22" s="93" t="s">
        <v>134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customFormat="false" ht="19.35" hidden="false" customHeight="false" outlineLevel="0" collapsed="false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19.35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9.35" hidden="false" customHeight="false" outlineLevel="0" collapsed="false">
      <c r="A25" s="97" t="s">
        <v>135</v>
      </c>
      <c r="B25" s="97"/>
      <c r="C25" s="97"/>
      <c r="D25" s="97"/>
      <c r="E25" s="97"/>
    </row>
    <row r="26" customFormat="false" ht="19.35" hidden="false" customHeight="false" outlineLevel="0" collapsed="false">
      <c r="A26" s="98"/>
      <c r="B26" s="99" t="s">
        <v>136</v>
      </c>
      <c r="C26" s="100" t="s">
        <v>137</v>
      </c>
      <c r="D26" s="100" t="s">
        <v>138</v>
      </c>
      <c r="E26" s="101" t="s">
        <v>139</v>
      </c>
    </row>
    <row r="27" customFormat="false" ht="19.35" hidden="false" customHeight="false" outlineLevel="0" collapsed="false">
      <c r="A27" s="102" t="s">
        <v>140</v>
      </c>
      <c r="B27" s="103" t="s">
        <v>43</v>
      </c>
      <c r="C27" s="104" t="s">
        <v>43</v>
      </c>
      <c r="D27" s="104" t="s">
        <v>43</v>
      </c>
      <c r="E27" s="105" t="s">
        <v>43</v>
      </c>
    </row>
    <row r="28" customFormat="false" ht="19.35" hidden="false" customHeight="false" outlineLevel="0" collapsed="false">
      <c r="A28" s="106" t="s">
        <v>80</v>
      </c>
      <c r="B28" s="107" t="n">
        <v>90.3</v>
      </c>
      <c r="C28" s="17" t="n">
        <v>82.4</v>
      </c>
      <c r="D28" s="17" t="n">
        <v>73.2</v>
      </c>
      <c r="E28" s="108" t="n">
        <f aca="false">AVERAGE(B28:D28)</f>
        <v>81.9666666666667</v>
      </c>
    </row>
    <row r="29" customFormat="false" ht="19.35" hidden="false" customHeight="false" outlineLevel="0" collapsed="false">
      <c r="A29" s="106" t="s">
        <v>39</v>
      </c>
      <c r="B29" s="107" t="n">
        <v>8.1</v>
      </c>
      <c r="C29" s="17" t="n">
        <v>8.2</v>
      </c>
      <c r="D29" s="17" t="n">
        <v>8.6</v>
      </c>
      <c r="E29" s="108" t="n">
        <f aca="false">AVERAGE(B29:D29)</f>
        <v>8.3</v>
      </c>
    </row>
    <row r="30" customFormat="false" ht="19.35" hidden="false" customHeight="false" outlineLevel="0" collapsed="false">
      <c r="A30" s="109" t="s">
        <v>59</v>
      </c>
      <c r="B30" s="110" t="n">
        <v>0.531</v>
      </c>
      <c r="C30" s="111" t="n">
        <v>0.512</v>
      </c>
      <c r="D30" s="111" t="n">
        <v>0.465</v>
      </c>
      <c r="E30" s="112" t="n">
        <v>0.503</v>
      </c>
    </row>
    <row r="31" customFormat="false" ht="19.35" hidden="false" customHeight="false" outlineLevel="0" collapsed="false">
      <c r="A31" s="102" t="s">
        <v>141</v>
      </c>
      <c r="B31" s="103" t="s">
        <v>43</v>
      </c>
      <c r="C31" s="104" t="s">
        <v>43</v>
      </c>
      <c r="D31" s="104" t="s">
        <v>43</v>
      </c>
      <c r="E31" s="105" t="s">
        <v>43</v>
      </c>
    </row>
    <row r="32" customFormat="false" ht="19.35" hidden="false" customHeight="false" outlineLevel="0" collapsed="false">
      <c r="A32" s="106" t="s">
        <v>80</v>
      </c>
      <c r="B32" s="107" t="n">
        <v>71.9</v>
      </c>
      <c r="C32" s="17" t="n">
        <v>68</v>
      </c>
      <c r="D32" s="17" t="n">
        <v>67.5</v>
      </c>
      <c r="E32" s="108" t="n">
        <f aca="false">AVERAGE(B32:D32)</f>
        <v>69.1333333333333</v>
      </c>
    </row>
    <row r="33" customFormat="false" ht="19.35" hidden="false" customHeight="false" outlineLevel="0" collapsed="false">
      <c r="A33" s="106" t="s">
        <v>39</v>
      </c>
      <c r="B33" s="107" t="n">
        <v>11.5</v>
      </c>
      <c r="C33" s="17" t="n">
        <v>11.5</v>
      </c>
      <c r="D33" s="17" t="n">
        <v>11.6</v>
      </c>
      <c r="E33" s="108" t="n">
        <f aca="false">AVERAGE(B33:D33)</f>
        <v>11.5333333333333</v>
      </c>
    </row>
    <row r="34" customFormat="false" ht="19.35" hidden="false" customHeight="false" outlineLevel="0" collapsed="false">
      <c r="A34" s="109" t="s">
        <v>59</v>
      </c>
      <c r="B34" s="110" t="n">
        <v>0.618</v>
      </c>
      <c r="C34" s="111" t="n">
        <v>0.609</v>
      </c>
      <c r="D34" s="111" t="n">
        <v>0.593</v>
      </c>
      <c r="E34" s="112" t="n">
        <v>0.606</v>
      </c>
    </row>
    <row r="35" customFormat="false" ht="19.35" hidden="false" customHeight="false" outlineLevel="0" collapsed="false">
      <c r="A35" s="113" t="s">
        <v>142</v>
      </c>
      <c r="B35" s="114" t="s">
        <v>43</v>
      </c>
      <c r="C35" s="115" t="s">
        <v>43</v>
      </c>
      <c r="D35" s="115" t="s">
        <v>43</v>
      </c>
      <c r="E35" s="116" t="s">
        <v>43</v>
      </c>
    </row>
    <row r="36" customFormat="false" ht="19.35" hidden="false" customHeight="false" outlineLevel="0" collapsed="false">
      <c r="A36" s="106" t="s">
        <v>80</v>
      </c>
      <c r="B36" s="107" t="n">
        <v>80.4</v>
      </c>
      <c r="C36" s="17" t="n">
        <v>86.9</v>
      </c>
      <c r="D36" s="17" t="n">
        <v>87.9</v>
      </c>
      <c r="E36" s="108" t="n">
        <f aca="false">AVERAGE(B36:D36)</f>
        <v>85.0666666666667</v>
      </c>
    </row>
    <row r="37" customFormat="false" ht="19.35" hidden="false" customHeight="false" outlineLevel="0" collapsed="false">
      <c r="A37" s="106" t="s">
        <v>39</v>
      </c>
      <c r="B37" s="107" t="n">
        <v>8.7</v>
      </c>
      <c r="C37" s="17" t="n">
        <v>8.6</v>
      </c>
      <c r="D37" s="17" t="n">
        <v>8.9</v>
      </c>
      <c r="E37" s="108" t="n">
        <f aca="false">AVERAGE(B37:D37)</f>
        <v>8.73333333333333</v>
      </c>
    </row>
    <row r="38" customFormat="false" ht="19.35" hidden="false" customHeight="false" outlineLevel="0" collapsed="false">
      <c r="A38" s="109" t="s">
        <v>59</v>
      </c>
      <c r="B38" s="110" t="n">
        <v>0.28</v>
      </c>
      <c r="C38" s="111" t="n">
        <v>0.293</v>
      </c>
      <c r="D38" s="111" t="n">
        <v>0.292</v>
      </c>
      <c r="E38" s="112" t="n">
        <v>0.288</v>
      </c>
    </row>
    <row r="39" customFormat="false" ht="19.35" hidden="false" customHeight="false" outlineLevel="0" collapsed="false">
      <c r="A39" s="1" t="s">
        <v>143</v>
      </c>
    </row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mergeCells count="3">
    <mergeCell ref="D9:H9"/>
    <mergeCell ref="I9:M9"/>
    <mergeCell ref="A25:E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67"/>
  <sheetViews>
    <sheetView showFormulas="false" showGridLines="true" showRowColHeaders="true" showZeros="true" rightToLeft="false" tabSelected="false" showOutlineSymbols="true" defaultGridColor="true" view="normal" topLeftCell="B25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10.85"/>
    <col collapsed="false" customWidth="true" hidden="false" outlineLevel="0" max="3" min="3" style="1" width="9.85"/>
    <col collapsed="false" customWidth="true" hidden="false" outlineLevel="0" max="5" min="5" style="1" width="9.85"/>
    <col collapsed="false" customWidth="true" hidden="false" outlineLevel="0" max="6" min="6" style="1" width="11.12"/>
  </cols>
  <sheetData>
    <row r="1" customFormat="false" ht="24.05" hidden="false" customHeight="false" outlineLevel="0" collapsed="false">
      <c r="A1" s="2" t="s">
        <v>0</v>
      </c>
      <c r="B1" s="120"/>
      <c r="C1" s="120"/>
      <c r="D1" s="120"/>
      <c r="E1" s="120"/>
      <c r="F1" s="120"/>
      <c r="G1" s="120"/>
      <c r="H1" s="120"/>
      <c r="I1" s="120"/>
    </row>
    <row r="2" customFormat="false" ht="24.05" hidden="false" customHeight="false" outlineLevel="0" collapsed="false">
      <c r="A2" s="2" t="s">
        <v>1</v>
      </c>
      <c r="B2" s="120"/>
      <c r="C2" s="120"/>
      <c r="D2" s="120"/>
      <c r="E2" s="120"/>
      <c r="F2" s="120"/>
      <c r="G2" s="120"/>
      <c r="H2" s="120"/>
      <c r="I2" s="120"/>
    </row>
    <row r="3" customFormat="false" ht="24.05" hidden="false" customHeight="false" outlineLevel="0" collapsed="false">
      <c r="A3" s="2" t="s">
        <v>2</v>
      </c>
      <c r="B3" s="120"/>
      <c r="C3" s="120"/>
      <c r="D3" s="120"/>
      <c r="E3" s="120"/>
      <c r="F3" s="120"/>
      <c r="G3" s="120"/>
      <c r="H3" s="120"/>
      <c r="I3" s="120"/>
    </row>
    <row r="4" customFormat="false" ht="17" hidden="false" customHeight="false" outlineLevel="0" collapsed="false"/>
    <row r="5" customFormat="false" ht="19.35" hidden="false" customHeight="false" outlineLevel="0" collapsed="false">
      <c r="A5" s="3" t="s">
        <v>149</v>
      </c>
      <c r="D5" s="1"/>
      <c r="G5" s="1"/>
      <c r="H5" s="1"/>
      <c r="I5" s="1"/>
    </row>
    <row r="6" customFormat="false" ht="19.35" hidden="false" customHeight="false" outlineLevel="0" collapsed="false"/>
    <row r="7" customFormat="false" ht="21.7" hidden="false" customHeight="false" outlineLevel="0" collapsed="false">
      <c r="A7" s="121" t="s">
        <v>150</v>
      </c>
    </row>
    <row r="8" customFormat="false" ht="21.7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</row>
    <row r="9" customFormat="false" ht="17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5"/>
    </row>
    <row r="10" customFormat="false" ht="19.35" hidden="false" customHeight="false" outlineLevel="0" collapsed="false">
      <c r="A10" s="5" t="s">
        <v>151</v>
      </c>
      <c r="B10" s="5"/>
      <c r="C10" s="5"/>
      <c r="D10" s="5"/>
      <c r="E10" s="5"/>
      <c r="F10" s="5"/>
      <c r="G10" s="5"/>
      <c r="H10" s="5"/>
      <c r="I10" s="5"/>
    </row>
    <row r="11" customFormat="false" ht="19.35" hidden="false" customHeight="false" outlineLevel="0" collapsed="false">
      <c r="A11" s="5" t="s">
        <v>152</v>
      </c>
      <c r="B11" s="5"/>
      <c r="C11" s="5" t="n">
        <v>2000</v>
      </c>
      <c r="D11" s="5" t="s">
        <v>153</v>
      </c>
      <c r="E11" s="5"/>
      <c r="F11" s="5"/>
      <c r="G11" s="5"/>
      <c r="H11" s="5"/>
      <c r="I11" s="5"/>
    </row>
    <row r="12" customFormat="false" ht="19.35" hidden="false" customHeight="false" outlineLevel="0" collapsed="false">
      <c r="A12" s="5" t="s">
        <v>154</v>
      </c>
      <c r="B12" s="5"/>
      <c r="C12" s="5" t="n">
        <v>4000</v>
      </c>
      <c r="D12" s="5" t="s">
        <v>155</v>
      </c>
      <c r="E12" s="5"/>
      <c r="F12" s="5"/>
      <c r="G12" s="5"/>
      <c r="H12" s="5"/>
      <c r="I12" s="5"/>
    </row>
    <row r="13" customFormat="false" ht="19.35" hidden="false" customHeight="false" outlineLevel="0" collapsed="false">
      <c r="A13" s="5" t="s">
        <v>156</v>
      </c>
      <c r="B13" s="5"/>
      <c r="C13" s="5" t="n">
        <v>451</v>
      </c>
      <c r="D13" s="5"/>
      <c r="E13" s="5"/>
      <c r="F13" s="5"/>
      <c r="G13" s="5"/>
      <c r="H13" s="5"/>
      <c r="I13" s="5"/>
    </row>
    <row r="14" customFormat="false" ht="19.35" hidden="false" customHeight="false" outlineLevel="0" collapsed="false">
      <c r="A14" s="5" t="s">
        <v>72</v>
      </c>
      <c r="B14" s="5"/>
      <c r="C14" s="5" t="n">
        <v>7500</v>
      </c>
      <c r="D14" s="5" t="s">
        <v>73</v>
      </c>
      <c r="E14" s="5"/>
      <c r="F14" s="5"/>
      <c r="G14" s="5"/>
      <c r="H14" s="5"/>
      <c r="I14" s="5"/>
    </row>
    <row r="15" customFormat="false" ht="19.35" hidden="false" customHeight="false" outlineLevel="0" collapsed="false">
      <c r="A15" s="5" t="s">
        <v>157</v>
      </c>
      <c r="B15" s="5"/>
      <c r="C15" s="5"/>
      <c r="D15" s="5"/>
      <c r="E15" s="5"/>
      <c r="F15" s="5"/>
      <c r="G15" s="5"/>
      <c r="H15" s="5"/>
      <c r="I15" s="5"/>
    </row>
    <row r="16" customFormat="false" ht="19.35" hidden="false" customHeight="false" outlineLevel="0" collapsed="false">
      <c r="A16" s="19" t="s">
        <v>49</v>
      </c>
      <c r="B16" s="19" t="n">
        <v>0.0194</v>
      </c>
      <c r="C16" s="19" t="s">
        <v>50</v>
      </c>
      <c r="D16" s="5"/>
      <c r="E16" s="5"/>
      <c r="F16" s="5"/>
      <c r="G16" s="5"/>
      <c r="H16" s="5"/>
      <c r="I16" s="5"/>
    </row>
    <row r="17" customFormat="false" ht="19.35" hidden="false" customHeight="false" outlineLevel="0" collapsed="false">
      <c r="A17" s="19" t="s">
        <v>51</v>
      </c>
      <c r="B17" s="26" t="n">
        <v>0.000588</v>
      </c>
      <c r="C17" s="19" t="s">
        <v>50</v>
      </c>
      <c r="D17" s="5"/>
      <c r="E17" s="5"/>
      <c r="F17" s="5"/>
      <c r="G17" s="5"/>
      <c r="H17" s="5"/>
      <c r="I17" s="5"/>
    </row>
    <row r="18" customFormat="false" ht="19.35" hidden="false" customHeight="false" outlineLevel="0" collapsed="false">
      <c r="A18" s="5"/>
      <c r="B18" s="5"/>
      <c r="C18" s="5"/>
      <c r="D18" s="5"/>
      <c r="E18" s="5"/>
      <c r="F18" s="5"/>
      <c r="G18" s="5"/>
      <c r="H18" s="5"/>
      <c r="I18" s="5"/>
    </row>
    <row r="19" customFormat="false" ht="19.35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</row>
    <row r="20" customFormat="false" ht="19.35" hidden="false" customHeight="false" outlineLevel="0" collapsed="false">
      <c r="A20" s="122"/>
      <c r="B20" s="11" t="s">
        <v>158</v>
      </c>
      <c r="C20" s="12"/>
      <c r="D20" s="12"/>
      <c r="E20" s="12"/>
      <c r="F20" s="12"/>
      <c r="G20" s="5"/>
      <c r="H20" s="5"/>
      <c r="I20" s="5"/>
    </row>
    <row r="21" customFormat="false" ht="19.35" hidden="false" customHeight="false" outlineLevel="0" collapsed="false">
      <c r="A21" s="123" t="s">
        <v>86</v>
      </c>
      <c r="B21" s="124" t="s">
        <v>80</v>
      </c>
      <c r="C21" s="20" t="s">
        <v>39</v>
      </c>
      <c r="D21" s="20" t="s">
        <v>59</v>
      </c>
      <c r="E21" s="20" t="s">
        <v>49</v>
      </c>
      <c r="F21" s="125" t="s">
        <v>51</v>
      </c>
    </row>
    <row r="22" customFormat="false" ht="19.35" hidden="false" customHeight="false" outlineLevel="0" collapsed="false">
      <c r="A22" s="126" t="n">
        <v>101</v>
      </c>
      <c r="B22" s="8" t="n">
        <f aca="false">'2000 EIQ'!E28*$C$11/2000</f>
        <v>81.9666666666667</v>
      </c>
      <c r="C22" s="8" t="n">
        <f aca="false">'2000 EIQ'!E29*$C$11/2000</f>
        <v>8.3</v>
      </c>
      <c r="D22" s="8" t="n">
        <f aca="false">'2000 EIQ'!E30*$C$11/2000</f>
        <v>0.503</v>
      </c>
      <c r="E22" s="127" t="n">
        <f aca="false">$C$14*$C$12*$C$11/1000000*B16/2000</f>
        <v>0.582</v>
      </c>
      <c r="F22" s="128" t="n">
        <f aca="false">$C$14*$C$12*$C$11/1000000*B17/2000</f>
        <v>0.01764</v>
      </c>
    </row>
    <row r="23" customFormat="false" ht="19.35" hidden="false" customHeight="false" outlineLevel="0" collapsed="false">
      <c r="A23" s="126" t="n">
        <v>102</v>
      </c>
      <c r="B23" s="8" t="n">
        <f aca="false">'2000 EIQ'!E32*$C$11/2000</f>
        <v>69.1333333333333</v>
      </c>
      <c r="C23" s="8" t="n">
        <f aca="false">'2000 EIQ'!E33*$C$11/2000</f>
        <v>11.5333333333333</v>
      </c>
      <c r="D23" s="8" t="n">
        <f aca="false">'2000 EIQ'!E34*$C$11/2000</f>
        <v>0.606</v>
      </c>
      <c r="E23" s="127" t="n">
        <f aca="false">+E22</f>
        <v>0.582</v>
      </c>
      <c r="F23" s="128" t="n">
        <f aca="false">+F22</f>
        <v>0.01764</v>
      </c>
    </row>
    <row r="24" customFormat="false" ht="19.35" hidden="false" customHeight="false" outlineLevel="0" collapsed="false">
      <c r="A24" s="126" t="n">
        <v>103</v>
      </c>
      <c r="B24" s="8" t="n">
        <f aca="false">'2000 EIQ'!E36*$C$11/2000</f>
        <v>85.0666666666667</v>
      </c>
      <c r="C24" s="8" t="n">
        <f aca="false">'2000 EIQ'!E37*$C$11/2000</f>
        <v>8.73333333333333</v>
      </c>
      <c r="D24" s="8" t="n">
        <f aca="false">'2000 EIQ'!E38*$C$11/2000</f>
        <v>0.288</v>
      </c>
      <c r="E24" s="127" t="n">
        <f aca="false">+E23</f>
        <v>0.582</v>
      </c>
      <c r="F24" s="128" t="n">
        <f aca="false">+F23</f>
        <v>0.01764</v>
      </c>
    </row>
    <row r="25" customFormat="false" ht="19.35" hidden="false" customHeight="false" outlineLevel="0" collapsed="false">
      <c r="A25" s="126" t="n">
        <v>121</v>
      </c>
      <c r="B25" s="8" t="n">
        <v>0</v>
      </c>
      <c r="C25" s="127" t="n">
        <v>0</v>
      </c>
      <c r="D25" s="127" t="n">
        <v>0</v>
      </c>
      <c r="E25" s="127" t="n">
        <v>0</v>
      </c>
      <c r="F25" s="128" t="n">
        <v>0</v>
      </c>
    </row>
    <row r="26" customFormat="false" ht="19.35" hidden="false" customHeight="false" outlineLevel="0" collapsed="false">
      <c r="A26" s="123" t="n">
        <v>122</v>
      </c>
      <c r="B26" s="129" t="n">
        <v>0</v>
      </c>
      <c r="C26" s="130" t="n">
        <v>0</v>
      </c>
      <c r="D26" s="130" t="n">
        <v>0</v>
      </c>
      <c r="E26" s="130" t="n">
        <f aca="false">+E25</f>
        <v>0</v>
      </c>
      <c r="F26" s="131" t="n">
        <f aca="false">+F25</f>
        <v>0</v>
      </c>
    </row>
    <row r="27" customFormat="false" ht="19.35" hidden="false" customHeight="false" outlineLevel="0" collapsed="false">
      <c r="A27" s="23" t="s">
        <v>98</v>
      </c>
      <c r="B27" s="132" t="n">
        <f aca="false">SUM(B22:B26)</f>
        <v>236.166666666667</v>
      </c>
      <c r="C27" s="24" t="n">
        <f aca="false">SUM(C22:C26)</f>
        <v>28.5666666666667</v>
      </c>
      <c r="D27" s="24" t="n">
        <f aca="false">SUM(D22:D26)</f>
        <v>1.397</v>
      </c>
      <c r="E27" s="24" t="n">
        <f aca="false">SUM(E22:E26)</f>
        <v>1.746</v>
      </c>
      <c r="F27" s="133" t="n">
        <f aca="false">SUM(F22:F26)</f>
        <v>0.05292</v>
      </c>
    </row>
    <row r="28" customFormat="false" ht="19.35" hidden="false" customHeight="false" outlineLevel="0" collapsed="false">
      <c r="A28" s="1" t="s">
        <v>159</v>
      </c>
    </row>
    <row r="29" customFormat="false" ht="19.35" hidden="false" customHeight="false" outlineLevel="0" collapsed="false">
      <c r="A29" s="29"/>
    </row>
    <row r="30" customFormat="false" ht="19.35" hidden="false" customHeight="false" outlineLevel="0" collapsed="false">
      <c r="A30" s="27" t="s">
        <v>160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customFormat="false" ht="19.3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customFormat="false" ht="19.35" hidden="false" customHeight="false" outlineLevel="0" collapsed="false">
      <c r="A32" s="5" t="s">
        <v>161</v>
      </c>
      <c r="B32" s="5"/>
      <c r="C32" s="5"/>
      <c r="D32" s="5"/>
      <c r="E32" s="5"/>
      <c r="F32" s="5"/>
      <c r="G32" s="5"/>
      <c r="H32" s="5"/>
      <c r="I32" s="5"/>
      <c r="J32" s="5" t="n">
        <f aca="false">'Netting Calcs'!B31+40</f>
        <v>626.210503605</v>
      </c>
      <c r="K32" s="5" t="s">
        <v>162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customFormat="false" ht="19.35" hidden="false" customHeight="false" outlineLevel="0" collapsed="false">
      <c r="A33" s="5" t="s">
        <v>163</v>
      </c>
      <c r="B33" s="5"/>
      <c r="C33" s="5"/>
      <c r="D33" s="5"/>
      <c r="E33" s="5"/>
      <c r="F33" s="5" t="n">
        <f aca="false">J32/2</f>
        <v>313.1052518025</v>
      </c>
      <c r="G33" s="5" t="s">
        <v>162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customFormat="false" ht="19.35" hidden="false" customHeight="false" outlineLevel="0" collapsed="false">
      <c r="A34" s="5" t="s">
        <v>164</v>
      </c>
      <c r="B34" s="5"/>
      <c r="C34" s="5"/>
      <c r="D34" s="5"/>
      <c r="E34" s="5"/>
      <c r="F34" s="5" t="n">
        <f aca="false">'Netting Calcs'!B36/2</f>
        <v>74.6293</v>
      </c>
      <c r="G34" s="5" t="s">
        <v>162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customFormat="false" ht="19.35" hidden="false" customHeight="false" outlineLevel="0" collapsed="false">
      <c r="A35" s="5" t="s">
        <v>165</v>
      </c>
      <c r="B35" s="5"/>
      <c r="C35" s="5"/>
      <c r="D35" s="5"/>
      <c r="E35" s="5"/>
      <c r="F35" s="5"/>
      <c r="G35" s="5" t="n">
        <f aca="false">F33-F34</f>
        <v>238.4759518025</v>
      </c>
      <c r="H35" s="5" t="s">
        <v>162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customFormat="false" ht="19.35" hidden="false" customHeight="false" outlineLevel="0" collapsed="false">
      <c r="A36" s="5" t="s">
        <v>166</v>
      </c>
      <c r="B36" s="5"/>
      <c r="C36" s="5"/>
      <c r="D36" s="5" t="n">
        <f aca="false">C11</f>
        <v>2000</v>
      </c>
      <c r="E36" s="5" t="s">
        <v>153</v>
      </c>
      <c r="F36" s="5" t="n">
        <f aca="false">B27</f>
        <v>236.166666666667</v>
      </c>
      <c r="G36" s="5" t="s">
        <v>167</v>
      </c>
      <c r="H36" s="5" t="n">
        <f aca="false">G35</f>
        <v>238.4759518025</v>
      </c>
      <c r="I36" s="5" t="s">
        <v>162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customFormat="false" ht="19.35" hidden="false" customHeight="false" outlineLevel="0" collapsed="false"/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>
      <c r="A1" s="13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4.05" hidden="false" customHeight="false" outlineLevel="0" collapsed="false">
      <c r="A2" s="134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24.05" hidden="false" customHeight="false" outlineLevel="0" collapsed="false">
      <c r="A3" s="13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7" hidden="false" customHeight="false" outlineLevel="0" collapsed="false">
      <c r="A4" s="5"/>
      <c r="B4" s="5"/>
    </row>
    <row r="5" customFormat="false" ht="19.35" hidden="false" customHeight="false" outlineLevel="0" collapsed="false">
      <c r="A5" s="3" t="s">
        <v>168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customFormat="false" ht="19.35" hidden="false" customHeight="false" outlineLevel="0" collapsed="false">
      <c r="A6" s="5"/>
      <c r="B6" s="5"/>
    </row>
    <row r="7" customFormat="false" ht="21.7" hidden="false" customHeight="false" outlineLevel="0" collapsed="false">
      <c r="A7" s="5"/>
      <c r="B7" s="5"/>
    </row>
    <row r="8" customFormat="false" ht="21.7" hidden="false" customHeight="false" outlineLevel="0" collapsed="false">
      <c r="A8" s="135" t="s">
        <v>169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customFormat="false" ht="17" hidden="false" customHeight="false" outlineLevel="0" collapsed="false">
      <c r="A9" s="5"/>
      <c r="B9" s="5"/>
    </row>
    <row r="10" customFormat="false" ht="19.35" hidden="false" customHeight="false" outlineLevel="0" collapsed="false">
      <c r="A10" s="27" t="s">
        <v>170</v>
      </c>
      <c r="B10" s="5"/>
    </row>
    <row r="11" customFormat="false" ht="19.35" hidden="false" customHeight="false" outlineLevel="0" collapsed="false">
      <c r="A11" s="136"/>
      <c r="B11" s="122"/>
      <c r="C11" s="137"/>
      <c r="D11" s="11" t="s">
        <v>80</v>
      </c>
      <c r="E11" s="12"/>
      <c r="F11" s="13" t="s">
        <v>39</v>
      </c>
      <c r="G11" s="12"/>
      <c r="H11" s="13" t="s">
        <v>59</v>
      </c>
      <c r="I11" s="12"/>
      <c r="J11" s="13" t="s">
        <v>49</v>
      </c>
      <c r="K11" s="12"/>
      <c r="L11" s="13" t="s">
        <v>51</v>
      </c>
      <c r="M11" s="12"/>
      <c r="N11" s="5"/>
    </row>
    <row r="12" customFormat="false" ht="19.35" hidden="false" customHeight="false" outlineLevel="0" collapsed="false">
      <c r="A12" s="138" t="s">
        <v>86</v>
      </c>
      <c r="B12" s="139" t="s">
        <v>171</v>
      </c>
      <c r="C12" s="139" t="s">
        <v>172</v>
      </c>
      <c r="D12" s="124" t="s">
        <v>81</v>
      </c>
      <c r="E12" s="20" t="s">
        <v>162</v>
      </c>
      <c r="F12" s="20" t="s">
        <v>81</v>
      </c>
      <c r="G12" s="20" t="s">
        <v>162</v>
      </c>
      <c r="H12" s="20" t="s">
        <v>81</v>
      </c>
      <c r="I12" s="20" t="s">
        <v>162</v>
      </c>
      <c r="J12" s="20" t="s">
        <v>81</v>
      </c>
      <c r="K12" s="20" t="s">
        <v>162</v>
      </c>
      <c r="L12" s="20" t="s">
        <v>81</v>
      </c>
      <c r="M12" s="20" t="s">
        <v>162</v>
      </c>
      <c r="N12" s="5"/>
    </row>
    <row r="13" customFormat="false" ht="19.35" hidden="false" customHeight="false" outlineLevel="0" collapsed="false">
      <c r="A13" s="56" t="n">
        <v>101</v>
      </c>
      <c r="B13" s="126" t="s">
        <v>173</v>
      </c>
      <c r="C13" s="126" t="s">
        <v>174</v>
      </c>
      <c r="D13" s="8" t="n">
        <v>0</v>
      </c>
      <c r="E13" s="127" t="n">
        <v>0</v>
      </c>
      <c r="F13" s="127" t="n">
        <v>0</v>
      </c>
      <c r="G13" s="127" t="n">
        <v>0</v>
      </c>
      <c r="H13" s="127" t="n">
        <v>0</v>
      </c>
      <c r="I13" s="127" t="n">
        <v>0</v>
      </c>
      <c r="J13" s="127" t="n">
        <v>0</v>
      </c>
      <c r="K13" s="127" t="n">
        <v>0</v>
      </c>
      <c r="L13" s="127" t="n">
        <v>0</v>
      </c>
      <c r="M13" s="127" t="n">
        <v>0</v>
      </c>
      <c r="N13" s="5"/>
    </row>
    <row r="14" customFormat="false" ht="19.35" hidden="false" customHeight="false" outlineLevel="0" collapsed="false">
      <c r="A14" s="56" t="n">
        <v>102</v>
      </c>
      <c r="B14" s="126" t="s">
        <v>175</v>
      </c>
      <c r="C14" s="126" t="s">
        <v>176</v>
      </c>
      <c r="D14" s="8" t="n">
        <v>0</v>
      </c>
      <c r="E14" s="127" t="n">
        <v>0</v>
      </c>
      <c r="F14" s="127" t="n">
        <v>0</v>
      </c>
      <c r="G14" s="127" t="n">
        <v>0</v>
      </c>
      <c r="H14" s="127" t="n">
        <v>0</v>
      </c>
      <c r="I14" s="127" t="n">
        <v>0</v>
      </c>
      <c r="J14" s="127" t="n">
        <v>0</v>
      </c>
      <c r="K14" s="127" t="n">
        <v>0</v>
      </c>
      <c r="L14" s="127" t="n">
        <v>0</v>
      </c>
      <c r="M14" s="127" t="n">
        <v>0</v>
      </c>
      <c r="N14" s="5"/>
    </row>
    <row r="15" customFormat="false" ht="19.35" hidden="false" customHeight="false" outlineLevel="0" collapsed="false">
      <c r="A15" s="56" t="n">
        <v>103</v>
      </c>
      <c r="B15" s="126" t="s">
        <v>177</v>
      </c>
      <c r="C15" s="126" t="s">
        <v>178</v>
      </c>
      <c r="D15" s="8" t="n">
        <v>0</v>
      </c>
      <c r="E15" s="127" t="n">
        <v>0</v>
      </c>
      <c r="F15" s="127" t="n">
        <v>0</v>
      </c>
      <c r="G15" s="127" t="n">
        <v>0</v>
      </c>
      <c r="H15" s="127" t="n">
        <v>0</v>
      </c>
      <c r="I15" s="127" t="n">
        <v>0</v>
      </c>
      <c r="J15" s="127" t="n">
        <v>0</v>
      </c>
      <c r="K15" s="127" t="n">
        <v>0</v>
      </c>
      <c r="L15" s="127" t="n">
        <v>0</v>
      </c>
      <c r="M15" s="127" t="n">
        <v>0</v>
      </c>
      <c r="N15" s="5"/>
    </row>
    <row r="16" customFormat="false" ht="19.35" hidden="false" customHeight="false" outlineLevel="0" collapsed="false">
      <c r="A16" s="56" t="n">
        <v>121</v>
      </c>
      <c r="B16" s="126" t="s">
        <v>179</v>
      </c>
      <c r="C16" s="126" t="s">
        <v>180</v>
      </c>
      <c r="D16" s="8" t="n">
        <v>0</v>
      </c>
      <c r="E16" s="127" t="n">
        <v>0</v>
      </c>
      <c r="F16" s="127" t="n">
        <v>0</v>
      </c>
      <c r="G16" s="127" t="n">
        <v>0</v>
      </c>
      <c r="H16" s="127" t="n">
        <v>0</v>
      </c>
      <c r="I16" s="127" t="n">
        <v>0</v>
      </c>
      <c r="J16" s="127" t="n">
        <v>0</v>
      </c>
      <c r="K16" s="127" t="n">
        <v>0</v>
      </c>
      <c r="L16" s="127" t="n">
        <v>0</v>
      </c>
      <c r="M16" s="127" t="n">
        <v>0</v>
      </c>
      <c r="N16" s="5"/>
    </row>
    <row r="17" customFormat="false" ht="19.35" hidden="false" customHeight="false" outlineLevel="0" collapsed="false">
      <c r="A17" s="56" t="n">
        <v>122</v>
      </c>
      <c r="B17" s="126" t="s">
        <v>181</v>
      </c>
      <c r="C17" s="126" t="s">
        <v>182</v>
      </c>
      <c r="D17" s="8" t="n">
        <v>0</v>
      </c>
      <c r="E17" s="127" t="n">
        <v>0</v>
      </c>
      <c r="F17" s="127" t="n">
        <v>0</v>
      </c>
      <c r="G17" s="127" t="n">
        <v>0</v>
      </c>
      <c r="H17" s="127" t="n">
        <v>0</v>
      </c>
      <c r="I17" s="127" t="n">
        <v>0</v>
      </c>
      <c r="J17" s="127" t="n">
        <v>0</v>
      </c>
      <c r="K17" s="127" t="n">
        <v>0</v>
      </c>
      <c r="L17" s="127" t="n">
        <v>0</v>
      </c>
      <c r="M17" s="127" t="n">
        <v>0</v>
      </c>
      <c r="N17" s="5"/>
    </row>
    <row r="18" customFormat="false" ht="19.35" hidden="false" customHeight="false" outlineLevel="0" collapsed="false">
      <c r="A18" s="56" t="n">
        <v>104</v>
      </c>
      <c r="B18" s="126" t="s">
        <v>183</v>
      </c>
      <c r="C18" s="126" t="s">
        <v>184</v>
      </c>
      <c r="D18" s="8" t="n">
        <f aca="false">+Turbine!B62</f>
        <v>31.97</v>
      </c>
      <c r="E18" s="127" t="n">
        <f aca="false">+Turbine!C62</f>
        <v>140.0286</v>
      </c>
      <c r="F18" s="127" t="n">
        <f aca="false">+Turbine!B63</f>
        <v>19.435</v>
      </c>
      <c r="G18" s="127" t="n">
        <f aca="false">+Turbine!C63</f>
        <v>85.1253</v>
      </c>
      <c r="H18" s="127" t="n">
        <f aca="false">+Turbine!B64</f>
        <v>0.6785</v>
      </c>
      <c r="I18" s="127" t="n">
        <f aca="false">+Turbine!C64</f>
        <v>2.97183</v>
      </c>
      <c r="J18" s="127" t="n">
        <f aca="false">+Turbine!B65</f>
        <v>2.92819895676</v>
      </c>
      <c r="K18" s="127" t="n">
        <f aca="false">+Turbine!C65</f>
        <v>12.8255114306088</v>
      </c>
      <c r="L18" s="127" t="n">
        <f aca="false">+Turbine!B66</f>
        <v>1.50846612924</v>
      </c>
      <c r="M18" s="127" t="n">
        <f aca="false">+Turbine!C66</f>
        <v>6.6070816460712</v>
      </c>
      <c r="N18" s="5"/>
    </row>
    <row r="19" customFormat="false" ht="19.35" hidden="false" customHeight="false" outlineLevel="0" collapsed="false">
      <c r="A19" s="140" t="n">
        <v>123</v>
      </c>
      <c r="B19" s="123" t="s">
        <v>185</v>
      </c>
      <c r="C19" s="123" t="s">
        <v>186</v>
      </c>
      <c r="D19" s="129" t="n">
        <f aca="false">+'Gen Engines'!B35</f>
        <v>9.23</v>
      </c>
      <c r="E19" s="130" t="n">
        <f aca="false">+'Gen Engines'!C35</f>
        <v>9.23</v>
      </c>
      <c r="F19" s="130" t="n">
        <f aca="false">+'Gen Engines'!B36</f>
        <v>9.65</v>
      </c>
      <c r="G19" s="130" t="n">
        <f aca="false">+'Gen Engines'!C36</f>
        <v>9.65</v>
      </c>
      <c r="H19" s="130" t="n">
        <f aca="false">+'Gen Engines'!B37</f>
        <v>0.12</v>
      </c>
      <c r="I19" s="130" t="n">
        <f aca="false">+'Gen Engines'!C37</f>
        <v>0.12</v>
      </c>
      <c r="J19" s="130" t="n">
        <f aca="false">+'Gen Engines'!B38</f>
        <v>2.82</v>
      </c>
      <c r="K19" s="130" t="n">
        <f aca="false">+'Gen Engines'!C38</f>
        <v>2.82</v>
      </c>
      <c r="L19" s="130" t="n">
        <f aca="false">+'Gen Engines'!B39</f>
        <v>1.07212281264</v>
      </c>
      <c r="M19" s="130" t="n">
        <f aca="false">+'Gen Engines'!C39</f>
        <v>1.07212281264</v>
      </c>
      <c r="N19" s="5"/>
    </row>
    <row r="20" customFormat="false" ht="19.35" hidden="false" customHeight="false" outlineLevel="0" collapsed="false">
      <c r="A20" s="25"/>
      <c r="B20" s="23"/>
      <c r="C20" s="23" t="s">
        <v>98</v>
      </c>
      <c r="D20" s="132" t="n">
        <f aca="false">SUM(D13:D19)</f>
        <v>41.2</v>
      </c>
      <c r="E20" s="132" t="n">
        <f aca="false">SUM(E13:E19)</f>
        <v>149.2586</v>
      </c>
      <c r="F20" s="132" t="n">
        <f aca="false">SUM(F13:F19)</f>
        <v>29.085</v>
      </c>
      <c r="G20" s="132" t="n">
        <f aca="false">SUM(G13:G19)</f>
        <v>94.7753</v>
      </c>
      <c r="H20" s="132" t="n">
        <f aca="false">SUM(H13:H19)</f>
        <v>0.7985</v>
      </c>
      <c r="I20" s="132" t="n">
        <f aca="false">SUM(I13:I19)</f>
        <v>3.09183</v>
      </c>
      <c r="J20" s="132" t="n">
        <f aca="false">SUM(J13:J19)</f>
        <v>5.74819895676</v>
      </c>
      <c r="K20" s="132" t="n">
        <f aca="false">SUM(K13:K19)</f>
        <v>15.6455114306088</v>
      </c>
      <c r="L20" s="132" t="n">
        <f aca="false">SUM(L13:L19)</f>
        <v>2.58058894188</v>
      </c>
      <c r="M20" s="133" t="n">
        <f aca="false">SUM(M13:M19)</f>
        <v>7.6792044587112</v>
      </c>
      <c r="N20" s="5"/>
    </row>
    <row r="21" customFormat="false" ht="19.35" hidden="false" customHeight="fals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customFormat="false" ht="19.3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customFormat="false" ht="19.35" hidden="false" customHeight="false" outlineLevel="0" collapsed="false">
      <c r="A23" s="27" t="s">
        <v>187</v>
      </c>
      <c r="B23" s="5"/>
      <c r="N23" s="5"/>
    </row>
    <row r="24" customFormat="false" ht="19.35" hidden="false" customHeight="false" outlineLevel="0" collapsed="false">
      <c r="A24" s="136"/>
      <c r="B24" s="122"/>
      <c r="C24" s="137"/>
      <c r="D24" s="11" t="s">
        <v>80</v>
      </c>
      <c r="E24" s="12"/>
      <c r="F24" s="13" t="s">
        <v>39</v>
      </c>
      <c r="G24" s="12"/>
      <c r="H24" s="13" t="s">
        <v>59</v>
      </c>
      <c r="I24" s="12"/>
      <c r="J24" s="13" t="s">
        <v>49</v>
      </c>
      <c r="K24" s="12"/>
      <c r="L24" s="13" t="s">
        <v>51</v>
      </c>
      <c r="M24" s="12"/>
      <c r="N24" s="5"/>
    </row>
    <row r="25" customFormat="false" ht="19.35" hidden="false" customHeight="false" outlineLevel="0" collapsed="false">
      <c r="A25" s="138" t="s">
        <v>86</v>
      </c>
      <c r="B25" s="139" t="s">
        <v>171</v>
      </c>
      <c r="C25" s="139" t="s">
        <v>172</v>
      </c>
      <c r="D25" s="124" t="s">
        <v>81</v>
      </c>
      <c r="E25" s="20" t="s">
        <v>162</v>
      </c>
      <c r="F25" s="20" t="s">
        <v>81</v>
      </c>
      <c r="G25" s="20" t="s">
        <v>162</v>
      </c>
      <c r="H25" s="20" t="s">
        <v>81</v>
      </c>
      <c r="I25" s="20" t="s">
        <v>162</v>
      </c>
      <c r="J25" s="20" t="s">
        <v>81</v>
      </c>
      <c r="K25" s="20" t="s">
        <v>162</v>
      </c>
      <c r="L25" s="20" t="s">
        <v>81</v>
      </c>
      <c r="M25" s="20" t="s">
        <v>162</v>
      </c>
      <c r="N25" s="5"/>
    </row>
    <row r="26" customFormat="false" ht="19.35" hidden="false" customHeight="false" outlineLevel="0" collapsed="false">
      <c r="A26" s="56" t="n">
        <v>101</v>
      </c>
      <c r="B26" s="126" t="s">
        <v>173</v>
      </c>
      <c r="C26" s="126" t="s">
        <v>174</v>
      </c>
      <c r="D26" s="8"/>
      <c r="E26" s="127" t="n">
        <f aca="false">Alternative!B22</f>
        <v>81.9666666666667</v>
      </c>
      <c r="F26" s="127"/>
      <c r="G26" s="127" t="n">
        <f aca="false">Alternative!C22</f>
        <v>8.3</v>
      </c>
      <c r="H26" s="127"/>
      <c r="I26" s="127" t="n">
        <f aca="false">Alternative!D22</f>
        <v>0.503</v>
      </c>
      <c r="J26" s="127"/>
      <c r="K26" s="127" t="n">
        <f aca="false">Alternative!E22</f>
        <v>0.582</v>
      </c>
      <c r="L26" s="127"/>
      <c r="M26" s="127" t="n">
        <f aca="false">Alternative!F22</f>
        <v>0.01764</v>
      </c>
      <c r="N26" s="5"/>
    </row>
    <row r="27" customFormat="false" ht="19.35" hidden="false" customHeight="false" outlineLevel="0" collapsed="false">
      <c r="A27" s="56" t="n">
        <v>102</v>
      </c>
      <c r="B27" s="126" t="s">
        <v>175</v>
      </c>
      <c r="C27" s="126" t="s">
        <v>176</v>
      </c>
      <c r="D27" s="8"/>
      <c r="E27" s="127" t="n">
        <f aca="false">Alternative!B23</f>
        <v>69.1333333333333</v>
      </c>
      <c r="F27" s="127"/>
      <c r="G27" s="127" t="n">
        <f aca="false">Alternative!C23</f>
        <v>11.5333333333333</v>
      </c>
      <c r="H27" s="127"/>
      <c r="I27" s="127" t="n">
        <f aca="false">Alternative!D23</f>
        <v>0.606</v>
      </c>
      <c r="J27" s="127"/>
      <c r="K27" s="127" t="n">
        <f aca="false">Alternative!E23</f>
        <v>0.582</v>
      </c>
      <c r="L27" s="127"/>
      <c r="M27" s="127" t="n">
        <f aca="false">Alternative!F23</f>
        <v>0.01764</v>
      </c>
      <c r="N27" s="5"/>
    </row>
    <row r="28" customFormat="false" ht="19.35" hidden="false" customHeight="false" outlineLevel="0" collapsed="false">
      <c r="A28" s="56" t="n">
        <v>103</v>
      </c>
      <c r="B28" s="126" t="s">
        <v>177</v>
      </c>
      <c r="C28" s="126" t="s">
        <v>178</v>
      </c>
      <c r="D28" s="8"/>
      <c r="E28" s="127" t="n">
        <f aca="false">Alternative!B24</f>
        <v>85.0666666666667</v>
      </c>
      <c r="F28" s="127"/>
      <c r="G28" s="127" t="n">
        <f aca="false">Alternative!C24</f>
        <v>8.73333333333333</v>
      </c>
      <c r="H28" s="127"/>
      <c r="I28" s="127" t="n">
        <f aca="false">Alternative!D24</f>
        <v>0.288</v>
      </c>
      <c r="J28" s="127"/>
      <c r="K28" s="127" t="n">
        <f aca="false">Alternative!E24</f>
        <v>0.582</v>
      </c>
      <c r="L28" s="127"/>
      <c r="M28" s="127" t="n">
        <f aca="false">Alternative!F24</f>
        <v>0.01764</v>
      </c>
      <c r="N28" s="5"/>
    </row>
    <row r="29" customFormat="false" ht="19.35" hidden="false" customHeight="false" outlineLevel="0" collapsed="false">
      <c r="A29" s="56" t="n">
        <v>121</v>
      </c>
      <c r="B29" s="126" t="s">
        <v>179</v>
      </c>
      <c r="C29" s="126" t="s">
        <v>180</v>
      </c>
      <c r="D29" s="8"/>
      <c r="E29" s="127" t="n">
        <v>0</v>
      </c>
      <c r="F29" s="127"/>
      <c r="G29" s="127" t="n">
        <v>0</v>
      </c>
      <c r="H29" s="127"/>
      <c r="I29" s="127" t="n">
        <v>0</v>
      </c>
      <c r="J29" s="127"/>
      <c r="K29" s="127" t="n">
        <v>0</v>
      </c>
      <c r="L29" s="127"/>
      <c r="M29" s="127" t="n">
        <f aca="false">+'2000 EIQ'!F28</f>
        <v>0</v>
      </c>
      <c r="N29" s="5"/>
    </row>
    <row r="30" customFormat="false" ht="19.35" hidden="false" customHeight="false" outlineLevel="0" collapsed="false">
      <c r="A30" s="56" t="n">
        <v>122</v>
      </c>
      <c r="B30" s="126" t="s">
        <v>181</v>
      </c>
      <c r="C30" s="126" t="s">
        <v>182</v>
      </c>
      <c r="D30" s="8"/>
      <c r="E30" s="127" t="n">
        <v>0</v>
      </c>
      <c r="F30" s="127"/>
      <c r="G30" s="127" t="n">
        <v>0</v>
      </c>
      <c r="H30" s="127"/>
      <c r="I30" s="127" t="n">
        <v>0</v>
      </c>
      <c r="J30" s="127"/>
      <c r="K30" s="127" t="n">
        <v>0</v>
      </c>
      <c r="L30" s="127"/>
      <c r="M30" s="127" t="n">
        <f aca="false">+'2000 EIQ'!F29</f>
        <v>0</v>
      </c>
      <c r="N30" s="5"/>
    </row>
    <row r="31" customFormat="false" ht="19.35" hidden="false" customHeight="false" outlineLevel="0" collapsed="false">
      <c r="A31" s="56" t="n">
        <v>104</v>
      </c>
      <c r="B31" s="126" t="s">
        <v>183</v>
      </c>
      <c r="C31" s="126" t="s">
        <v>184</v>
      </c>
      <c r="D31" s="8"/>
      <c r="E31" s="127" t="n">
        <v>0</v>
      </c>
      <c r="F31" s="127"/>
      <c r="G31" s="127" t="n">
        <v>0</v>
      </c>
      <c r="H31" s="127"/>
      <c r="I31" s="127" t="n">
        <v>0</v>
      </c>
      <c r="J31" s="127"/>
      <c r="K31" s="127" t="n">
        <v>0</v>
      </c>
      <c r="L31" s="127"/>
      <c r="M31" s="127" t="n">
        <v>0</v>
      </c>
      <c r="N31" s="5"/>
    </row>
    <row r="32" customFormat="false" ht="19.35" hidden="false" customHeight="false" outlineLevel="0" collapsed="false">
      <c r="A32" s="140" t="n">
        <v>123</v>
      </c>
      <c r="B32" s="123" t="s">
        <v>188</v>
      </c>
      <c r="C32" s="123" t="s">
        <v>186</v>
      </c>
      <c r="D32" s="129"/>
      <c r="E32" s="130" t="n">
        <f aca="false">+E19</f>
        <v>9.23</v>
      </c>
      <c r="F32" s="130"/>
      <c r="G32" s="130" t="n">
        <f aca="false">+G19</f>
        <v>9.65</v>
      </c>
      <c r="H32" s="130"/>
      <c r="I32" s="130" t="n">
        <f aca="false">+I19</f>
        <v>0.12</v>
      </c>
      <c r="J32" s="130"/>
      <c r="K32" s="130" t="n">
        <f aca="false">+K19</f>
        <v>2.82</v>
      </c>
      <c r="L32" s="130"/>
      <c r="M32" s="130" t="n">
        <f aca="false">+M19</f>
        <v>1.07212281264</v>
      </c>
      <c r="N32" s="5"/>
    </row>
    <row r="33" customFormat="false" ht="19.35" hidden="false" customHeight="false" outlineLevel="0" collapsed="false">
      <c r="A33" s="25"/>
      <c r="B33" s="23"/>
      <c r="C33" s="23" t="s">
        <v>98</v>
      </c>
      <c r="D33" s="132" t="n">
        <f aca="false">SUM(D26:D32)</f>
        <v>0</v>
      </c>
      <c r="E33" s="132" t="n">
        <f aca="false">SUM(E26:E32)</f>
        <v>245.396666666667</v>
      </c>
      <c r="F33" s="132" t="n">
        <f aca="false">SUM(F26:F32)</f>
        <v>0</v>
      </c>
      <c r="G33" s="132" t="n">
        <f aca="false">SUM(G26:G32)</f>
        <v>38.2166666666667</v>
      </c>
      <c r="H33" s="132" t="n">
        <f aca="false">SUM(H26:H32)</f>
        <v>0</v>
      </c>
      <c r="I33" s="132" t="n">
        <f aca="false">SUM(I26:I32)</f>
        <v>1.517</v>
      </c>
      <c r="J33" s="132" t="n">
        <f aca="false">SUM(J26:J32)</f>
        <v>0</v>
      </c>
      <c r="K33" s="132" t="n">
        <f aca="false">SUM(K26:K32)</f>
        <v>4.566</v>
      </c>
      <c r="L33" s="132" t="n">
        <f aca="false">SUM(L26:L32)</f>
        <v>0</v>
      </c>
      <c r="M33" s="133" t="n">
        <f aca="false">SUM(M26:M32)</f>
        <v>1.12504281264</v>
      </c>
      <c r="N33" s="5"/>
    </row>
    <row r="34" customFormat="false" ht="19.3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customFormat="false" ht="19.3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customFormat="false" ht="19.3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customFormat="false" ht="19.35" hidden="false" customHeight="false" outlineLevel="0" collapsed="false"/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4.0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4.0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7" hidden="false" customHeight="false" outlineLevel="0" collapsed="false"/>
    <row r="5" customFormat="false" ht="19.35" hidden="false" customHeight="false" outlineLevel="0" collapsed="false">
      <c r="A5" s="3" t="s">
        <v>189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9.35" hidden="false" customHeight="false" outlineLevel="0" collapsed="false"/>
    <row r="7" customFormat="false" ht="21.7" hidden="false" customHeight="false" outlineLevel="0" collapsed="false"/>
    <row r="8" customFormat="false" ht="21.7" hidden="false" customHeight="false" outlineLevel="0" collapsed="false">
      <c r="A8" s="141" t="s">
        <v>190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customFormat="false" ht="17" hidden="false" customHeight="false" outlineLevel="0" collapsed="false">
      <c r="A9" s="141" t="s">
        <v>191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customFormat="false" ht="19.35" hidden="false" customHeight="false" outlineLevel="0" collapsed="false"/>
    <row r="11" customFormat="false" ht="19.35" hidden="false" customHeight="false" outlineLevel="0" collapsed="false">
      <c r="A11" s="34" t="s">
        <v>192</v>
      </c>
    </row>
    <row r="12" customFormat="false" ht="19.35" hidden="false" customHeight="false" outlineLevel="0" collapsed="false">
      <c r="A12" s="29" t="s">
        <v>193</v>
      </c>
    </row>
    <row r="13" customFormat="false" ht="19.35" hidden="false" customHeight="false" outlineLevel="0" collapsed="false">
      <c r="A13" s="142" t="n">
        <f aca="false">+Turbine!B62</f>
        <v>31.97</v>
      </c>
      <c r="B13" s="143" t="s">
        <v>194</v>
      </c>
      <c r="C13" s="29" t="s">
        <v>195</v>
      </c>
    </row>
    <row r="14" customFormat="false" ht="19.35" hidden="false" customHeight="false" outlineLevel="0" collapsed="false">
      <c r="A14" s="29" t="s">
        <v>196</v>
      </c>
    </row>
    <row r="15" customFormat="false" ht="19.35" hidden="false" customHeight="false" outlineLevel="0" collapsed="false">
      <c r="A15" s="142" t="n">
        <f aca="false">+Turbine!C62</f>
        <v>140.0286</v>
      </c>
      <c r="B15" s="143" t="s">
        <v>197</v>
      </c>
      <c r="C15" s="29" t="s">
        <v>198</v>
      </c>
    </row>
    <row r="16" customFormat="false" ht="19.35" hidden="false" customHeight="false" outlineLevel="0" collapsed="false"/>
    <row r="17" customFormat="false" ht="19.35" hidden="false" customHeight="false" outlineLevel="0" collapsed="false">
      <c r="A17" s="34" t="s">
        <v>199</v>
      </c>
    </row>
    <row r="18" customFormat="false" ht="19.35" hidden="false" customHeight="false" outlineLevel="0" collapsed="false">
      <c r="A18" s="29" t="s">
        <v>193</v>
      </c>
    </row>
    <row r="19" customFormat="false" ht="19.35" hidden="false" customHeight="false" outlineLevel="0" collapsed="false">
      <c r="A19" s="142" t="n">
        <f aca="false">+Turbine!B63</f>
        <v>19.435</v>
      </c>
      <c r="B19" s="143" t="s">
        <v>194</v>
      </c>
      <c r="C19" s="29" t="s">
        <v>195</v>
      </c>
    </row>
    <row r="20" customFormat="false" ht="19.35" hidden="false" customHeight="false" outlineLevel="0" collapsed="false">
      <c r="A20" s="29" t="s">
        <v>196</v>
      </c>
    </row>
    <row r="21" customFormat="false" ht="19.35" hidden="false" customHeight="false" outlineLevel="0" collapsed="false">
      <c r="A21" s="142" t="n">
        <f aca="false">+Turbine!C63</f>
        <v>85.1253</v>
      </c>
      <c r="B21" s="143" t="s">
        <v>197</v>
      </c>
      <c r="C21" s="29" t="s">
        <v>198</v>
      </c>
    </row>
    <row r="22" customFormat="false" ht="19.35" hidden="false" customHeight="false" outlineLevel="0" collapsed="false">
      <c r="C22" s="29"/>
    </row>
    <row r="23" customFormat="false" ht="19.35" hidden="false" customHeight="false" outlineLevel="0" collapsed="false"/>
    <row r="24" customFormat="false" ht="19.35" hidden="false" customHeight="false" outlineLevel="0" collapsed="false">
      <c r="A24" s="34" t="s">
        <v>200</v>
      </c>
    </row>
    <row r="25" customFormat="false" ht="19.35" hidden="false" customHeight="false" outlineLevel="0" collapsed="false">
      <c r="A25" s="29" t="s">
        <v>193</v>
      </c>
    </row>
    <row r="26" customFormat="false" ht="19.35" hidden="false" customHeight="false" outlineLevel="0" collapsed="false">
      <c r="A26" s="142" t="n">
        <f aca="false">+Turbine!B64</f>
        <v>0.6785</v>
      </c>
      <c r="B26" s="143" t="s">
        <v>194</v>
      </c>
      <c r="C26" s="29" t="s">
        <v>201</v>
      </c>
    </row>
    <row r="27" customFormat="false" ht="19.35" hidden="false" customHeight="false" outlineLevel="0" collapsed="false">
      <c r="A27" s="29" t="s">
        <v>196</v>
      </c>
    </row>
    <row r="28" customFormat="false" ht="19.35" hidden="false" customHeight="false" outlineLevel="0" collapsed="false">
      <c r="A28" s="142" t="n">
        <f aca="false">+Turbine!C64</f>
        <v>2.97183</v>
      </c>
      <c r="B28" s="143" t="s">
        <v>197</v>
      </c>
      <c r="C28" s="29" t="s">
        <v>198</v>
      </c>
    </row>
    <row r="29" customFormat="false" ht="19.35" hidden="false" customHeight="false" outlineLevel="0" collapsed="false">
      <c r="C29" s="29"/>
    </row>
    <row r="30" customFormat="false" ht="19.35" hidden="false" customHeight="false" outlineLevel="0" collapsed="false"/>
    <row r="31" customFormat="false" ht="19.35" hidden="false" customHeight="false" outlineLevel="0" collapsed="false">
      <c r="A31" s="34" t="s">
        <v>202</v>
      </c>
    </row>
    <row r="32" customFormat="false" ht="19.35" hidden="false" customHeight="false" outlineLevel="0" collapsed="false">
      <c r="A32" s="29" t="s">
        <v>193</v>
      </c>
    </row>
    <row r="33" customFormat="false" ht="19.35" hidden="false" customHeight="false" outlineLevel="0" collapsed="false">
      <c r="A33" s="142" t="n">
        <f aca="false">+Turbine!B65</f>
        <v>2.92819895676</v>
      </c>
      <c r="B33" s="143" t="s">
        <v>194</v>
      </c>
      <c r="C33" s="29" t="s">
        <v>203</v>
      </c>
    </row>
    <row r="34" customFormat="false" ht="19.35" hidden="false" customHeight="false" outlineLevel="0" collapsed="false">
      <c r="A34" s="142"/>
      <c r="B34" s="143"/>
      <c r="C34" s="29" t="s">
        <v>204</v>
      </c>
    </row>
    <row r="35" customFormat="false" ht="19.35" hidden="false" customHeight="false" outlineLevel="0" collapsed="false">
      <c r="A35" s="29" t="s">
        <v>196</v>
      </c>
    </row>
    <row r="36" customFormat="false" ht="19.35" hidden="false" customHeight="false" outlineLevel="0" collapsed="false">
      <c r="A36" s="142" t="n">
        <f aca="false">+Turbine!C65</f>
        <v>12.8255114306088</v>
      </c>
      <c r="B36" s="143" t="s">
        <v>197</v>
      </c>
      <c r="C36" s="29" t="s">
        <v>198</v>
      </c>
    </row>
    <row r="37" customFormat="false" ht="19.35" hidden="false" customHeight="false" outlineLevel="0" collapsed="false">
      <c r="C37" s="29"/>
    </row>
    <row r="38" customFormat="false" ht="19.35" hidden="false" customHeight="false" outlineLevel="0" collapsed="false"/>
    <row r="39" customFormat="false" ht="19.35" hidden="false" customHeight="false" outlineLevel="0" collapsed="false">
      <c r="A39" s="34" t="s">
        <v>205</v>
      </c>
    </row>
    <row r="40" customFormat="false" ht="19.35" hidden="false" customHeight="false" outlineLevel="0" collapsed="false">
      <c r="A40" s="29" t="s">
        <v>193</v>
      </c>
    </row>
    <row r="41" customFormat="false" ht="19.35" hidden="false" customHeight="false" outlineLevel="0" collapsed="false">
      <c r="A41" s="142" t="n">
        <f aca="false">+Turbine!B66</f>
        <v>1.50846612924</v>
      </c>
      <c r="B41" s="143" t="s">
        <v>194</v>
      </c>
      <c r="C41" s="29" t="s">
        <v>203</v>
      </c>
    </row>
    <row r="42" customFormat="false" ht="19.35" hidden="false" customHeight="false" outlineLevel="0" collapsed="false">
      <c r="A42" s="142"/>
      <c r="B42" s="143"/>
      <c r="C42" s="29" t="s">
        <v>206</v>
      </c>
    </row>
    <row r="43" customFormat="false" ht="19.35" hidden="false" customHeight="false" outlineLevel="0" collapsed="false">
      <c r="A43" s="29" t="s">
        <v>196</v>
      </c>
    </row>
    <row r="44" customFormat="false" ht="17" hidden="false" customHeight="false" outlineLevel="0" collapsed="false">
      <c r="A44" s="142" t="n">
        <f aca="false">+Turbine!C66</f>
        <v>6.6070816460712</v>
      </c>
      <c r="B44" s="143" t="s">
        <v>197</v>
      </c>
      <c r="C44" s="29" t="s">
        <v>198</v>
      </c>
    </row>
    <row r="45" customFormat="false" ht="17" hidden="false" customHeight="false" outlineLevel="0" collapsed="false">
      <c r="C45" s="29"/>
    </row>
    <row r="46" customFormat="false" ht="17" hidden="false" customHeight="false" outlineLevel="0" collapsed="false"/>
    <row r="47" customFormat="false" ht="17" hidden="false" customHeight="false" outlineLevel="0" collapsed="false">
      <c r="A47" s="34" t="s">
        <v>207</v>
      </c>
    </row>
    <row r="48" customFormat="false" ht="17" hidden="false" customHeight="false" outlineLevel="0" collapsed="false">
      <c r="A48" s="29" t="s">
        <v>193</v>
      </c>
    </row>
    <row r="49" customFormat="false" ht="17" hidden="false" customHeight="false" outlineLevel="0" collapsed="false">
      <c r="A49" s="142" t="n">
        <f aca="false">+Turbine!B67</f>
        <v>0.315003221106</v>
      </c>
      <c r="B49" s="143" t="s">
        <v>194</v>
      </c>
      <c r="C49" s="29" t="s">
        <v>203</v>
      </c>
    </row>
    <row r="50" customFormat="false" ht="17" hidden="false" customHeight="false" outlineLevel="0" collapsed="false">
      <c r="A50" s="142"/>
      <c r="B50" s="143"/>
      <c r="C50" s="29" t="s">
        <v>208</v>
      </c>
    </row>
    <row r="51" customFormat="false" ht="17" hidden="false" customHeight="false" outlineLevel="0" collapsed="false">
      <c r="A51" s="29" t="s">
        <v>196</v>
      </c>
    </row>
    <row r="52" customFormat="false" ht="17" hidden="false" customHeight="false" outlineLevel="0" collapsed="false">
      <c r="A52" s="142" t="n">
        <f aca="false">+Turbine!C67</f>
        <v>1.37971410844428</v>
      </c>
      <c r="B52" s="143" t="s">
        <v>197</v>
      </c>
      <c r="C52" s="29" t="s">
        <v>198</v>
      </c>
    </row>
    <row r="53" customFormat="false" ht="17" hidden="false" customHeight="false" outlineLevel="0" collapsed="false">
      <c r="C53" s="29"/>
    </row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 G13"/>
    </sheetView>
  </sheetViews>
  <sheetFormatPr defaultColWidth="9.0546875" defaultRowHeight="14.65" customHeight="true" zeroHeight="false" outlineLevelRow="0" outlineLevelCol="0"/>
  <sheetData>
    <row r="1" customFormat="false" ht="24.05" hidden="false" customHeight="false" outlineLevel="0" collapsed="false"/>
    <row r="2" customFormat="false" ht="24.05" hidden="false" customHeight="false" outlineLevel="0" collapsed="false"/>
    <row r="3" customFormat="false" ht="24.05" hidden="false" customHeight="false" outlineLevel="0" collapsed="false"/>
    <row r="4" customFormat="false" ht="17" hidden="false" customHeight="false" outlineLevel="0" collapsed="false"/>
    <row r="5" customFormat="false" ht="19.35" hidden="false" customHeight="false" outlineLevel="0" collapsed="false"/>
    <row r="6" customFormat="false" ht="19.35" hidden="false" customHeight="false" outlineLevel="0" collapsed="false"/>
    <row r="7" customFormat="false" ht="21.7" hidden="false" customHeight="false" outlineLevel="0" collapsed="false"/>
    <row r="8" customFormat="false" ht="21.7" hidden="false" customHeight="false" outlineLevel="0" collapsed="false"/>
    <row r="9" customFormat="false" ht="17" hidden="false" customHeight="false" outlineLevel="0" collapsed="false"/>
    <row r="10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19.35" hidden="false" customHeight="false" outlineLevel="0" collapsed="false"/>
    <row r="14" customFormat="false" ht="19.35" hidden="false" customHeight="false" outlineLevel="0" collapsed="false"/>
    <row r="15" customFormat="false" ht="19.35" hidden="false" customHeight="false" outlineLevel="0" collapsed="false"/>
    <row r="16" customFormat="false" ht="19.35" hidden="false" customHeight="false" outlineLevel="0" collapsed="false"/>
    <row r="17" customFormat="false" ht="19.35" hidden="false" customHeight="false" outlineLevel="0" collapsed="false"/>
    <row r="18" customFormat="false" ht="19.35" hidden="false" customHeight="false" outlineLevel="0" collapsed="false"/>
    <row r="19" customFormat="false" ht="19.35" hidden="false" customHeight="false" outlineLevel="0" collapsed="false"/>
    <row r="20" customFormat="false" ht="19.35" hidden="false" customHeight="false" outlineLevel="0" collapsed="false"/>
    <row r="21" customFormat="false" ht="19.35" hidden="false" customHeight="false" outlineLevel="0" collapsed="false"/>
    <row r="22" customFormat="false" ht="19.35" hidden="false" customHeight="false" outlineLevel="0" collapsed="false"/>
    <row r="23" customFormat="false" ht="19.35" hidden="false" customHeight="false" outlineLevel="0" collapsed="false"/>
    <row r="24" customFormat="false" ht="19.35" hidden="false" customHeight="false" outlineLevel="0" collapsed="false"/>
    <row r="25" customFormat="false" ht="19.35" hidden="false" customHeight="false" outlineLevel="0" collapsed="false"/>
    <row r="26" customFormat="false" ht="19.35" hidden="false" customHeight="false" outlineLevel="0" collapsed="false"/>
    <row r="27" customFormat="false" ht="19.35" hidden="false" customHeight="false" outlineLevel="0" collapsed="false"/>
    <row r="28" customFormat="false" ht="19.35" hidden="false" customHeight="false" outlineLevel="0" collapsed="false"/>
    <row r="29" customFormat="false" ht="19.35" hidden="false" customHeight="false" outlineLevel="0" collapsed="false"/>
    <row r="30" customFormat="false" ht="19.35" hidden="false" customHeight="false" outlineLevel="0" collapsed="false"/>
    <row r="31" customFormat="false" ht="19.35" hidden="false" customHeight="false" outlineLevel="0" collapsed="false"/>
    <row r="32" customFormat="false" ht="19.35" hidden="false" customHeight="false" outlineLevel="0" collapsed="false"/>
    <row r="33" customFormat="false" ht="19.35" hidden="false" customHeight="false" outlineLevel="0" collapsed="false"/>
    <row r="34" customFormat="false" ht="19.35" hidden="false" customHeight="false" outlineLevel="0" collapsed="false"/>
    <row r="35" customFormat="false" ht="19.35" hidden="false" customHeight="false" outlineLevel="0" collapsed="false"/>
    <row r="36" customFormat="false" ht="19.35" hidden="false" customHeight="false" outlineLevel="0" collapsed="false"/>
    <row r="37" customFormat="false" ht="19.35" hidden="false" customHeight="false" outlineLevel="0" collapsed="false"/>
    <row r="38" customFormat="false" ht="19.35" hidden="false" customHeight="false" outlineLevel="0" collapsed="false"/>
    <row r="39" customFormat="false" ht="19.35" hidden="false" customHeight="false" outlineLevel="0" collapsed="false"/>
    <row r="40" customFormat="false" ht="19.35" hidden="false" customHeight="false" outlineLevel="0" collapsed="false"/>
    <row r="41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7" hidden="false" customHeight="false" outlineLevel="0" collapsed="false"/>
    <row r="45" customFormat="false" ht="17" hidden="false" customHeight="false" outlineLevel="0" collapsed="false"/>
    <row r="46" customFormat="false" ht="17" hidden="false" customHeight="false" outlineLevel="0" collapsed="false"/>
    <row r="47" customFormat="false" ht="17" hidden="false" customHeight="false" outlineLevel="0" collapsed="false"/>
    <row r="48" customFormat="false" ht="17" hidden="false" customHeight="false" outlineLevel="0" collapsed="false"/>
    <row r="49" customFormat="false" ht="17" hidden="false" customHeight="false" outlineLevel="0" collapsed="false"/>
    <row r="50" customFormat="false" ht="17" hidden="false" customHeight="false" outlineLevel="0" collapsed="false"/>
    <row r="51" customFormat="false" ht="17" hidden="false" customHeight="false" outlineLevel="0" collapsed="false"/>
    <row r="52" customFormat="false" ht="17" hidden="false" customHeight="false" outlineLevel="0" collapsed="false"/>
    <row r="53" customFormat="false" ht="17" hidden="false" customHeight="false" outlineLevel="0" collapsed="false"/>
    <row r="54" customFormat="false" ht="17" hidden="false" customHeight="false" outlineLevel="0" collapsed="false"/>
    <row r="55" customFormat="false" ht="17" hidden="false" customHeight="false" outlineLevel="0" collapsed="false"/>
    <row r="56" customFormat="false" ht="17" hidden="false" customHeight="false" outlineLevel="0" collapsed="false"/>
    <row r="57" customFormat="false" ht="17" hidden="false" customHeight="false" outlineLevel="0" collapsed="false"/>
    <row r="59" customFormat="false" ht="17" hidden="false" customHeight="false" outlineLevel="0" collapsed="false"/>
    <row r="60" customFormat="false" ht="17" hidden="false" customHeight="false" outlineLevel="0" collapsed="false"/>
    <row r="61" customFormat="false" ht="17" hidden="false" customHeight="false" outlineLevel="0" collapsed="false"/>
    <row r="62" customFormat="false" ht="17" hidden="false" customHeight="false" outlineLevel="0" collapsed="false"/>
    <row r="63" customFormat="false" ht="17" hidden="false" customHeight="false" outlineLevel="0" collapsed="false"/>
    <row r="64" customFormat="false" ht="17" hidden="false" customHeight="false" outlineLevel="0" collapsed="false"/>
    <row r="65" customFormat="false" ht="17" hidden="false" customHeight="false" outlineLevel="0" collapsed="false"/>
    <row r="66" customFormat="false" ht="17" hidden="false" customHeight="false" outlineLevel="0" collapsed="false"/>
    <row r="67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