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Inputs" sheetId="2" state="visible" r:id="rId4"/>
    <sheet name="PCHC" sheetId="3" state="visible" r:id="rId5"/>
    <sheet name="Misaka" sheetId="4" state="visible" r:id="rId6"/>
    <sheet name="Kennedy" sheetId="5" state="visible" r:id="rId7"/>
    <sheet name="JMHuber" sheetId="6" state="visible" r:id="rId8"/>
    <sheet name="FMI Weld" sheetId="7" state="visible" r:id="rId9"/>
    <sheet name="Patina" sheetId="8" state="visible" r:id="rId10"/>
    <sheet name="Cannon" sheetId="9" state="visible" r:id="rId11"/>
  </sheets>
  <definedNames>
    <definedName function="false" hidden="false" localSheetId="8" name="_xlnm.Print_Area" vbProcedure="false">Cannon!$H$2:$P$31</definedName>
    <definedName function="false" hidden="false" localSheetId="6" name="_xlnm.Print_Area" vbProcedure="false">'FMI Weld'!$H$2:$P$31</definedName>
    <definedName function="false" hidden="false" localSheetId="1" name="_xlnm.Print_Area" vbProcedure="false">Inputs!$A$1:$F$12</definedName>
    <definedName function="false" hidden="false" localSheetId="5" name="_xlnm.Print_Area" vbProcedure="false">JMHuber!$H$2:$P$31</definedName>
    <definedName function="false" hidden="false" localSheetId="4" name="_xlnm.Print_Area" vbProcedure="false">Kennedy!$H$2:$P$31</definedName>
    <definedName function="false" hidden="false" localSheetId="3" name="_xlnm.Print_Area" vbProcedure="false">Misaka!$H$1:$P$31</definedName>
    <definedName function="false" hidden="false" localSheetId="7" name="_xlnm.Print_Area" vbProcedure="false">Patina!$H$2:$P$31</definedName>
    <definedName function="false" hidden="false" localSheetId="2" name="_xlnm.Print_Area" vbProcedure="false">PCHC!$I$2:$Q$31</definedName>
    <definedName function="false" hidden="false" localSheetId="1" name="Excel_BuiltIn_Print_Area" vbProcedure="false">Summary!$A$1:$F$12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<sst xmlns="http://schemas.openxmlformats.org/spreadsheetml/2006/main" count="425" uniqueCount="79">
  <si>
    <t xml:space="preserve">Kern Payment 2 Summary</t>
  </si>
  <si>
    <t xml:space="preserve">July </t>
  </si>
  <si>
    <t xml:space="preserve">August</t>
  </si>
  <si>
    <t xml:space="preserve">Total Payment</t>
  </si>
  <si>
    <t xml:space="preserve">PCHC</t>
  </si>
  <si>
    <t xml:space="preserve">Misaka</t>
  </si>
  <si>
    <t xml:space="preserve">Kennedy Oil</t>
  </si>
  <si>
    <t xml:space="preserve">JM Huber</t>
  </si>
  <si>
    <t xml:space="preserve">FMI Weld</t>
  </si>
  <si>
    <t xml:space="preserve">Patina</t>
  </si>
  <si>
    <t xml:space="preserve">Cannon</t>
  </si>
  <si>
    <t xml:space="preserve">TOTALS</t>
  </si>
  <si>
    <t xml:space="preserve">Package 1</t>
  </si>
  <si>
    <t xml:space="preserve">Package 2</t>
  </si>
  <si>
    <t xml:space="preserve">Percentage</t>
  </si>
  <si>
    <t xml:space="preserve">PAYMENT 2: JULY</t>
  </si>
  <si>
    <t xml:space="preserve">Flow</t>
  </si>
  <si>
    <t xml:space="preserve">Market Price</t>
  </si>
  <si>
    <t xml:space="preserve">Supply Price</t>
  </si>
  <si>
    <t xml:space="preserve">Tariff Rate</t>
  </si>
  <si>
    <t xml:space="preserve">Reservation</t>
  </si>
  <si>
    <t xml:space="preserve">Commodity</t>
  </si>
  <si>
    <t xml:space="preserve">Fuel</t>
  </si>
  <si>
    <t xml:space="preserve">PAYMENT 2: AUGUST</t>
  </si>
  <si>
    <t xml:space="preserve">Socal Basis</t>
  </si>
  <si>
    <t xml:space="preserve">Socal Index</t>
  </si>
  <si>
    <t xml:space="preserve">Rox Basis</t>
  </si>
  <si>
    <t xml:space="preserve">Rox Index</t>
  </si>
  <si>
    <t xml:space="preserve">Petrocanada Calc</t>
  </si>
  <si>
    <t xml:space="preserve">Appendix A</t>
  </si>
  <si>
    <t xml:space="preserve">July</t>
  </si>
  <si>
    <t xml:space="preserve">Petro-Canada Hydrocarbons, Inc.</t>
  </si>
  <si>
    <t xml:space="preserve">July and August Payment Calculations</t>
  </si>
  <si>
    <t xml:space="preserve">Total July</t>
  </si>
  <si>
    <t xml:space="preserve">Actual Volume</t>
  </si>
  <si>
    <t xml:space="preserve">JULY</t>
  </si>
  <si>
    <t xml:space="preserve">AUGUST</t>
  </si>
  <si>
    <t xml:space="preserve">TOTAL</t>
  </si>
  <si>
    <r>
      <rPr>
        <b val="true"/>
        <sz val="10"/>
        <rFont val="Arial"/>
        <family val="2"/>
      </rPr>
      <t xml:space="preserve">ACTUAL VOLUME</t>
    </r>
    <r>
      <rPr>
        <b val="true"/>
        <vertAlign val="superscript"/>
        <sz val="10"/>
        <rFont val="Arial"/>
        <family val="2"/>
      </rPr>
      <t xml:space="preserve"> (1) </t>
    </r>
  </si>
  <si>
    <t xml:space="preserve">SoCal Basis</t>
  </si>
  <si>
    <t xml:space="preserve">SoCal Index</t>
  </si>
  <si>
    <r>
      <rPr>
        <b val="true"/>
        <sz val="10"/>
        <rFont val="Arial"/>
        <family val="2"/>
      </rPr>
      <t xml:space="preserve">MARKET PRICE</t>
    </r>
    <r>
      <rPr>
        <b val="true"/>
        <vertAlign val="superscript"/>
        <sz val="10"/>
        <rFont val="Arial"/>
        <family val="2"/>
      </rPr>
      <t xml:space="preserve"> (2)</t>
    </r>
  </si>
  <si>
    <t xml:space="preserve">Total</t>
  </si>
  <si>
    <r>
      <rPr>
        <b val="true"/>
        <sz val="10"/>
        <rFont val="Arial"/>
        <family val="2"/>
      </rPr>
      <t xml:space="preserve">SUPPLY PRICE</t>
    </r>
    <r>
      <rPr>
        <b val="true"/>
        <vertAlign val="superscript"/>
        <sz val="10"/>
        <rFont val="Arial"/>
        <family val="2"/>
      </rPr>
      <t xml:space="preserve"> (3)</t>
    </r>
  </si>
  <si>
    <t xml:space="preserve">Rockies Basis</t>
  </si>
  <si>
    <t xml:space="preserve">Rockies Index</t>
  </si>
  <si>
    <r>
      <rPr>
        <b val="true"/>
        <sz val="10"/>
        <rFont val="Arial"/>
        <family val="2"/>
      </rPr>
      <t xml:space="preserve">TARIFF RATE</t>
    </r>
    <r>
      <rPr>
        <vertAlign val="superscript"/>
        <sz val="10"/>
        <rFont val="Arial"/>
        <family val="2"/>
      </rPr>
      <t xml:space="preserve"> (4)</t>
    </r>
  </si>
  <si>
    <t xml:space="preserve">PAYMENT RATIO</t>
  </si>
  <si>
    <t xml:space="preserve">Spread</t>
  </si>
  <si>
    <t xml:space="preserve">TOTAL PAYMENT</t>
  </si>
  <si>
    <t xml:space="preserve">Total Spread Value</t>
  </si>
  <si>
    <t xml:space="preserve">Payment as Calculated in Precedent Agreement:</t>
  </si>
  <si>
    <t xml:space="preserve">Demand</t>
  </si>
  <si>
    <t xml:space="preserve">Actual Volume * [(Market Price - Supply Price) - Tariff Rate] * Payment Ratio</t>
  </si>
  <si>
    <t xml:space="preserve">Fuel Volume</t>
  </si>
  <si>
    <t xml:space="preserve">Total Fuel Price</t>
  </si>
  <si>
    <r>
      <rPr>
        <vertAlign val="superscript"/>
        <sz val="10"/>
        <rFont val="Arial"/>
        <family val="2"/>
      </rPr>
      <t xml:space="preserve">(1)</t>
    </r>
    <r>
      <rPr>
        <sz val="10"/>
        <rFont val="Arial"/>
        <family val="0"/>
      </rPr>
      <t xml:space="preserve"> Actual volumes for July based on an 81.8% flow rate on 3,000 a day volume.</t>
    </r>
  </si>
  <si>
    <t xml:space="preserve">Total Tariff</t>
  </si>
  <si>
    <t xml:space="preserve">    August assumes 100% flows.</t>
  </si>
  <si>
    <r>
      <rPr>
        <vertAlign val="superscript"/>
        <sz val="10"/>
        <rFont val="Arial"/>
        <family val="2"/>
      </rPr>
      <t xml:space="preserve">(2)</t>
    </r>
    <r>
      <rPr>
        <sz val="10"/>
        <rFont val="Arial"/>
        <family val="0"/>
      </rPr>
      <t xml:space="preserve"> August market price based on SoCal basis of $1.92 and index of ($1.42)</t>
    </r>
  </si>
  <si>
    <t xml:space="preserve">Net Income</t>
  </si>
  <si>
    <r>
      <rPr>
        <vertAlign val="superscript"/>
        <sz val="10"/>
        <rFont val="Arial"/>
        <family val="2"/>
      </rPr>
      <t xml:space="preserve">(3)</t>
    </r>
    <r>
      <rPr>
        <sz val="10"/>
        <rFont val="Arial"/>
        <family val="0"/>
      </rPr>
      <t xml:space="preserve"> August supply price based on Rockies basis of ($.96) and index of $.08</t>
    </r>
  </si>
  <si>
    <t xml:space="preserve">Total Net Income</t>
  </si>
  <si>
    <r>
      <rPr>
        <vertAlign val="superscript"/>
        <sz val="10"/>
        <rFont val="Arial"/>
        <family val="2"/>
      </rPr>
      <t xml:space="preserve">(4)</t>
    </r>
    <r>
      <rPr>
        <sz val="10"/>
        <rFont val="Arial"/>
        <family val="0"/>
      </rPr>
      <t xml:space="preserve"> Total estimated July tariffs of $84,417 versus total estimated August tariffs of $87,132.</t>
    </r>
  </si>
  <si>
    <t xml:space="preserve">    Per unit total tariff is lower for July due to lower volume.</t>
  </si>
  <si>
    <t xml:space="preserve">Payment Ratio</t>
  </si>
  <si>
    <t xml:space="preserve">Payment</t>
  </si>
  <si>
    <t xml:space="preserve">Misaka Calc</t>
  </si>
  <si>
    <t xml:space="preserve">Misako Resources</t>
  </si>
  <si>
    <r>
      <rPr>
        <vertAlign val="superscript"/>
        <sz val="10"/>
        <rFont val="Arial"/>
        <family val="2"/>
      </rPr>
      <t xml:space="preserve">(1)</t>
    </r>
    <r>
      <rPr>
        <sz val="10"/>
        <rFont val="Arial"/>
        <family val="2"/>
      </rPr>
      <t xml:space="preserve"> Actual volumes for July based on an 81.8% flow rate on 3,000 a day volume.</t>
    </r>
  </si>
  <si>
    <r>
      <rPr>
        <vertAlign val="superscript"/>
        <sz val="10"/>
        <rFont val="Arial"/>
        <family val="2"/>
      </rPr>
      <t xml:space="preserve">(2)</t>
    </r>
    <r>
      <rPr>
        <sz val="10"/>
        <rFont val="Arial"/>
        <family val="2"/>
      </rPr>
      <t xml:space="preserve"> August market price based on SoCal basis of $1.92 and index of ($1.42)</t>
    </r>
  </si>
  <si>
    <r>
      <rPr>
        <vertAlign val="superscript"/>
        <sz val="10"/>
        <rFont val="Arial"/>
        <family val="2"/>
      </rPr>
      <t xml:space="preserve">(3)</t>
    </r>
    <r>
      <rPr>
        <sz val="10"/>
        <rFont val="Arial"/>
        <family val="2"/>
      </rPr>
      <t xml:space="preserve"> August supply price based on Rockies basis of ($.96) and index of $.08</t>
    </r>
  </si>
  <si>
    <r>
      <rPr>
        <vertAlign val="superscript"/>
        <sz val="10"/>
        <rFont val="Arial"/>
        <family val="2"/>
      </rPr>
      <t xml:space="preserve">(4)</t>
    </r>
    <r>
      <rPr>
        <sz val="10"/>
        <rFont val="Arial"/>
        <family val="2"/>
      </rPr>
      <t xml:space="preserve"> Total estimated July tariffs of $84,417 versus total estimated August tariffs of $87,132.</t>
    </r>
  </si>
  <si>
    <t xml:space="preserve">Kennedy</t>
  </si>
  <si>
    <r>
      <rPr>
        <vertAlign val="superscript"/>
        <sz val="10"/>
        <rFont val="Arial"/>
        <family val="2"/>
      </rPr>
      <t xml:space="preserve">(1)</t>
    </r>
    <r>
      <rPr>
        <sz val="10"/>
        <rFont val="Arial"/>
        <family val="2"/>
      </rPr>
      <t xml:space="preserve"> Actual volumes for July based on an 81.8% flow rate on 3,700 a day volume.</t>
    </r>
  </si>
  <si>
    <r>
      <rPr>
        <vertAlign val="superscript"/>
        <sz val="10"/>
        <rFont val="Arial"/>
        <family val="2"/>
      </rPr>
      <t xml:space="preserve">(4)</t>
    </r>
    <r>
      <rPr>
        <sz val="10"/>
        <rFont val="Arial"/>
        <family val="2"/>
      </rPr>
      <t xml:space="preserve"> Total estimated July tariffs of $104,114 versus total estimated August tariffs of $107,481.</t>
    </r>
  </si>
  <si>
    <t xml:space="preserve">J.M. Huber</t>
  </si>
  <si>
    <t xml:space="preserve">Patina Oil and Gas</t>
  </si>
  <si>
    <t xml:space="preserve">Cannon Interests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</si>
</sst>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0%"/>
    <numFmt numFmtId="170" formatCode="0.00%"/>
    <numFmt numFmtId="171" formatCode="_(\$* #,##0.000_);_(\$* \(#,##0.000\);_(\$* \-??_);_(@_)"/>
    <numFmt numFmtId="172" formatCode="_(\$* #,##0.0000_);_(\$* \(#,##0.0000\);_(\$* \-??_);_(@_)"/>
    <numFmt numFmtId="173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448560</xdr:colOff>
          <xdr:row>2</xdr:row>
          <xdr:rowOff>151560</xdr:rowOff>
        </xdr:from>
        <xdr:to>
          <xdr:col>9</xdr:col>
          <xdr:colOff>160200</xdr:colOff>
          <xdr:row>4</xdr:row>
          <xdr:rowOff>75960</xdr:rowOff>
        </xdr:to>
        <xdr:sp>
          <xdr:nvSpPr>
            <xdr:cNvPr id="1001" name="Button 1" descr="Print All Schedul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 Schedules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9.7"/>
    <col collapsed="false" customWidth="true" hidden="false" outlineLevel="0" max="3" min="3" style="0" width="3.42"/>
    <col collapsed="false" customWidth="true" hidden="false" outlineLevel="0" max="5" min="5" style="0" width="3.14"/>
    <col collapsed="false" customWidth="true" hidden="false" outlineLevel="0" max="6" min="6" style="0" width="10.71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A3" s="2"/>
      <c r="B3" s="3" t="s">
        <v>1</v>
      </c>
      <c r="C3" s="2"/>
      <c r="D3" s="3" t="s">
        <v>2</v>
      </c>
      <c r="E3" s="2"/>
      <c r="F3" s="3" t="s">
        <v>3</v>
      </c>
    </row>
    <row r="4" customFormat="false" ht="12.75" hidden="false" customHeight="false" outlineLevel="0" collapsed="false">
      <c r="A4" s="1" t="s">
        <v>4</v>
      </c>
      <c r="B4" s="4" t="n">
        <f aca="false">PCHC!$B$33</f>
        <v>15685.8164655201</v>
      </c>
      <c r="D4" s="4" t="n">
        <f aca="false">PCHC!$E$33</f>
        <v>10302.075</v>
      </c>
      <c r="F4" s="5" t="n">
        <f aca="false">B4+D4</f>
        <v>25987.8914655201</v>
      </c>
    </row>
    <row r="5" customFormat="false" ht="12.75" hidden="false" customHeight="false" outlineLevel="0" collapsed="false">
      <c r="A5" s="1" t="s">
        <v>5</v>
      </c>
      <c r="B5" s="4" t="n">
        <f aca="false">Misaka!$B$33</f>
        <v>9411.48987931207</v>
      </c>
      <c r="D5" s="4" t="n">
        <f aca="false">Misaka!$E$33</f>
        <v>6181.245</v>
      </c>
      <c r="F5" s="5" t="n">
        <f aca="false">B5+D5</f>
        <v>15592.7348793121</v>
      </c>
    </row>
    <row r="6" customFormat="false" ht="12.75" hidden="false" customHeight="false" outlineLevel="0" collapsed="false">
      <c r="A6" s="1" t="s">
        <v>6</v>
      </c>
      <c r="B6" s="4" t="n">
        <f aca="false">Kennedy!$B$33</f>
        <v>19345.9331600462</v>
      </c>
      <c r="D6" s="4" t="n">
        <f aca="false">Kennedy!$E$33</f>
        <v>12705.8925</v>
      </c>
      <c r="F6" s="5" t="n">
        <f aca="false">B6+D6</f>
        <v>32051.8256600462</v>
      </c>
    </row>
    <row r="7" customFormat="false" ht="12.75" hidden="false" customHeight="false" outlineLevel="0" collapsed="false">
      <c r="A7" s="1" t="s">
        <v>7</v>
      </c>
      <c r="B7" s="4" t="n">
        <f aca="false">JMHuber!$B$33</f>
        <v>19345.9331600462</v>
      </c>
      <c r="D7" s="4" t="n">
        <f aca="false">JMHuber!$E$33</f>
        <v>12705.8925</v>
      </c>
      <c r="F7" s="5" t="n">
        <f aca="false">B7+D7</f>
        <v>32051.8256600462</v>
      </c>
    </row>
    <row r="8" customFormat="false" ht="12.75" hidden="false" customHeight="false" outlineLevel="0" collapsed="false">
      <c r="A8" s="1" t="s">
        <v>8</v>
      </c>
      <c r="B8" s="4" t="n">
        <f aca="false">'FMI Weld'!$B$33</f>
        <v>19345.9331600462</v>
      </c>
      <c r="D8" s="4" t="n">
        <f aca="false">'FMI Weld'!$E$33</f>
        <v>12705.8925</v>
      </c>
      <c r="F8" s="5" t="n">
        <f aca="false">B8+D8</f>
        <v>32051.8256600462</v>
      </c>
    </row>
    <row r="9" customFormat="false" ht="12.75" hidden="false" customHeight="false" outlineLevel="0" collapsed="false">
      <c r="A9" s="1" t="s">
        <v>9</v>
      </c>
      <c r="B9" s="4" t="n">
        <f aca="false">Patina!$B$33</f>
        <v>19345.9331600462</v>
      </c>
      <c r="D9" s="4" t="n">
        <f aca="false">Patina!$E$33</f>
        <v>12705.8925</v>
      </c>
      <c r="F9" s="5" t="n">
        <f aca="false">B9+D9</f>
        <v>32051.8256600462</v>
      </c>
    </row>
    <row r="10" customFormat="false" ht="12.75" hidden="false" customHeight="false" outlineLevel="0" collapsed="false">
      <c r="A10" s="1" t="s">
        <v>10</v>
      </c>
      <c r="B10" s="4" t="n">
        <f aca="false">Cannon!$B$33</f>
        <v>19345.9331600462</v>
      </c>
      <c r="D10" s="4" t="n">
        <f aca="false">Cannon!$E$33</f>
        <v>12705.8925</v>
      </c>
      <c r="F10" s="5" t="n">
        <f aca="false">B10+D10</f>
        <v>32051.8256600462</v>
      </c>
    </row>
    <row r="12" customFormat="false" ht="12.75" hidden="false" customHeight="false" outlineLevel="0" collapsed="false">
      <c r="A12" s="1" t="s">
        <v>11</v>
      </c>
      <c r="B12" s="5" t="n">
        <f aca="false">SUM(B4:B10)</f>
        <v>121826.972145063</v>
      </c>
      <c r="C12" s="1"/>
      <c r="D12" s="5" t="n">
        <f aca="false">SUM(D4:D10)</f>
        <v>80012.7825</v>
      </c>
      <c r="E12" s="1"/>
      <c r="F12" s="5" t="n">
        <f aca="false">SUM(F4:F10)</f>
        <v>201839.754645063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
&amp;T</oddHeader>
    <oddFooter>&amp;L&amp;A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int_All">
                <anchor moveWithCells="true" sizeWithCells="false">
                  <from>
                    <xdr:col>6</xdr:col>
                    <xdr:colOff>448560</xdr:colOff>
                    <xdr:row>2</xdr:row>
                    <xdr:rowOff>151560</xdr:rowOff>
                  </from>
                  <to>
                    <xdr:col>9</xdr:col>
                    <xdr:colOff>160200</xdr:colOff>
                    <xdr:row>4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4.99"/>
    <col collapsed="false" customWidth="true" hidden="false" outlineLevel="0" max="3" min="3" style="0" width="9.85"/>
    <col collapsed="false" customWidth="true" hidden="false" outlineLevel="0" max="4" min="4" style="0" width="4.7"/>
    <col collapsed="false" customWidth="true" hidden="false" outlineLevel="0" max="5" min="5" style="0" width="11.28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11" min="11" style="0" width="14.14"/>
    <col collapsed="false" customWidth="true" hidden="false" outlineLevel="0" max="12" min="12" style="0" width="13.28"/>
    <col collapsed="false" customWidth="true" hidden="false" outlineLevel="0" max="13" min="13" style="0" width="3.28"/>
    <col collapsed="false" customWidth="true" hidden="false" outlineLevel="0" max="14" min="14" style="0" width="12.7"/>
    <col collapsed="false" customWidth="true" hidden="false" outlineLevel="0" max="15" min="15" style="0" width="3.7"/>
    <col collapsed="false" customWidth="true" hidden="false" outlineLevel="0" max="16" min="16" style="0" width="11.99"/>
    <col collapsed="false" customWidth="true" hidden="false" outlineLevel="0" max="17" min="17" style="0" width="4.85"/>
    <col collapsed="false" customWidth="true" hidden="false" outlineLevel="0" max="18" min="18" style="0" width="10.99"/>
  </cols>
  <sheetData>
    <row r="4" customFormat="false" ht="12.75" hidden="false" customHeight="false" outlineLevel="0" collapsed="false">
      <c r="C4" s="1" t="s">
        <v>12</v>
      </c>
      <c r="D4" s="1"/>
      <c r="E4" s="1" t="s">
        <v>13</v>
      </c>
      <c r="F4" s="1"/>
      <c r="G4" s="1" t="s">
        <v>14</v>
      </c>
    </row>
    <row r="5" customFormat="false" ht="12.75" hidden="false" customHeight="false" outlineLevel="0" collapsed="false">
      <c r="A5" s="1" t="s">
        <v>4</v>
      </c>
      <c r="E5" s="6" t="n">
        <v>3000</v>
      </c>
      <c r="G5" s="7" t="n">
        <v>0.25</v>
      </c>
    </row>
    <row r="6" customFormat="false" ht="12.75" hidden="false" customHeight="false" outlineLevel="0" collapsed="false">
      <c r="A6" s="1" t="s">
        <v>5</v>
      </c>
      <c r="E6" s="6" t="n">
        <v>3000</v>
      </c>
      <c r="G6" s="7" t="n">
        <v>0.15</v>
      </c>
    </row>
    <row r="7" customFormat="false" ht="12.75" hidden="false" customHeight="false" outlineLevel="0" collapsed="false">
      <c r="A7" s="1" t="s">
        <v>6</v>
      </c>
      <c r="C7" s="0" t="n">
        <v>700</v>
      </c>
      <c r="E7" s="6" t="n">
        <v>3000</v>
      </c>
      <c r="G7" s="7" t="n">
        <v>0.25</v>
      </c>
    </row>
    <row r="8" customFormat="false" ht="12.75" hidden="false" customHeight="false" outlineLevel="0" collapsed="false">
      <c r="A8" s="1" t="s">
        <v>7</v>
      </c>
      <c r="C8" s="0" t="n">
        <v>700</v>
      </c>
      <c r="E8" s="6" t="n">
        <v>3000</v>
      </c>
      <c r="G8" s="7" t="n">
        <v>0.25</v>
      </c>
      <c r="Q8" s="2"/>
      <c r="R8" s="3"/>
    </row>
    <row r="9" customFormat="false" ht="12.75" hidden="false" customHeight="false" outlineLevel="0" collapsed="false">
      <c r="A9" s="1" t="s">
        <v>8</v>
      </c>
      <c r="C9" s="0" t="n">
        <v>700</v>
      </c>
      <c r="E9" s="6" t="n">
        <v>3000</v>
      </c>
      <c r="G9" s="7" t="n">
        <v>0.25</v>
      </c>
    </row>
    <row r="10" customFormat="false" ht="12.75" hidden="false" customHeight="false" outlineLevel="0" collapsed="false">
      <c r="A10" s="1" t="s">
        <v>9</v>
      </c>
      <c r="C10" s="0" t="n">
        <v>700</v>
      </c>
      <c r="E10" s="6" t="n">
        <v>3000</v>
      </c>
      <c r="G10" s="7" t="n">
        <v>0.25</v>
      </c>
    </row>
    <row r="11" customFormat="false" ht="12.75" hidden="false" customHeight="false" outlineLevel="0" collapsed="false">
      <c r="A11" s="1" t="s">
        <v>10</v>
      </c>
      <c r="C11" s="0" t="n">
        <v>700</v>
      </c>
      <c r="E11" s="6" t="n">
        <v>3000</v>
      </c>
      <c r="G11" s="7" t="n">
        <v>0.25</v>
      </c>
    </row>
    <row r="13" customFormat="false" ht="12.75" hidden="false" customHeight="false" outlineLevel="0" collapsed="false">
      <c r="C13" s="8" t="n">
        <f aca="false">SUM(C5:C11)</f>
        <v>3500</v>
      </c>
      <c r="E13" s="8" t="n">
        <f aca="false">SUM(E5:E11)</f>
        <v>21000</v>
      </c>
    </row>
    <row r="15" customFormat="false" ht="12.75" hidden="false" customHeight="false" outlineLevel="0" collapsed="false">
      <c r="A15" s="1" t="s">
        <v>15</v>
      </c>
    </row>
    <row r="16" customFormat="false" ht="12.75" hidden="false" customHeight="false" outlineLevel="0" collapsed="false">
      <c r="A16" s="1" t="s">
        <v>16</v>
      </c>
      <c r="C16" s="9" t="n">
        <v>0.817981803143093</v>
      </c>
      <c r="F16" s="10"/>
      <c r="G16" s="11"/>
      <c r="H16" s="11"/>
      <c r="I16" s="10"/>
    </row>
    <row r="17" customFormat="false" ht="12.75" hidden="false" customHeight="false" outlineLevel="0" collapsed="false">
      <c r="A17" s="1" t="s">
        <v>17</v>
      </c>
      <c r="C17" s="12" t="n">
        <v>4.16293956155075</v>
      </c>
      <c r="F17" s="10"/>
      <c r="G17" s="11"/>
      <c r="H17" s="11"/>
      <c r="I17" s="10"/>
    </row>
    <row r="18" customFormat="false" ht="12.75" hidden="false" customHeight="false" outlineLevel="0" collapsed="false">
      <c r="A18" s="1" t="s">
        <v>18</v>
      </c>
      <c r="C18" s="12" t="n">
        <v>2.22846171277876</v>
      </c>
      <c r="F18" s="10"/>
      <c r="G18" s="11"/>
      <c r="H18" s="11"/>
      <c r="I18" s="10"/>
    </row>
    <row r="19" customFormat="false" ht="12.75" hidden="false" customHeight="false" outlineLevel="0" collapsed="false">
      <c r="F19" s="10"/>
      <c r="G19" s="11"/>
      <c r="H19" s="10"/>
      <c r="I19" s="10"/>
    </row>
    <row r="20" customFormat="false" ht="12.75" hidden="false" customHeight="false" outlineLevel="0" collapsed="false">
      <c r="A20" s="1" t="s">
        <v>19</v>
      </c>
      <c r="F20" s="10"/>
      <c r="G20" s="11"/>
      <c r="H20" s="10"/>
      <c r="I20" s="10"/>
    </row>
    <row r="21" customFormat="false" ht="12.75" hidden="false" customHeight="false" outlineLevel="0" collapsed="false">
      <c r="A21" s="1" t="s">
        <v>20</v>
      </c>
      <c r="C21" s="13" t="n">
        <v>0.7734</v>
      </c>
      <c r="F21" s="10"/>
      <c r="G21" s="11"/>
      <c r="H21" s="10"/>
      <c r="I21" s="10"/>
    </row>
    <row r="22" customFormat="false" ht="12.75" hidden="false" customHeight="false" outlineLevel="0" collapsed="false">
      <c r="A22" s="1" t="s">
        <v>21</v>
      </c>
      <c r="C22" s="13" t="n">
        <v>0.0665</v>
      </c>
      <c r="F22" s="10"/>
      <c r="G22" s="11"/>
      <c r="H22" s="10"/>
      <c r="I22" s="10"/>
    </row>
    <row r="23" customFormat="false" ht="12.75" hidden="false" customHeight="false" outlineLevel="0" collapsed="false">
      <c r="A23" s="1" t="s">
        <v>22</v>
      </c>
      <c r="C23" s="14" t="n">
        <v>0.042</v>
      </c>
      <c r="F23" s="10"/>
      <c r="G23" s="11"/>
      <c r="H23" s="10"/>
      <c r="I23" s="10"/>
    </row>
    <row r="24" customFormat="false" ht="12.75" hidden="false" customHeight="false" outlineLevel="0" collapsed="false">
      <c r="F24" s="10"/>
      <c r="G24" s="11"/>
      <c r="H24" s="10"/>
      <c r="I24" s="10"/>
    </row>
    <row r="25" customFormat="false" ht="12.75" hidden="false" customHeight="false" outlineLevel="0" collapsed="false">
      <c r="F25" s="10"/>
      <c r="G25" s="11"/>
      <c r="H25" s="10"/>
      <c r="I25" s="10"/>
    </row>
    <row r="26" customFormat="false" ht="12.75" hidden="false" customHeight="false" outlineLevel="0" collapsed="false">
      <c r="F26" s="10"/>
      <c r="G26" s="10"/>
      <c r="H26" s="10"/>
      <c r="I26" s="10"/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16</v>
      </c>
      <c r="C28" s="15" t="n">
        <v>1</v>
      </c>
    </row>
    <row r="29" customFormat="false" ht="12.75" hidden="false" customHeight="false" outlineLevel="0" collapsed="false">
      <c r="C29" s="1"/>
    </row>
    <row r="30" customFormat="false" ht="12.75" hidden="false" customHeight="false" outlineLevel="0" collapsed="false">
      <c r="A30" s="1" t="s">
        <v>24</v>
      </c>
      <c r="C30" s="16" t="n">
        <v>1.92</v>
      </c>
    </row>
    <row r="31" customFormat="false" ht="12.75" hidden="false" customHeight="false" outlineLevel="0" collapsed="false">
      <c r="A31" s="1" t="s">
        <v>25</v>
      </c>
      <c r="C31" s="16" t="n">
        <v>-1.42</v>
      </c>
    </row>
    <row r="32" customFormat="false" ht="12.75" hidden="false" customHeight="false" outlineLevel="0" collapsed="false">
      <c r="A32" s="1"/>
      <c r="C32" s="1"/>
    </row>
    <row r="33" customFormat="false" ht="12.75" hidden="false" customHeight="false" outlineLevel="0" collapsed="false">
      <c r="A33" s="1" t="s">
        <v>26</v>
      </c>
      <c r="C33" s="16" t="n">
        <v>-0.96</v>
      </c>
    </row>
    <row r="34" customFormat="false" ht="12.75" hidden="false" customHeight="false" outlineLevel="0" collapsed="false">
      <c r="A34" s="1" t="s">
        <v>27</v>
      </c>
      <c r="C34" s="16" t="n">
        <v>0.08</v>
      </c>
    </row>
    <row r="36" customFormat="false" ht="12.75" hidden="false" customHeight="false" outlineLevel="0" collapsed="false">
      <c r="A36" s="1" t="s">
        <v>19</v>
      </c>
    </row>
    <row r="37" customFormat="false" ht="12.75" hidden="false" customHeight="false" outlineLevel="0" collapsed="false">
      <c r="A37" s="1" t="s">
        <v>20</v>
      </c>
      <c r="C37" s="13" t="n">
        <v>0.7734</v>
      </c>
    </row>
    <row r="38" customFormat="false" ht="12.75" hidden="false" customHeight="false" outlineLevel="0" collapsed="false">
      <c r="A38" s="1" t="s">
        <v>21</v>
      </c>
      <c r="C38" s="13" t="n">
        <v>0.0665</v>
      </c>
    </row>
    <row r="39" customFormat="false" ht="12.75" hidden="false" customHeight="false" outlineLevel="0" collapsed="false">
      <c r="A39" s="1" t="s">
        <v>22</v>
      </c>
      <c r="C39" s="14" t="n">
        <v>0.042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9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3"/>
  <sheetViews>
    <sheetView showFormulas="false" showGridLines="true" showRowColHeaders="true" showZeros="true" rightToLeft="false" tabSelected="false" showOutlineSymbols="true" defaultGridColor="true" view="normal" topLeftCell="D3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99"/>
    <col collapsed="false" customWidth="true" hidden="false" outlineLevel="0" max="3" min="3" style="0" width="3.56"/>
    <col collapsed="false" customWidth="true" hidden="false" outlineLevel="0" max="4" min="4" style="0" width="15.13"/>
    <col collapsed="false" customWidth="true" hidden="false" outlineLevel="0" max="5" min="5" style="0" width="12.56"/>
    <col collapsed="false" customWidth="true" hidden="false" outlineLevel="0" max="6" min="6" style="0" width="9.28"/>
    <col collapsed="false" customWidth="true" hidden="false" outlineLevel="0" max="9" min="9" style="0" width="8.7"/>
    <col collapsed="false" customWidth="true" hidden="false" outlineLevel="0" max="10" min="10" style="0" width="17.28"/>
    <col collapsed="false" customWidth="true" hidden="false" outlineLevel="0" max="11" min="11" style="0" width="5.13"/>
    <col collapsed="false" customWidth="true" hidden="false" outlineLevel="0" max="12" min="12" style="0" width="9.7"/>
    <col collapsed="false" customWidth="true" hidden="false" outlineLevel="0" max="13" min="13" style="0" width="5.56"/>
    <col collapsed="false" customWidth="true" hidden="false" outlineLevel="0" max="14" min="14" style="0" width="11.28"/>
    <col collapsed="false" customWidth="true" hidden="false" outlineLevel="0" max="15" min="15" style="0" width="6.28"/>
    <col collapsed="false" customWidth="true" hidden="false" outlineLevel="0" max="16" min="16" style="0" width="11.56"/>
  </cols>
  <sheetData>
    <row r="2" customFormat="false" ht="12.75" hidden="false" customHeight="false" outlineLevel="0" collapsed="false">
      <c r="A2" s="1" t="s">
        <v>28</v>
      </c>
      <c r="I2" s="17" t="s">
        <v>29</v>
      </c>
      <c r="J2" s="17"/>
      <c r="K2" s="17"/>
      <c r="L2" s="17"/>
      <c r="M2" s="17"/>
      <c r="N2" s="17"/>
      <c r="O2" s="17"/>
      <c r="P2" s="17"/>
      <c r="Q2" s="17"/>
    </row>
    <row r="3" customFormat="false" ht="12.75" hidden="false" customHeight="false" outlineLevel="0" collapsed="false">
      <c r="A3" s="1"/>
      <c r="B3" s="18" t="s">
        <v>30</v>
      </c>
      <c r="E3" s="18" t="s">
        <v>2</v>
      </c>
      <c r="I3" s="17" t="s">
        <v>31</v>
      </c>
      <c r="J3" s="17"/>
      <c r="K3" s="17"/>
      <c r="L3" s="17"/>
      <c r="M3" s="17"/>
      <c r="N3" s="17"/>
      <c r="O3" s="17"/>
      <c r="P3" s="17"/>
      <c r="Q3" s="17"/>
    </row>
    <row r="4" customFormat="false" ht="12.75" hidden="false" customHeight="false" outlineLevel="0" collapsed="false">
      <c r="A4" s="1" t="s">
        <v>13</v>
      </c>
      <c r="B4" s="19" t="n">
        <v>3000</v>
      </c>
      <c r="E4" s="19" t="n">
        <v>3000</v>
      </c>
      <c r="I4" s="17" t="s">
        <v>32</v>
      </c>
      <c r="J4" s="17"/>
      <c r="K4" s="17"/>
      <c r="L4" s="17"/>
      <c r="M4" s="17"/>
      <c r="N4" s="17"/>
      <c r="O4" s="17"/>
      <c r="P4" s="17"/>
      <c r="Q4" s="17"/>
    </row>
    <row r="5" customFormat="false" ht="12.75" hidden="false" customHeight="false" outlineLevel="0" collapsed="false">
      <c r="A5" s="1" t="s">
        <v>33</v>
      </c>
      <c r="B5" s="19" t="n">
        <f aca="false">B4*31</f>
        <v>93000</v>
      </c>
      <c r="E5" s="19" t="n">
        <f aca="false">E4*31</f>
        <v>93000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76072.3076923077</v>
      </c>
      <c r="E7" s="8" t="n">
        <f aca="false">E5</f>
        <v>93000</v>
      </c>
      <c r="L7" s="18" t="s">
        <v>35</v>
      </c>
      <c r="M7" s="21"/>
      <c r="N7" s="18" t="s">
        <v>36</v>
      </c>
      <c r="O7" s="21"/>
      <c r="P7" s="18" t="s">
        <v>37</v>
      </c>
    </row>
    <row r="8" customFormat="false" ht="14.25" hidden="false" customHeight="false" outlineLevel="0" collapsed="false">
      <c r="A8" s="1"/>
      <c r="J8" s="1" t="s">
        <v>38</v>
      </c>
      <c r="L8" s="22" t="n">
        <f aca="false">B7</f>
        <v>76072.3076923077</v>
      </c>
      <c r="M8" s="21"/>
      <c r="N8" s="23" t="n">
        <f aca="false">E7</f>
        <v>93000</v>
      </c>
      <c r="O8" s="21"/>
      <c r="P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J9" s="1"/>
      <c r="L9" s="21"/>
      <c r="M9" s="21"/>
      <c r="N9" s="21"/>
      <c r="O9" s="21"/>
      <c r="P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J10" s="1" t="s">
        <v>41</v>
      </c>
      <c r="L10" s="25" t="n">
        <f aca="false">B11</f>
        <v>4.16293956155075</v>
      </c>
      <c r="M10" s="21"/>
      <c r="N10" s="26" t="n">
        <f aca="false">E11</f>
        <v>0.5</v>
      </c>
      <c r="O10" s="21"/>
      <c r="P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J11" s="1"/>
      <c r="L11" s="25"/>
      <c r="M11" s="21"/>
      <c r="N11" s="21"/>
      <c r="O11" s="21"/>
      <c r="P11" s="21"/>
    </row>
    <row r="12" customFormat="false" ht="14.25" hidden="false" customHeight="false" outlineLevel="0" collapsed="false">
      <c r="J12" s="1" t="s">
        <v>43</v>
      </c>
      <c r="L12" s="25" t="n">
        <f aca="false">B15</f>
        <v>2.22846171277876</v>
      </c>
      <c r="M12" s="21"/>
      <c r="N12" s="25" t="n">
        <f aca="false">E15</f>
        <v>-0.88</v>
      </c>
      <c r="O12" s="21"/>
      <c r="P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J13" s="1"/>
      <c r="L13" s="21"/>
      <c r="M13" s="21"/>
      <c r="N13" s="21"/>
      <c r="O13" s="21"/>
      <c r="P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J14" s="1" t="s">
        <v>46</v>
      </c>
      <c r="L14" s="26" t="n">
        <f aca="false">B26/B7</f>
        <v>1.10969327518103</v>
      </c>
      <c r="M14" s="21"/>
      <c r="N14" s="26" t="n">
        <f aca="false">E25</f>
        <v>0.9369</v>
      </c>
      <c r="O14" s="21"/>
      <c r="P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J15" s="1"/>
      <c r="L15" s="21"/>
      <c r="M15" s="21"/>
      <c r="N15" s="21"/>
      <c r="O15" s="21"/>
      <c r="P15" s="21"/>
    </row>
    <row r="16" customFormat="false" ht="12.75" hidden="false" customHeight="false" outlineLevel="0" collapsed="false">
      <c r="J16" s="1" t="s">
        <v>47</v>
      </c>
      <c r="L16" s="29" t="n">
        <f aca="false">B31</f>
        <v>0.25</v>
      </c>
      <c r="M16" s="21"/>
      <c r="N16" s="29" t="n">
        <f aca="false">E31</f>
        <v>0.25</v>
      </c>
      <c r="O16" s="21"/>
      <c r="P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J17" s="1"/>
      <c r="L17" s="21"/>
      <c r="M17" s="21"/>
      <c r="N17" s="21"/>
      <c r="O17" s="21"/>
      <c r="P17" s="21"/>
    </row>
    <row r="18" customFormat="false" ht="12.75" hidden="false" customHeight="false" outlineLevel="0" collapsed="false">
      <c r="B18" s="30"/>
      <c r="D18" s="28"/>
      <c r="E18" s="24"/>
      <c r="J18" s="1" t="s">
        <v>49</v>
      </c>
      <c r="L18" s="31" t="n">
        <f aca="false">L8*((L10-L12)-L14)*L16</f>
        <v>15685.8164655201</v>
      </c>
      <c r="M18" s="21"/>
      <c r="N18" s="31" t="n">
        <f aca="false">N8*((N10-N12)-N14)*N16</f>
        <v>10302.075</v>
      </c>
      <c r="O18" s="21"/>
      <c r="P18" s="31" t="n">
        <f aca="false">L18+N18</f>
        <v>25987.8914655201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147160.194135736</v>
      </c>
    </row>
    <row r="21" customFormat="false" ht="12.75" hidden="false" customHeight="false" outlineLevel="0" collapsed="false">
      <c r="A21" s="1" t="s">
        <v>19</v>
      </c>
      <c r="D21" s="1" t="s">
        <v>19</v>
      </c>
      <c r="J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71926.2</v>
      </c>
      <c r="D22" s="28" t="s">
        <v>52</v>
      </c>
      <c r="E22" s="35" t="n">
        <f aca="false">Inputs!$C$37</f>
        <v>0.7734</v>
      </c>
      <c r="J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5058.80846153846</v>
      </c>
      <c r="D23" s="28" t="s">
        <v>21</v>
      </c>
      <c r="E23" s="35" t="n">
        <f aca="false">Inputs!$C$38</f>
        <v>0.0665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3335</v>
      </c>
      <c r="D24" s="28" t="s">
        <v>22</v>
      </c>
      <c r="E24" s="35" t="n">
        <v>0.097</v>
      </c>
      <c r="F24" s="20"/>
    </row>
    <row r="25" customFormat="false" ht="14.25" hidden="false" customHeight="false" outlineLevel="0" collapsed="false">
      <c r="A25" s="34" t="s">
        <v>55</v>
      </c>
      <c r="B25" s="4" t="n">
        <f aca="false">B24*B15</f>
        <v>7431.91981211718</v>
      </c>
      <c r="D25" s="28" t="s">
        <v>42</v>
      </c>
      <c r="E25" s="35" t="n">
        <f aca="false">SUM(E22:E24)</f>
        <v>0.9369</v>
      </c>
      <c r="F25" s="36"/>
      <c r="J25" s="37" t="s">
        <v>56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84416.9282736556</v>
      </c>
      <c r="J26" s="0" t="s">
        <v>58</v>
      </c>
    </row>
    <row r="27" customFormat="false" ht="14.25" hidden="false" customHeight="false" outlineLevel="0" collapsed="false">
      <c r="J27" s="37" t="s">
        <v>59</v>
      </c>
    </row>
    <row r="28" customFormat="false" ht="14.25" hidden="false" customHeight="false" outlineLevel="0" collapsed="false">
      <c r="D28" s="28" t="s">
        <v>60</v>
      </c>
      <c r="E28" s="24" t="n">
        <f aca="false">E17-E25</f>
        <v>0.4431</v>
      </c>
      <c r="J28" s="37" t="s">
        <v>61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62743.2658620804</v>
      </c>
      <c r="D29" s="0" t="s">
        <v>62</v>
      </c>
      <c r="E29" s="38" t="n">
        <f aca="false">E28*E7</f>
        <v>41208.3</v>
      </c>
      <c r="J29" s="37" t="s">
        <v>63</v>
      </c>
    </row>
    <row r="30" customFormat="false" ht="12.75" hidden="false" customHeight="false" outlineLevel="0" collapsed="false">
      <c r="J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28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15685.8164655201</v>
      </c>
      <c r="D33" s="1" t="s">
        <v>3</v>
      </c>
      <c r="E33" s="41" t="n">
        <f aca="false">E31*E29</f>
        <v>10302.075</v>
      </c>
    </row>
  </sheetData>
  <mergeCells count="3">
    <mergeCell ref="I2:Q2"/>
    <mergeCell ref="I3:Q3"/>
    <mergeCell ref="I4:Q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0" activeCellId="0" sqref="M10: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5" min="5" style="0" width="10.56"/>
    <col collapsed="false" customWidth="true" hidden="false" outlineLevel="0" max="6" min="6" style="0" width="9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9.41"/>
    <col collapsed="false" customWidth="true" hidden="false" outlineLevel="0" max="14" min="14" style="0" width="6.28"/>
    <col collapsed="false" customWidth="true" hidden="false" outlineLevel="0" max="15" min="15" style="0" width="10.85"/>
    <col collapsed="false" customWidth="true" hidden="false" outlineLevel="0" max="16" min="16" style="0" width="9.85"/>
  </cols>
  <sheetData>
    <row r="2" customFormat="false" ht="12.75" hidden="false" customHeight="false" outlineLevel="0" collapsed="false">
      <c r="A2" s="1" t="s">
        <v>67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68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3000</v>
      </c>
      <c r="E4" s="19" t="n">
        <v>3000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93000</v>
      </c>
      <c r="E5" s="19" t="n">
        <f aca="false">E4*31</f>
        <v>93000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76072.3076923077</v>
      </c>
      <c r="E7" s="19" t="n">
        <f aca="false">E5*Inputs!C28</f>
        <v>93000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76072.3076923077</v>
      </c>
      <c r="L8" s="21"/>
      <c r="M8" s="22" t="n">
        <f aca="false">E7</f>
        <v>93000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5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1.10969327518103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0.15</v>
      </c>
      <c r="L16" s="21"/>
      <c r="M16" s="29" t="n">
        <f aca="false">E31</f>
        <v>0.15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9411.48987931206</v>
      </c>
      <c r="L18" s="21"/>
      <c r="M18" s="31" t="n">
        <f aca="false">M8*((M10-M12)-M14)*M16</f>
        <v>6181.245</v>
      </c>
      <c r="N18" s="21"/>
      <c r="O18" s="31" t="n">
        <f aca="false">K18+M18</f>
        <v>15592.7348793121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147160.194135736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71926.2</v>
      </c>
      <c r="D22" s="28" t="s">
        <v>52</v>
      </c>
      <c r="E22" s="35" t="n">
        <f aca="false">Inputs!$C$37</f>
        <v>0.7734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5058.80846153846</v>
      </c>
      <c r="D23" s="28" t="s">
        <v>21</v>
      </c>
      <c r="E23" s="35" t="n">
        <f aca="false">Inputs!$C$38</f>
        <v>0.0665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ROUND((B7/(1-Inputs!C23))-B7,0)</f>
        <v>3335</v>
      </c>
      <c r="D24" s="28" t="s">
        <v>22</v>
      </c>
      <c r="E24" s="35" t="n">
        <v>0.097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7431.91981211718</v>
      </c>
      <c r="D25" s="28" t="s">
        <v>42</v>
      </c>
      <c r="E25" s="35" t="n">
        <f aca="false">SUM(E22:E24)</f>
        <v>0.9369</v>
      </c>
      <c r="F25" s="36" t="n">
        <f aca="false">E25*E7</f>
        <v>87131.7</v>
      </c>
      <c r="I25" s="37" t="s">
        <v>69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84416.9282736556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62743.2658620804</v>
      </c>
      <c r="D29" s="0" t="s">
        <v>62</v>
      </c>
      <c r="E29" s="38" t="n">
        <f aca="false">E28*E7</f>
        <v>41208.3</v>
      </c>
      <c r="I29" s="37" t="s">
        <v>72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0.15</v>
      </c>
      <c r="D31" s="0" t="s">
        <v>66</v>
      </c>
      <c r="E31" s="40" t="n">
        <f aca="false">B31</f>
        <v>0.15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9411.48987931207</v>
      </c>
      <c r="D33" s="1" t="s">
        <v>3</v>
      </c>
      <c r="E33" s="41" t="n">
        <f aca="false">E31*E29</f>
        <v>6181.245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M10" activeCellId="0" sqref="M10:M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6" min="5" style="0" width="12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6.28"/>
    <col collapsed="false" customWidth="true" hidden="false" outlineLevel="0" max="15" min="15" style="0" width="11.56"/>
  </cols>
  <sheetData>
    <row r="2" customFormat="false" ht="12.75" hidden="false" customHeight="false" outlineLevel="0" collapsed="false">
      <c r="A2" s="1" t="s">
        <v>73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6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3700</v>
      </c>
      <c r="E4" s="19" t="n">
        <v>3700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114700</v>
      </c>
      <c r="E5" s="19" t="n">
        <f aca="false">E4*31</f>
        <v>114700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93822.5128205128</v>
      </c>
      <c r="E7" s="1" t="n">
        <f aca="false">E5*Inputs!C28</f>
        <v>114700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93822.5128205128</v>
      </c>
      <c r="L8" s="21"/>
      <c r="M8" s="23" t="n">
        <f aca="false">E7</f>
        <v>114700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1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1.10968931653321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0.25</v>
      </c>
      <c r="L16" s="21"/>
      <c r="M16" s="29" t="n">
        <f aca="false">E31</f>
        <v>0.25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19345.9331600462</v>
      </c>
      <c r="L18" s="21"/>
      <c r="M18" s="31" t="n">
        <f aca="false">M8*((M10-M12)-M14)*M16</f>
        <v>12705.8925</v>
      </c>
      <c r="N18" s="21"/>
      <c r="O18" s="31" t="n">
        <f aca="false">K18+M18</f>
        <v>32051.8256600462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181497.572767408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88708.98</v>
      </c>
      <c r="D22" s="28" t="s">
        <v>52</v>
      </c>
      <c r="E22" s="35" t="n">
        <f aca="false">Inputs!$C$37</f>
        <v>0.7734</v>
      </c>
      <c r="F22" s="4" t="n">
        <f aca="false">E22*E7</f>
        <v>88708.98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6239.1971025641</v>
      </c>
      <c r="D23" s="28" t="s">
        <v>21</v>
      </c>
      <c r="E23" s="35" t="n">
        <f aca="false">Inputs!$C$38</f>
        <v>0.0665</v>
      </c>
      <c r="F23" s="4" t="n">
        <f aca="false">E23*E7</f>
        <v>7627.55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4113</v>
      </c>
      <c r="D24" s="28" t="s">
        <v>22</v>
      </c>
      <c r="E24" s="35" t="n">
        <v>0.097</v>
      </c>
      <c r="F24" s="4" t="n">
        <f aca="false">ROUND((E7/(1-Inputs!$C$23))-E7,0)*(E15+3.096)</f>
        <v>11144.264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9165.66302465905</v>
      </c>
      <c r="D25" s="28" t="s">
        <v>42</v>
      </c>
      <c r="E25" s="35" t="n">
        <f aca="false">SUM(E22:E24)</f>
        <v>0.9369</v>
      </c>
      <c r="F25" s="4" t="n">
        <f aca="false">SUM(F22:F24)</f>
        <v>107480.794</v>
      </c>
      <c r="G25" s="36" t="n">
        <f aca="false">E25*E7</f>
        <v>107462.43</v>
      </c>
      <c r="I25" s="37" t="s">
        <v>74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104113.840127223</v>
      </c>
      <c r="G26" s="0" t="n">
        <f aca="false">G25/$E$7</f>
        <v>0.9369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77383.7326401847</v>
      </c>
      <c r="D29" s="0" t="s">
        <v>62</v>
      </c>
      <c r="E29" s="38" t="n">
        <f aca="false">E28*E7</f>
        <v>50823.57</v>
      </c>
      <c r="I29" s="37" t="s">
        <v>75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0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19345.9331600462</v>
      </c>
      <c r="D33" s="1" t="s">
        <v>3</v>
      </c>
      <c r="E33" s="41" t="n">
        <f aca="false">E31*E29</f>
        <v>12705.8925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5" min="5" style="0" width="12.28"/>
    <col collapsed="false" customWidth="true" hidden="false" outlineLevel="0" max="6" min="6" style="0" width="9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6.28"/>
    <col collapsed="false" customWidth="true" hidden="false" outlineLevel="0" max="15" min="15" style="0" width="11.56"/>
  </cols>
  <sheetData>
    <row r="2" customFormat="false" ht="12.75" hidden="false" customHeight="false" outlineLevel="0" collapsed="false">
      <c r="A2" s="1" t="s">
        <v>7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76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3700</v>
      </c>
      <c r="E4" s="19" t="n">
        <v>3700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114700</v>
      </c>
      <c r="E5" s="19" t="n">
        <f aca="false">E4*31</f>
        <v>114700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93822.5128205128</v>
      </c>
      <c r="E7" s="1" t="n">
        <f aca="false">E5*Inputs!C28</f>
        <v>114700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93822.5128205128</v>
      </c>
      <c r="L8" s="23"/>
      <c r="M8" s="23" t="n">
        <f aca="false">E7</f>
        <v>114700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5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1.10968931653321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0.25</v>
      </c>
      <c r="L16" s="21"/>
      <c r="M16" s="29" t="n">
        <f aca="false">E31</f>
        <v>0.25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19345.9331600462</v>
      </c>
      <c r="L18" s="21"/>
      <c r="M18" s="31" t="n">
        <f aca="false">M8*((M10-M12)-M14)*M16</f>
        <v>12705.8925</v>
      </c>
      <c r="N18" s="21"/>
      <c r="O18" s="31" t="n">
        <f aca="false">K18+M18</f>
        <v>32051.8256600462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181497.572767408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88708.98</v>
      </c>
      <c r="D22" s="28" t="s">
        <v>52</v>
      </c>
      <c r="E22" s="35" t="n">
        <f aca="false">Inputs!$C$37</f>
        <v>0.7734</v>
      </c>
      <c r="F22" s="0" t="n">
        <f aca="false">E22*E7</f>
        <v>88708.98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6239.1971025641</v>
      </c>
      <c r="D23" s="28" t="s">
        <v>21</v>
      </c>
      <c r="E23" s="35" t="n">
        <f aca="false">Inputs!$C$38</f>
        <v>0.0665</v>
      </c>
      <c r="F23" s="0" t="n">
        <f aca="false">E23*E7</f>
        <v>7627.55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4113</v>
      </c>
      <c r="D24" s="28" t="s">
        <v>22</v>
      </c>
      <c r="E24" s="35" t="n">
        <v>0.097</v>
      </c>
      <c r="F24" s="20" t="n">
        <f aca="false">ROUND((E7/(1-Inputs!$C$23))-E7,0)*(E15+3.096)</f>
        <v>11144.264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9165.66302465905</v>
      </c>
      <c r="D25" s="28" t="s">
        <v>42</v>
      </c>
      <c r="E25" s="35" t="n">
        <f aca="false">SUM(E22:E24)</f>
        <v>0.9369</v>
      </c>
      <c r="F25" s="36" t="n">
        <f aca="false">E25*E7</f>
        <v>107462.43</v>
      </c>
      <c r="H25" s="37"/>
      <c r="I25" s="37" t="s">
        <v>74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104113.840127223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77383.7326401847</v>
      </c>
      <c r="D29" s="0" t="s">
        <v>62</v>
      </c>
      <c r="E29" s="38" t="n">
        <f aca="false">E28*E7</f>
        <v>50823.57</v>
      </c>
      <c r="I29" s="37" t="s">
        <v>75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0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19345.9331600462</v>
      </c>
      <c r="D33" s="1" t="s">
        <v>3</v>
      </c>
      <c r="E33" s="41" t="n">
        <f aca="false">E31*E29</f>
        <v>12705.8925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M10" activeCellId="0" sqref="M10: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5" min="5" style="0" width="12.28"/>
    <col collapsed="false" customWidth="true" hidden="false" outlineLevel="0" max="6" min="6" style="0" width="9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6.28"/>
    <col collapsed="false" customWidth="true" hidden="false" outlineLevel="0" max="15" min="15" style="0" width="11.56"/>
  </cols>
  <sheetData>
    <row r="2" customFormat="false" ht="12.75" hidden="false" customHeight="false" outlineLevel="0" collapsed="false">
      <c r="A2" s="1" t="s">
        <v>8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8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3700</v>
      </c>
      <c r="E4" s="19" t="n">
        <v>3700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114700</v>
      </c>
      <c r="E5" s="19" t="n">
        <f aca="false">E4*31</f>
        <v>114700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93822.5128205128</v>
      </c>
      <c r="E7" s="1" t="n">
        <f aca="false">E5*Inputs!C28</f>
        <v>114700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93822.5128205128</v>
      </c>
      <c r="L8" s="23"/>
      <c r="M8" s="23" t="n">
        <f aca="false">E7</f>
        <v>114700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5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1.10968931653321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0.25</v>
      </c>
      <c r="L16" s="21"/>
      <c r="M16" s="29" t="n">
        <f aca="false">E31</f>
        <v>0.25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19345.9331600462</v>
      </c>
      <c r="L18" s="21"/>
      <c r="M18" s="31" t="n">
        <f aca="false">M8*((M10-M12)-M14)*M16</f>
        <v>12705.8925</v>
      </c>
      <c r="N18" s="21"/>
      <c r="O18" s="31" t="n">
        <f aca="false">K18+M18</f>
        <v>32051.8256600462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181497.572767408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88708.98</v>
      </c>
      <c r="D22" s="28" t="s">
        <v>52</v>
      </c>
      <c r="E22" s="35" t="n">
        <f aca="false">Inputs!$C$37</f>
        <v>0.7734</v>
      </c>
      <c r="F22" s="0" t="n">
        <f aca="false">E22*E7</f>
        <v>88708.98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6239.1971025641</v>
      </c>
      <c r="D23" s="28" t="s">
        <v>21</v>
      </c>
      <c r="E23" s="35" t="n">
        <f aca="false">Inputs!$C$38</f>
        <v>0.0665</v>
      </c>
      <c r="F23" s="0" t="n">
        <f aca="false">E23*E7</f>
        <v>7627.55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4113</v>
      </c>
      <c r="D24" s="28" t="s">
        <v>22</v>
      </c>
      <c r="E24" s="35" t="n">
        <v>0.097</v>
      </c>
      <c r="F24" s="20" t="n">
        <f aca="false">ROUND((E7/(1-Inputs!$C$23))-E7,0)*(E15+3.096)</f>
        <v>11144.264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9165.66302465905</v>
      </c>
      <c r="D25" s="28" t="s">
        <v>42</v>
      </c>
      <c r="E25" s="35" t="n">
        <f aca="false">SUM(E22:E24)</f>
        <v>0.9369</v>
      </c>
      <c r="F25" s="36" t="n">
        <f aca="false">E25*E7</f>
        <v>107462.43</v>
      </c>
      <c r="H25" s="37"/>
      <c r="I25" s="37" t="s">
        <v>74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104113.840127223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77383.7326401847</v>
      </c>
      <c r="D29" s="0" t="s">
        <v>62</v>
      </c>
      <c r="E29" s="38" t="n">
        <f aca="false">E28*E7</f>
        <v>50823.57</v>
      </c>
      <c r="I29" s="37" t="s">
        <v>75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0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19345.9331600462</v>
      </c>
      <c r="D33" s="1" t="s">
        <v>3</v>
      </c>
      <c r="E33" s="41" t="n">
        <f aca="false">E31*E29</f>
        <v>12705.8925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M10" activeCellId="0" sqref="M10: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5" min="5" style="0" width="12.28"/>
    <col collapsed="false" customWidth="true" hidden="false" outlineLevel="0" max="6" min="6" style="0" width="9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6.28"/>
    <col collapsed="false" customWidth="true" hidden="false" outlineLevel="0" max="15" min="15" style="0" width="11.56"/>
  </cols>
  <sheetData>
    <row r="2" customFormat="false" ht="12.75" hidden="false" customHeight="false" outlineLevel="0" collapsed="false">
      <c r="A2" s="1" t="s">
        <v>9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77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3700</v>
      </c>
      <c r="E4" s="19" t="n">
        <v>3700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114700</v>
      </c>
      <c r="E5" s="19" t="n">
        <f aca="false">E4*31</f>
        <v>114700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93822.5128205128</v>
      </c>
      <c r="E7" s="1" t="n">
        <f aca="false">E5*Inputs!C28</f>
        <v>114700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93822.5128205128</v>
      </c>
      <c r="L8" s="23"/>
      <c r="M8" s="23" t="n">
        <f aca="false">E7</f>
        <v>114700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5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1.10968931653321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0.25</v>
      </c>
      <c r="L16" s="21"/>
      <c r="M16" s="29" t="n">
        <f aca="false">E31</f>
        <v>0.25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19345.9331600462</v>
      </c>
      <c r="L18" s="21"/>
      <c r="M18" s="31" t="n">
        <f aca="false">M8*((M10-M12)-M14)*M16</f>
        <v>12705.8925</v>
      </c>
      <c r="N18" s="21"/>
      <c r="O18" s="31" t="n">
        <f aca="false">K18+M18</f>
        <v>32051.8256600462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181497.572767408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88708.98</v>
      </c>
      <c r="D22" s="28" t="s">
        <v>52</v>
      </c>
      <c r="E22" s="35" t="n">
        <f aca="false">Inputs!$C$37</f>
        <v>0.7734</v>
      </c>
      <c r="F22" s="0" t="n">
        <f aca="false">E22*E7</f>
        <v>88708.98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6239.1971025641</v>
      </c>
      <c r="D23" s="28" t="s">
        <v>21</v>
      </c>
      <c r="E23" s="35" t="n">
        <f aca="false">Inputs!$C$38</f>
        <v>0.0665</v>
      </c>
      <c r="F23" s="0" t="n">
        <f aca="false">E23*E7</f>
        <v>7627.55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4113</v>
      </c>
      <c r="D24" s="28" t="s">
        <v>22</v>
      </c>
      <c r="E24" s="35" t="n">
        <v>0.097</v>
      </c>
      <c r="F24" s="20" t="n">
        <f aca="false">ROUND((E7/(1-Inputs!$C$23))-E7,0)*(E15+3.096)</f>
        <v>11144.264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9165.66302465905</v>
      </c>
      <c r="D25" s="28" t="s">
        <v>42</v>
      </c>
      <c r="E25" s="35" t="n">
        <f aca="false">SUM(E22:E24)</f>
        <v>0.9369</v>
      </c>
      <c r="F25" s="36" t="n">
        <f aca="false">E25*E7</f>
        <v>107462.43</v>
      </c>
      <c r="H25" s="37"/>
      <c r="I25" s="37" t="s">
        <v>74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104113.840127223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77383.7326401847</v>
      </c>
      <c r="D29" s="0" t="s">
        <v>62</v>
      </c>
      <c r="E29" s="38" t="n">
        <f aca="false">E28*E7</f>
        <v>50823.57</v>
      </c>
      <c r="I29" s="37" t="s">
        <v>75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0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19345.9331600462</v>
      </c>
      <c r="D33" s="1" t="s">
        <v>3</v>
      </c>
      <c r="E33" s="41" t="n">
        <f aca="false">E31*E29</f>
        <v>12705.8925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3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O18" activeCellId="0" sqref="O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6.7"/>
    <col collapsed="false" customWidth="true" hidden="false" outlineLevel="0" max="3" min="3" style="0" width="9.41"/>
    <col collapsed="false" customWidth="true" hidden="false" outlineLevel="0" max="4" min="4" style="0" width="15.13"/>
    <col collapsed="false" customWidth="true" hidden="false" outlineLevel="0" max="5" min="5" style="0" width="12.28"/>
    <col collapsed="false" customWidth="true" hidden="false" outlineLevel="0" max="6" min="6" style="0" width="9.28"/>
    <col collapsed="false" customWidth="true" hidden="false" outlineLevel="0" max="8" min="8" style="0" width="8.7"/>
    <col collapsed="false" customWidth="true" hidden="false" outlineLevel="0" max="9" min="9" style="0" width="17.28"/>
    <col collapsed="false" customWidth="true" hidden="false" outlineLevel="0" max="10" min="10" style="0" width="5.13"/>
    <col collapsed="false" customWidth="true" hidden="false" outlineLevel="0" max="11" min="11" style="0" width="9.7"/>
    <col collapsed="false" customWidth="true" hidden="false" outlineLevel="0" max="12" min="12" style="0" width="5.56"/>
    <col collapsed="false" customWidth="true" hidden="false" outlineLevel="0" max="13" min="13" style="0" width="11.28"/>
    <col collapsed="false" customWidth="true" hidden="false" outlineLevel="0" max="14" min="14" style="0" width="6.28"/>
    <col collapsed="false" customWidth="true" hidden="false" outlineLevel="0" max="15" min="15" style="0" width="11.56"/>
  </cols>
  <sheetData>
    <row r="2" customFormat="false" ht="12.75" hidden="false" customHeight="false" outlineLevel="0" collapsed="false">
      <c r="A2" s="1" t="s">
        <v>10</v>
      </c>
      <c r="H2" s="17" t="s">
        <v>29</v>
      </c>
      <c r="I2" s="17"/>
      <c r="J2" s="17"/>
      <c r="K2" s="17"/>
      <c r="L2" s="17"/>
      <c r="M2" s="17"/>
      <c r="N2" s="17"/>
      <c r="O2" s="17"/>
      <c r="P2" s="17"/>
    </row>
    <row r="3" customFormat="false" ht="12.75" hidden="false" customHeight="false" outlineLevel="0" collapsed="false">
      <c r="A3" s="1"/>
      <c r="B3" s="1" t="s">
        <v>30</v>
      </c>
      <c r="E3" s="1" t="s">
        <v>2</v>
      </c>
      <c r="H3" s="17" t="s">
        <v>78</v>
      </c>
      <c r="I3" s="17"/>
      <c r="J3" s="17"/>
      <c r="K3" s="17"/>
      <c r="L3" s="17"/>
      <c r="M3" s="17"/>
      <c r="N3" s="17"/>
      <c r="O3" s="17"/>
      <c r="P3" s="17"/>
    </row>
    <row r="4" customFormat="false" ht="12.75" hidden="false" customHeight="false" outlineLevel="0" collapsed="false">
      <c r="A4" s="1" t="s">
        <v>13</v>
      </c>
      <c r="B4" s="19" t="n">
        <v>3700</v>
      </c>
      <c r="E4" s="19" t="n">
        <v>3700</v>
      </c>
      <c r="H4" s="17" t="s">
        <v>32</v>
      </c>
      <c r="I4" s="17"/>
      <c r="J4" s="17"/>
      <c r="K4" s="17"/>
      <c r="L4" s="17"/>
      <c r="M4" s="17"/>
      <c r="N4" s="17"/>
      <c r="O4" s="17"/>
      <c r="P4" s="17"/>
    </row>
    <row r="5" customFormat="false" ht="12.75" hidden="false" customHeight="false" outlineLevel="0" collapsed="false">
      <c r="A5" s="1" t="s">
        <v>33</v>
      </c>
      <c r="B5" s="19" t="n">
        <f aca="false">B4*31</f>
        <v>114700</v>
      </c>
      <c r="E5" s="19" t="n">
        <f aca="false">E4*31</f>
        <v>114700</v>
      </c>
    </row>
    <row r="6" customFormat="false" ht="12.75" hidden="false" customHeight="false" outlineLevel="0" collapsed="false">
      <c r="C6" s="20"/>
      <c r="D6" s="20"/>
    </row>
    <row r="7" customFormat="false" ht="12.75" hidden="false" customHeight="false" outlineLevel="0" collapsed="false">
      <c r="A7" s="1" t="s">
        <v>34</v>
      </c>
      <c r="B7" s="8" t="n">
        <f aca="false">B5*Inputs!$C$16</f>
        <v>93822.5128205128</v>
      </c>
      <c r="E7" s="1" t="n">
        <f aca="false">E5*Inputs!C28</f>
        <v>114700</v>
      </c>
      <c r="K7" s="18" t="s">
        <v>35</v>
      </c>
      <c r="L7" s="21"/>
      <c r="M7" s="18" t="s">
        <v>36</v>
      </c>
      <c r="N7" s="21"/>
      <c r="O7" s="18" t="s">
        <v>37</v>
      </c>
    </row>
    <row r="8" customFormat="false" ht="14.25" hidden="false" customHeight="false" outlineLevel="0" collapsed="false">
      <c r="A8" s="1"/>
      <c r="I8" s="1" t="s">
        <v>38</v>
      </c>
      <c r="K8" s="22" t="n">
        <f aca="false">B7</f>
        <v>93822.5128205128</v>
      </c>
      <c r="L8" s="23"/>
      <c r="M8" s="23" t="n">
        <f aca="false">E7</f>
        <v>114700</v>
      </c>
      <c r="N8" s="23"/>
      <c r="O8" s="21"/>
    </row>
    <row r="9" customFormat="false" ht="12.75" hidden="false" customHeight="false" outlineLevel="0" collapsed="false">
      <c r="D9" s="0" t="s">
        <v>39</v>
      </c>
      <c r="E9" s="24" t="n">
        <f aca="false">Inputs!$C$30</f>
        <v>1.92</v>
      </c>
      <c r="I9" s="1"/>
      <c r="K9" s="21"/>
      <c r="L9" s="21"/>
      <c r="M9" s="21"/>
      <c r="N9" s="21"/>
      <c r="O9" s="21"/>
    </row>
    <row r="10" customFormat="false" ht="14.25" hidden="false" customHeight="false" outlineLevel="0" collapsed="false">
      <c r="D10" s="0" t="s">
        <v>40</v>
      </c>
      <c r="E10" s="24" t="n">
        <f aca="false">Inputs!$C$31</f>
        <v>-1.42</v>
      </c>
      <c r="I10" s="1" t="s">
        <v>41</v>
      </c>
      <c r="K10" s="25" t="n">
        <f aca="false">B11</f>
        <v>4.16293956155075</v>
      </c>
      <c r="L10" s="21"/>
      <c r="M10" s="25" t="n">
        <f aca="false">E11</f>
        <v>0.5</v>
      </c>
      <c r="N10" s="26"/>
      <c r="O10" s="21"/>
    </row>
    <row r="11" customFormat="false" ht="12.75" hidden="false" customHeight="false" outlineLevel="0" collapsed="false">
      <c r="A11" s="1" t="s">
        <v>17</v>
      </c>
      <c r="B11" s="27" t="n">
        <f aca="false">Inputs!$C$17</f>
        <v>4.16293956155075</v>
      </c>
      <c r="D11" s="28" t="s">
        <v>42</v>
      </c>
      <c r="E11" s="24" t="n">
        <f aca="false">SUM(E9:E10)</f>
        <v>0.5</v>
      </c>
      <c r="I11" s="1"/>
      <c r="K11" s="25"/>
      <c r="L11" s="21"/>
      <c r="M11" s="25"/>
      <c r="N11" s="21"/>
      <c r="O11" s="21"/>
    </row>
    <row r="12" customFormat="false" ht="14.25" hidden="false" customHeight="false" outlineLevel="0" collapsed="false">
      <c r="I12" s="1" t="s">
        <v>43</v>
      </c>
      <c r="K12" s="25" t="n">
        <f aca="false">B15</f>
        <v>2.22846171277876</v>
      </c>
      <c r="L12" s="21"/>
      <c r="M12" s="25" t="n">
        <f aca="false">E15</f>
        <v>-0.88</v>
      </c>
      <c r="N12" s="25"/>
      <c r="O12" s="21"/>
    </row>
    <row r="13" customFormat="false" ht="12.75" hidden="false" customHeight="false" outlineLevel="0" collapsed="false">
      <c r="D13" s="0" t="s">
        <v>44</v>
      </c>
      <c r="E13" s="24" t="n">
        <f aca="false">Inputs!$C$33</f>
        <v>-0.96</v>
      </c>
      <c r="I13" s="1"/>
      <c r="K13" s="21"/>
      <c r="L13" s="21"/>
      <c r="M13" s="25"/>
      <c r="N13" s="21"/>
      <c r="O13" s="21"/>
    </row>
    <row r="14" customFormat="false" ht="14.25" hidden="false" customHeight="false" outlineLevel="0" collapsed="false">
      <c r="D14" s="0" t="s">
        <v>45</v>
      </c>
      <c r="E14" s="24" t="n">
        <f aca="false">Inputs!$C$34</f>
        <v>0.08</v>
      </c>
      <c r="I14" s="1" t="s">
        <v>46</v>
      </c>
      <c r="K14" s="26" t="n">
        <f aca="false">B26/B7</f>
        <v>1.10968931653321</v>
      </c>
      <c r="L14" s="21"/>
      <c r="M14" s="25" t="n">
        <f aca="false">E25</f>
        <v>0.9369</v>
      </c>
      <c r="N14" s="26"/>
      <c r="O14" s="21"/>
    </row>
    <row r="15" customFormat="false" ht="12.75" hidden="false" customHeight="false" outlineLevel="0" collapsed="false">
      <c r="A15" s="1" t="s">
        <v>18</v>
      </c>
      <c r="B15" s="27" t="n">
        <f aca="false">Inputs!$C$18</f>
        <v>2.22846171277876</v>
      </c>
      <c r="D15" s="28" t="s">
        <v>42</v>
      </c>
      <c r="E15" s="24" t="n">
        <f aca="false">SUM(E13:E14)</f>
        <v>-0.88</v>
      </c>
      <c r="I15" s="1"/>
      <c r="K15" s="21"/>
      <c r="L15" s="21"/>
      <c r="M15" s="21"/>
      <c r="N15" s="21"/>
      <c r="O15" s="21"/>
    </row>
    <row r="16" customFormat="false" ht="12.75" hidden="false" customHeight="false" outlineLevel="0" collapsed="false">
      <c r="I16" s="1" t="s">
        <v>47</v>
      </c>
      <c r="K16" s="29" t="n">
        <f aca="false">B31</f>
        <v>0.25</v>
      </c>
      <c r="L16" s="21"/>
      <c r="M16" s="29" t="n">
        <f aca="false">E31</f>
        <v>0.25</v>
      </c>
      <c r="N16" s="21"/>
      <c r="O16" s="21"/>
    </row>
    <row r="17" customFormat="false" ht="12.75" hidden="false" customHeight="false" outlineLevel="0" collapsed="false">
      <c r="A17" s="0" t="s">
        <v>48</v>
      </c>
      <c r="B17" s="30" t="n">
        <f aca="false">B11-B15</f>
        <v>1.93447784877199</v>
      </c>
      <c r="D17" s="28" t="s">
        <v>48</v>
      </c>
      <c r="E17" s="24" t="n">
        <f aca="false">E11-E15</f>
        <v>1.38</v>
      </c>
      <c r="I17" s="1"/>
      <c r="K17" s="21"/>
      <c r="L17" s="21"/>
      <c r="M17" s="21"/>
      <c r="N17" s="21"/>
      <c r="O17" s="21"/>
    </row>
    <row r="18" customFormat="false" ht="12.75" hidden="false" customHeight="false" outlineLevel="0" collapsed="false">
      <c r="B18" s="30"/>
      <c r="D18" s="28"/>
      <c r="E18" s="24"/>
      <c r="I18" s="1" t="s">
        <v>49</v>
      </c>
      <c r="K18" s="31" t="n">
        <f aca="false">K8*((K10-K12)-K14)*K16</f>
        <v>19345.9331600462</v>
      </c>
      <c r="L18" s="21"/>
      <c r="M18" s="31" t="n">
        <f aca="false">M8*((M10-M12)-M14)*M16</f>
        <v>12705.8925</v>
      </c>
      <c r="N18" s="21"/>
      <c r="O18" s="31" t="n">
        <f aca="false">K18+M18</f>
        <v>32051.8256600462</v>
      </c>
    </row>
    <row r="19" customFormat="false" ht="12.75" hidden="false" customHeight="false" outlineLevel="0" collapsed="false">
      <c r="A19" s="1" t="s">
        <v>50</v>
      </c>
      <c r="B19" s="32" t="n">
        <f aca="false">B7*B17</f>
        <v>181497.572767408</v>
      </c>
    </row>
    <row r="21" customFormat="false" ht="12.75" hidden="false" customHeight="false" outlineLevel="0" collapsed="false">
      <c r="A21" s="1" t="s">
        <v>19</v>
      </c>
      <c r="D21" s="1" t="s">
        <v>19</v>
      </c>
      <c r="I21" s="33" t="s">
        <v>51</v>
      </c>
    </row>
    <row r="22" customFormat="false" ht="12.75" hidden="false" customHeight="false" outlineLevel="0" collapsed="false">
      <c r="A22" s="34" t="s">
        <v>52</v>
      </c>
      <c r="B22" s="4" t="n">
        <f aca="false">B5*Inputs!$C$21</f>
        <v>88708.98</v>
      </c>
      <c r="D22" s="28" t="s">
        <v>52</v>
      </c>
      <c r="E22" s="35" t="n">
        <f aca="false">Inputs!$C$37</f>
        <v>0.7734</v>
      </c>
      <c r="F22" s="0" t="n">
        <f aca="false">E22*E7</f>
        <v>88708.98</v>
      </c>
      <c r="I22" s="0" t="s">
        <v>53</v>
      </c>
    </row>
    <row r="23" customFormat="false" ht="12.75" hidden="false" customHeight="false" outlineLevel="0" collapsed="false">
      <c r="A23" s="34" t="s">
        <v>21</v>
      </c>
      <c r="B23" s="4" t="n">
        <f aca="false">B7*Inputs!C22</f>
        <v>6239.1971025641</v>
      </c>
      <c r="D23" s="28" t="s">
        <v>21</v>
      </c>
      <c r="E23" s="35" t="n">
        <f aca="false">Inputs!$C$38</f>
        <v>0.0665</v>
      </c>
      <c r="F23" s="0" t="n">
        <f aca="false">E23*E7</f>
        <v>7627.55</v>
      </c>
    </row>
    <row r="24" customFormat="false" ht="12.75" hidden="false" customHeight="false" outlineLevel="0" collapsed="false">
      <c r="A24" s="34" t="s">
        <v>54</v>
      </c>
      <c r="B24" s="20" t="n">
        <f aca="false">ROUND((B7/(1-Inputs!$C$23))-B7,0)</f>
        <v>4113</v>
      </c>
      <c r="D24" s="28" t="s">
        <v>22</v>
      </c>
      <c r="E24" s="35" t="n">
        <v>0.097</v>
      </c>
      <c r="F24" s="20" t="n">
        <f aca="false">ROUND((E7/(1-Inputs!$C$23))-E7,0)*(E15+3.096)</f>
        <v>11144.264</v>
      </c>
    </row>
    <row r="25" customFormat="false" ht="14.25" hidden="false" customHeight="false" outlineLevel="0" collapsed="false">
      <c r="A25" s="34" t="s">
        <v>55</v>
      </c>
      <c r="B25" s="4" t="n">
        <f aca="false">B24*B15</f>
        <v>9165.66302465905</v>
      </c>
      <c r="D25" s="28" t="s">
        <v>42</v>
      </c>
      <c r="E25" s="35" t="n">
        <f aca="false">SUM(E22:E24)</f>
        <v>0.9369</v>
      </c>
      <c r="F25" s="36" t="n">
        <f aca="false">E25*E7</f>
        <v>107462.43</v>
      </c>
      <c r="H25" s="37"/>
      <c r="I25" s="37" t="s">
        <v>74</v>
      </c>
    </row>
    <row r="26" customFormat="false" ht="12.75" hidden="false" customHeight="false" outlineLevel="0" collapsed="false">
      <c r="A26" s="34" t="s">
        <v>57</v>
      </c>
      <c r="B26" s="38" t="n">
        <f aca="false">B25+B23+B22</f>
        <v>104113.840127223</v>
      </c>
      <c r="I26" s="0" t="s">
        <v>58</v>
      </c>
    </row>
    <row r="27" customFormat="false" ht="14.25" hidden="false" customHeight="false" outlineLevel="0" collapsed="false">
      <c r="I27" s="37" t="s">
        <v>70</v>
      </c>
    </row>
    <row r="28" customFormat="false" ht="14.25" hidden="false" customHeight="false" outlineLevel="0" collapsed="false">
      <c r="D28" s="0" t="s">
        <v>60</v>
      </c>
      <c r="E28" s="24" t="n">
        <f aca="false">E17-E25</f>
        <v>0.4431</v>
      </c>
      <c r="I28" s="37" t="s">
        <v>71</v>
      </c>
    </row>
    <row r="29" customFormat="false" ht="14.25" hidden="false" customHeight="false" outlineLevel="0" collapsed="false">
      <c r="A29" s="34" t="s">
        <v>60</v>
      </c>
      <c r="B29" s="38" t="n">
        <f aca="false">B19-B26</f>
        <v>77383.7326401847</v>
      </c>
      <c r="D29" s="0" t="s">
        <v>62</v>
      </c>
      <c r="E29" s="38" t="n">
        <f aca="false">E28*E7</f>
        <v>50823.57</v>
      </c>
      <c r="I29" s="37" t="s">
        <v>75</v>
      </c>
    </row>
    <row r="30" customFormat="false" ht="12.75" hidden="false" customHeight="false" outlineLevel="0" collapsed="false">
      <c r="I30" s="0" t="s">
        <v>64</v>
      </c>
    </row>
    <row r="31" customFormat="false" ht="12.75" hidden="false" customHeight="false" outlineLevel="0" collapsed="false">
      <c r="A31" s="39" t="s">
        <v>65</v>
      </c>
      <c r="B31" s="7" t="n">
        <v>0.25</v>
      </c>
      <c r="D31" s="0" t="s">
        <v>66</v>
      </c>
      <c r="E31" s="40" t="n">
        <f aca="false">B31</f>
        <v>0.25</v>
      </c>
    </row>
    <row r="33" customFormat="false" ht="12.75" hidden="false" customHeight="false" outlineLevel="0" collapsed="false">
      <c r="A33" s="1" t="s">
        <v>3</v>
      </c>
      <c r="B33" s="8" t="n">
        <f aca="false">B31*B29</f>
        <v>19345.9331600462</v>
      </c>
      <c r="D33" s="1" t="s">
        <v>3</v>
      </c>
      <c r="E33" s="41" t="n">
        <f aca="false">E31*E29</f>
        <v>12705.8925</v>
      </c>
    </row>
  </sheetData>
  <mergeCells count="3">
    <mergeCell ref="H2:P2"/>
    <mergeCell ref="H3:P3"/>
    <mergeCell ref="H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2001-08-14T13:49:01Z</dcterms:created>
  <dc:creator>Philip Polsky</dc:creator>
  <dc:description/>
  <dc:language>en-US</dc:language>
  <cp:lastModifiedBy>Philip Polsky</cp:lastModifiedBy>
  <cp:lastPrinted>2001-08-17T11:13:02Z</cp:lastPrinted>
  <dcterms:modified xsi:type="dcterms:W3CDTF">2001-08-17T11:18:13Z</dcterms:modified>
  <cp:revision>0</cp:revision>
  <dc:subject/>
  <dc:title/>
</cp:coreProperties>
</file>