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Recon" sheetId="1" state="visible" r:id="rId3"/>
    <sheet name="Recon to Houston" sheetId="2" state="visible" r:id="rId4"/>
    <sheet name="SUM-USD" sheetId="3" state="visible" r:id="rId5"/>
    <sheet name="Summary" sheetId="4" state="visible" r:id="rId6"/>
    <sheet name="Orig" sheetId="5" state="visible" r:id="rId7"/>
    <sheet name="Sheet3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function="false" hidden="false" localSheetId="0" name="_xlnm.Print_Area" vbProcedure="false">'YTD Recon'!$A$1:$O$24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<sst xmlns="http://schemas.openxmlformats.org/spreadsheetml/2006/main" count="129" uniqueCount="62">
  <si>
    <t xml:space="preserve">MTD</t>
  </si>
  <si>
    <t xml:space="preserve">TOTAL</t>
  </si>
  <si>
    <t xml:space="preserve">Per Houston***</t>
  </si>
  <si>
    <t xml:space="preserve">TERM</t>
  </si>
  <si>
    <t xml:space="preserve">CASH</t>
  </si>
  <si>
    <t xml:space="preserve">Per Canada</t>
  </si>
  <si>
    <t xml:space="preserve">Total Term</t>
  </si>
  <si>
    <t xml:space="preserve">Total Cash</t>
  </si>
  <si>
    <t xml:space="preserve">VARIANCE</t>
  </si>
  <si>
    <t xml:space="preserve">Term</t>
  </si>
  <si>
    <t xml:space="preserve">Cash</t>
  </si>
  <si>
    <t xml:space="preserve">***Houston Values EXCLUDE Originations</t>
  </si>
  <si>
    <t xml:space="preserve">RECONCILATION TO HOUSTON REPORTED P&amp;L</t>
  </si>
  <si>
    <t xml:space="preserve">FX - AVG OF MNTH</t>
  </si>
  <si>
    <t xml:space="preserve">To Nov 17</t>
  </si>
  <si>
    <t xml:space="preserve">BY RISK TYPE:</t>
  </si>
  <si>
    <t xml:space="preserve">TOTAL CANADA</t>
  </si>
  <si>
    <t xml:space="preserve">Per Houston</t>
  </si>
  <si>
    <t xml:space="preserve">Difference</t>
  </si>
  <si>
    <t xml:space="preserve">Income from May reported in July</t>
  </si>
  <si>
    <t xml:space="preserve">SUMMARY OF CANADA'S TRADING INCOME BY TRADER - IN US$</t>
  </si>
  <si>
    <t xml:space="preserve">To date</t>
  </si>
  <si>
    <t xml:space="preserve">Q1</t>
  </si>
  <si>
    <t xml:space="preserve">Q2</t>
  </si>
  <si>
    <t xml:space="preserve">Q3</t>
  </si>
  <si>
    <t xml:space="preserve">Q4</t>
  </si>
  <si>
    <t xml:space="preserve">BY BOOK:</t>
  </si>
  <si>
    <t xml:space="preserve">TERM:</t>
  </si>
  <si>
    <t xml:space="preserve">(Note:  Q1 Orgination has been manually backed out)</t>
  </si>
  <si>
    <t xml:space="preserve">Alberta Term</t>
  </si>
  <si>
    <t xml:space="preserve">BC Term</t>
  </si>
  <si>
    <t xml:space="preserve">EOL - Term</t>
  </si>
  <si>
    <t xml:space="preserve">Options</t>
  </si>
  <si>
    <t xml:space="preserve">Alberta Cash</t>
  </si>
  <si>
    <t xml:space="preserve">BC Cash</t>
  </si>
  <si>
    <t xml:space="preserve">BC Pipe Cash</t>
  </si>
  <si>
    <t xml:space="preserve">Alberta Term - GD</t>
  </si>
  <si>
    <t xml:space="preserve">BC Term - GD</t>
  </si>
  <si>
    <t xml:space="preserve">Options - GD</t>
  </si>
  <si>
    <t xml:space="preserve">Power</t>
  </si>
  <si>
    <t xml:space="preserve">PMA</t>
  </si>
  <si>
    <t xml:space="preserve">Check</t>
  </si>
  <si>
    <t xml:space="preserve">BY AREA/TRADER:</t>
  </si>
  <si>
    <r>
      <rPr>
        <sz val="10"/>
        <rFont val="Arial"/>
        <family val="0"/>
      </rPr>
      <t xml:space="preserve">West Term - </t>
    </r>
    <r>
      <rPr>
        <b val="true"/>
        <sz val="10"/>
        <rFont val="Arial"/>
        <family val="2"/>
      </rPr>
      <t xml:space="preserve">Lavorato</t>
    </r>
  </si>
  <si>
    <r>
      <rPr>
        <sz val="10"/>
        <rFont val="Arial"/>
        <family val="0"/>
      </rPr>
      <t xml:space="preserve">West Term - </t>
    </r>
    <r>
      <rPr>
        <b val="true"/>
        <sz val="10"/>
        <rFont val="Arial"/>
        <family val="2"/>
      </rPr>
      <t xml:space="preserve">Mckay</t>
    </r>
  </si>
  <si>
    <r>
      <rPr>
        <sz val="10"/>
        <rFont val="Arial"/>
        <family val="0"/>
      </rPr>
      <t xml:space="preserve">West Term -</t>
    </r>
    <r>
      <rPr>
        <b val="true"/>
        <sz val="10"/>
        <rFont val="Arial"/>
        <family val="2"/>
      </rPr>
      <t xml:space="preserve"> Lambie</t>
    </r>
  </si>
  <si>
    <r>
      <rPr>
        <sz val="10"/>
        <rFont val="Arial"/>
        <family val="0"/>
      </rPr>
      <t xml:space="preserve">Options - </t>
    </r>
    <r>
      <rPr>
        <b val="true"/>
        <sz val="10"/>
        <rFont val="Arial"/>
        <family val="2"/>
      </rPr>
      <t xml:space="preserve">Disturnal</t>
    </r>
  </si>
  <si>
    <r>
      <rPr>
        <sz val="10"/>
        <rFont val="Arial"/>
        <family val="0"/>
      </rPr>
      <t xml:space="preserve">Alberta Cash -</t>
    </r>
    <r>
      <rPr>
        <b val="true"/>
        <sz val="10"/>
        <rFont val="Arial"/>
        <family val="2"/>
      </rPr>
      <t xml:space="preserve"> Cowan</t>
    </r>
  </si>
  <si>
    <r>
      <rPr>
        <sz val="10"/>
        <rFont val="Arial"/>
        <family val="0"/>
      </rPr>
      <t xml:space="preserve">BC Cash - </t>
    </r>
    <r>
      <rPr>
        <b val="true"/>
        <sz val="10"/>
        <rFont val="Arial"/>
        <family val="2"/>
      </rPr>
      <t xml:space="preserve">Clark</t>
    </r>
  </si>
  <si>
    <r>
      <rPr>
        <sz val="10"/>
        <rFont val="Arial"/>
        <family val="0"/>
      </rPr>
      <t xml:space="preserve">Power - </t>
    </r>
    <r>
      <rPr>
        <b val="true"/>
        <sz val="10"/>
        <rFont val="Arial"/>
        <family val="2"/>
      </rPr>
      <t xml:space="preserve">Greenizan</t>
    </r>
  </si>
  <si>
    <t xml:space="preserve">SUMMARY OF CANADA'S TRADING INCOME BY DESK - IN C$</t>
  </si>
  <si>
    <t xml:space="preserve">To Dec 6</t>
  </si>
  <si>
    <t xml:space="preserve">QUARTER 1 ORIGINATION</t>
  </si>
  <si>
    <t xml:space="preserve">Jan</t>
  </si>
  <si>
    <t xml:space="preserve">Feb</t>
  </si>
  <si>
    <t xml:space="preserve">Mar</t>
  </si>
  <si>
    <t xml:space="preserve">Total</t>
  </si>
  <si>
    <t xml:space="preserve">Alberta</t>
  </si>
  <si>
    <t xml:space="preserve">Marketing Transactions transferred from John</t>
  </si>
  <si>
    <t xml:space="preserve">Excluded because Amounts did not flow through the DPR:</t>
  </si>
  <si>
    <t xml:space="preserve">BlueRange Orig with Credit</t>
  </si>
  <si>
    <t xml:space="preserve">BlueRange Writeoff/Recovery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</si>
</sst>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\-yyyy"/>
    <numFmt numFmtId="166" formatCode="[$-409]mmm\-yy"/>
    <numFmt numFmtId="167" formatCode="_(* #,##0.00_);_(* \(#,##0.00\);_(* \-??_);_(@_)"/>
    <numFmt numFmtId="168" formatCode="0.0000"/>
    <numFmt numFmtId="169" formatCode="_(* #,##0_);_(* \(#,##0\);_(* \-_);_(@_)"/>
    <numFmt numFmtId="170" formatCode="\$#,##0_);&quot;($&quot;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i val="true"/>
      <u val="single"/>
      <sz val="10"/>
      <name val="Arial"/>
      <family val="2"/>
    </font>
    <font>
      <i val="true"/>
      <sz val="7"/>
      <name val="Arial"/>
      <family val="2"/>
    </font>
    <font>
      <b val="true"/>
      <i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0.xml"/><Relationship Id="rId29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2.xml"/><Relationship Id="rId31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25.xml"/><Relationship Id="rId3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010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1000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1100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CAN$1200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005003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Jan%2000/0131_CAN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Feb%2000/0229_CAN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Mar%2000/0331_CAN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Apr%2000/0428_CAN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May%2000/0531_CAN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June%2000/0630_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020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July%2000/0731_CAN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Aug%2000/0831_CAN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Sep%2000/0929_CAN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Oct%2000/1031_CAN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Nov%2000/1130_CAN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Intra%20Month/2000/Dec%2000/1205_CAN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03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0400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050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060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0700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0800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isk%20Management/GASBOOK/00_rolls/CAN$09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rice - Alberta"/>
      <sheetName val="Price - BC"/>
      <sheetName val="Options"/>
      <sheetName val="Straddle"/>
      <sheetName val="Options-Prop"/>
      <sheetName val="Alberta Index"/>
      <sheetName val="BC Index"/>
      <sheetName val="Options Index"/>
      <sheetName val="Spot 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>
        <row r="40">
          <cell r="G40">
            <v>2618</v>
          </cell>
        </row>
        <row r="40">
          <cell r="Y40">
            <v>2618</v>
          </cell>
        </row>
        <row r="55">
          <cell r="G55">
            <v>7312028</v>
          </cell>
        </row>
        <row r="55">
          <cell r="M55">
            <v>-1275510</v>
          </cell>
        </row>
        <row r="55">
          <cell r="S55">
            <v>-526412</v>
          </cell>
        </row>
        <row r="55">
          <cell r="U55">
            <v>252488</v>
          </cell>
        </row>
        <row r="55">
          <cell r="W55">
            <v>-51240</v>
          </cell>
        </row>
        <row r="55">
          <cell r="Y55">
            <v>5711354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6">
          <cell r="F36">
            <v>1.45106806451613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OptionsProp"/>
      <sheetName val="Straddle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5">
          <cell r="S55">
            <v>190494</v>
          </cell>
        </row>
        <row r="56">
          <cell r="G56">
            <v>-5437697.33</v>
          </cell>
        </row>
        <row r="56">
          <cell r="M56">
            <v>1993048</v>
          </cell>
        </row>
        <row r="56">
          <cell r="AA56">
            <v>-1587040</v>
          </cell>
        </row>
        <row r="56">
          <cell r="AC56">
            <v>-4841195.33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6">
          <cell r="F36">
            <v>1.51079421579533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L by Trader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Straddle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-11599784</v>
          </cell>
        </row>
        <row r="56">
          <cell r="M56">
            <v>-459849.55</v>
          </cell>
        </row>
        <row r="56">
          <cell r="S56">
            <v>-8525749</v>
          </cell>
        </row>
        <row r="56">
          <cell r="AA56">
            <v>4082105</v>
          </cell>
        </row>
        <row r="56">
          <cell r="AC56">
            <v>-16503277.55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6">
          <cell r="F36">
            <v>1.54291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L by Trader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Straddle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3854866</v>
          </cell>
        </row>
        <row r="56">
          <cell r="M56">
            <v>3097088</v>
          </cell>
        </row>
        <row r="56">
          <cell r="S56">
            <v>11775195</v>
          </cell>
        </row>
        <row r="56">
          <cell r="AA56">
            <v>-1710788</v>
          </cell>
        </row>
        <row r="56">
          <cell r="AC56">
            <v>17016361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6">
          <cell r="F36">
            <v>1.53964285714286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BC"/>
      <sheetName val="BC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M56">
            <v>1043406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-2394049.05</v>
          </cell>
        </row>
        <row r="38">
          <cell r="I38">
            <v>-208812.026</v>
          </cell>
        </row>
        <row r="42">
          <cell r="I42">
            <v>-351348</v>
          </cell>
        </row>
        <row r="43">
          <cell r="I43">
            <v>-892661</v>
          </cell>
        </row>
        <row r="44">
          <cell r="I44">
            <v>415342</v>
          </cell>
        </row>
        <row r="46">
          <cell r="I46">
            <v>358277</v>
          </cell>
        </row>
        <row r="51">
          <cell r="I51">
            <v>-3073251.076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1003024.035</v>
          </cell>
        </row>
        <row r="38">
          <cell r="I38">
            <v>255659</v>
          </cell>
        </row>
        <row r="42">
          <cell r="I42">
            <v>436094</v>
          </cell>
        </row>
        <row r="43">
          <cell r="I43">
            <v>30819</v>
          </cell>
        </row>
        <row r="44">
          <cell r="I44">
            <v>750204</v>
          </cell>
        </row>
        <row r="46">
          <cell r="I46">
            <v>266440</v>
          </cell>
        </row>
        <row r="51">
          <cell r="I51">
            <v>2742240.035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1148012.12000001</v>
          </cell>
        </row>
        <row r="38">
          <cell r="I38">
            <v>-29000</v>
          </cell>
        </row>
        <row r="42">
          <cell r="I42">
            <v>44733</v>
          </cell>
        </row>
        <row r="43">
          <cell r="I43">
            <v>-6</v>
          </cell>
        </row>
        <row r="44">
          <cell r="I44">
            <v>508518</v>
          </cell>
        </row>
        <row r="46">
          <cell r="I46">
            <v>1843071</v>
          </cell>
        </row>
        <row r="51">
          <cell r="I51">
            <v>3515328.12000001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1032002.7868234</v>
          </cell>
        </row>
        <row r="38">
          <cell r="I38">
            <v>74853</v>
          </cell>
        </row>
        <row r="42">
          <cell r="I42">
            <v>130475</v>
          </cell>
        </row>
        <row r="44">
          <cell r="I44">
            <v>623575</v>
          </cell>
        </row>
        <row r="46">
          <cell r="I46">
            <v>2133297</v>
          </cell>
        </row>
        <row r="51">
          <cell r="I51">
            <v>3994202.7868234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BC"/>
      <sheetName val="East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3103620.10133547</v>
          </cell>
        </row>
        <row r="38">
          <cell r="I38">
            <v>109143</v>
          </cell>
        </row>
        <row r="42">
          <cell r="I42">
            <v>595</v>
          </cell>
        </row>
        <row r="44">
          <cell r="I44">
            <v>529022</v>
          </cell>
        </row>
        <row r="46">
          <cell r="I46">
            <v>1874547</v>
          </cell>
        </row>
        <row r="51">
          <cell r="I51">
            <v>5616927.10133547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West Recon"/>
      <sheetName val="Input"/>
      <sheetName val="West"/>
      <sheetName val="Cand P&amp;L"/>
      <sheetName val="East"/>
      <sheetName val="BC"/>
      <sheetName val="Explanation"/>
      <sheetName val="East Storage"/>
      <sheetName val="Lavo"/>
      <sheetName val="West Storage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3122894.85321429</v>
          </cell>
        </row>
        <row r="38">
          <cell r="I38">
            <v>468781</v>
          </cell>
        </row>
        <row r="42">
          <cell r="I42">
            <v>-209</v>
          </cell>
        </row>
        <row r="43">
          <cell r="I43">
            <v>-1200000</v>
          </cell>
        </row>
        <row r="44">
          <cell r="I44">
            <v>1487150</v>
          </cell>
        </row>
        <row r="46">
          <cell r="I46">
            <v>-1473330</v>
          </cell>
        </row>
        <row r="51">
          <cell r="I51">
            <v>2405286.85321429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Deals"/>
      <sheetName val="Report"/>
      <sheetName val="Price - Alberta"/>
      <sheetName val="Price - BC"/>
      <sheetName val="Options"/>
      <sheetName val="Straddle"/>
      <sheetName val="Options-Prop"/>
      <sheetName val="Alberta Index"/>
      <sheetName val="BC Index"/>
      <sheetName val="Options Index"/>
      <sheetName val="Spot 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>
        <row r="55">
          <cell r="U55">
            <v>1123392</v>
          </cell>
        </row>
        <row r="56">
          <cell r="G56">
            <v>10324827.75</v>
          </cell>
        </row>
        <row r="56">
          <cell r="M56">
            <v>11611</v>
          </cell>
        </row>
        <row r="56">
          <cell r="S56">
            <v>-590785</v>
          </cell>
        </row>
        <row r="56">
          <cell r="W56">
            <v>460190</v>
          </cell>
        </row>
        <row r="56">
          <cell r="Y56">
            <v>11329235.75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6">
          <cell r="F36">
            <v>1.44930689655172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West Recon"/>
      <sheetName val="Input"/>
      <sheetName val="West"/>
      <sheetName val="Cand P&amp;L"/>
      <sheetName val="East"/>
      <sheetName val="BC"/>
      <sheetName val="Explanation"/>
      <sheetName val="East Storage"/>
      <sheetName val="Lavo"/>
      <sheetName val="West Storage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1735271.88778667</v>
          </cell>
        </row>
        <row r="38">
          <cell r="I38">
            <v>436855</v>
          </cell>
        </row>
        <row r="42">
          <cell r="I42">
            <v>222</v>
          </cell>
        </row>
        <row r="44">
          <cell r="I44">
            <v>1261062</v>
          </cell>
        </row>
        <row r="46">
          <cell r="I46">
            <v>-614813</v>
          </cell>
        </row>
        <row r="51">
          <cell r="I51">
            <v>2818597.88778667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West Recon"/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I18">
            <v>2006235.7729768</v>
          </cell>
        </row>
        <row r="38">
          <cell r="I38">
            <v>486009</v>
          </cell>
        </row>
        <row r="42">
          <cell r="I42">
            <v>-541618</v>
          </cell>
        </row>
        <row r="44">
          <cell r="I44">
            <v>823487</v>
          </cell>
        </row>
        <row r="46">
          <cell r="I46">
            <v>-1486229</v>
          </cell>
        </row>
        <row r="51">
          <cell r="I51">
            <v>1287884.7729768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West Recon"/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I18">
            <v>747086.635079905</v>
          </cell>
        </row>
        <row r="38">
          <cell r="I38">
            <v>998940.805199992</v>
          </cell>
        </row>
        <row r="42">
          <cell r="I42">
            <v>-1427708.0547</v>
          </cell>
        </row>
        <row r="44">
          <cell r="I44">
            <v>2870370</v>
          </cell>
        </row>
        <row r="46">
          <cell r="I46">
            <v>2182015</v>
          </cell>
        </row>
        <row r="51">
          <cell r="I51">
            <v>5370704.3855799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Input"/>
      <sheetName val="West Recon"/>
      <sheetName val="West"/>
      <sheetName val="Cand P&amp;L"/>
      <sheetName val="East"/>
      <sheetName val="BC-TRANS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I18">
            <v>1123313.02688876</v>
          </cell>
        </row>
        <row r="38">
          <cell r="I38">
            <v>789989.328989997</v>
          </cell>
        </row>
        <row r="50">
          <cell r="I50">
            <v>-582761</v>
          </cell>
        </row>
        <row r="54">
          <cell r="I54">
            <v>188219.4395</v>
          </cell>
        </row>
        <row r="56">
          <cell r="I56">
            <v>-264728</v>
          </cell>
        </row>
        <row r="58">
          <cell r="I58">
            <v>-206945</v>
          </cell>
        </row>
        <row r="63">
          <cell r="I63">
            <v>1047087.79537876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Input"/>
      <sheetName val="West Recon"/>
      <sheetName val="Cand P&amp;L"/>
      <sheetName val="East"/>
      <sheetName val="West"/>
      <sheetName val="Options_GD"/>
      <sheetName val="Term_GD"/>
      <sheetName val="Power"/>
      <sheetName val="BC-TRANS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I18">
            <v>1181936.95647706</v>
          </cell>
        </row>
        <row r="38">
          <cell r="I38">
            <v>526651.068407999</v>
          </cell>
        </row>
        <row r="50">
          <cell r="I50">
            <v>5436540</v>
          </cell>
        </row>
        <row r="54">
          <cell r="I54">
            <v>-865413</v>
          </cell>
        </row>
        <row r="56">
          <cell r="I56">
            <v>-2397913</v>
          </cell>
        </row>
        <row r="58">
          <cell r="I58">
            <v>72673</v>
          </cell>
        </row>
        <row r="63">
          <cell r="I63">
            <v>3954475.02488506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Input"/>
      <sheetName val="West Recon"/>
      <sheetName val="Cand P&amp;L"/>
      <sheetName val="East"/>
      <sheetName val="West"/>
      <sheetName val="Options_GD"/>
      <sheetName val="Term_GD"/>
      <sheetName val="Power"/>
      <sheetName val="BC-TRANS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I18">
            <v>-249771.611396589</v>
          </cell>
        </row>
        <row r="38">
          <cell r="I38">
            <v>366706.64493</v>
          </cell>
        </row>
        <row r="50">
          <cell r="I50">
            <v>216264</v>
          </cell>
        </row>
        <row r="54">
          <cell r="I54">
            <v>-6348</v>
          </cell>
        </row>
        <row r="56">
          <cell r="I56">
            <v>4106667</v>
          </cell>
        </row>
        <row r="58">
          <cell r="I58">
            <v>0</v>
          </cell>
        </row>
        <row r="63">
          <cell r="I63">
            <v>4433518.03353341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wDeals"/>
      <sheetName val="Report"/>
      <sheetName val="Price - Alberta"/>
      <sheetName val="Price - BC"/>
      <sheetName val="Options"/>
      <sheetName val="Straddle"/>
      <sheetName val="Options-Prop"/>
      <sheetName val="Alberta Index"/>
      <sheetName val="BC Index"/>
      <sheetName val="Options Index"/>
      <sheetName val="Spot 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>
        <row r="56">
          <cell r="G56">
            <v>5224630.91</v>
          </cell>
        </row>
        <row r="56">
          <cell r="M56">
            <v>1317594</v>
          </cell>
        </row>
        <row r="56">
          <cell r="S56">
            <v>-973301</v>
          </cell>
        </row>
        <row r="56">
          <cell r="U56">
            <v>81243</v>
          </cell>
        </row>
        <row r="56">
          <cell r="W56">
            <v>-54541</v>
          </cell>
        </row>
        <row r="56">
          <cell r="Y56">
            <v>5595625.91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6">
          <cell r="F36">
            <v>1.46068064516129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 Alberta"/>
      <sheetName val="Alberta Index"/>
      <sheetName val="Straddle"/>
      <sheetName val="PriceEOL"/>
      <sheetName val="EOLIndex"/>
      <sheetName val="Options"/>
      <sheetName val="Options Index"/>
      <sheetName val="Options-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1732438.57</v>
          </cell>
        </row>
        <row r="56">
          <cell r="M56">
            <v>10580</v>
          </cell>
        </row>
        <row r="56">
          <cell r="S56">
            <v>-1115897</v>
          </cell>
        </row>
        <row r="56">
          <cell r="U56">
            <v>1036287</v>
          </cell>
        </row>
        <row r="56">
          <cell r="W56">
            <v>577480</v>
          </cell>
        </row>
        <row r="56">
          <cell r="Y56">
            <v>2240888.57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1.46774861751152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6920325.17</v>
          </cell>
        </row>
        <row r="56">
          <cell r="M56">
            <v>1399907</v>
          </cell>
        </row>
        <row r="56">
          <cell r="S56">
            <v>5361293</v>
          </cell>
        </row>
        <row r="56">
          <cell r="U56">
            <v>183053</v>
          </cell>
        </row>
        <row r="56">
          <cell r="W56">
            <v>1059399</v>
          </cell>
        </row>
        <row r="56">
          <cell r="Y56">
            <v>14923977.17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1.49431935483871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-Exotic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-1619450.9470777</v>
          </cell>
        </row>
        <row r="56">
          <cell r="M56">
            <v>-2336264</v>
          </cell>
        </row>
        <row r="56">
          <cell r="W56">
            <v>1961800</v>
          </cell>
        </row>
        <row r="56">
          <cell r="Y56">
            <v>-1993914.9470777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1.47608666666667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-8225983.20219726</v>
          </cell>
        </row>
        <row r="56">
          <cell r="M56">
            <v>-757517</v>
          </cell>
        </row>
        <row r="56">
          <cell r="W56">
            <v>-1685501</v>
          </cell>
        </row>
        <row r="56">
          <cell r="Y56">
            <v>-10669001.2021973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1.47781612903226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8765239.68328565</v>
          </cell>
        </row>
        <row r="56">
          <cell r="M56">
            <v>699140</v>
          </cell>
        </row>
        <row r="56">
          <cell r="W56">
            <v>-3180802.1</v>
          </cell>
        </row>
        <row r="56">
          <cell r="Y56">
            <v>6283577.58328565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1.48224677419355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PriceEOL"/>
      <sheetName val="EOLIndex"/>
      <sheetName val="Options"/>
      <sheetName val="OptionsIndex"/>
      <sheetName val="OptionsProp"/>
      <sheetName val="Straddle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1152866</v>
          </cell>
        </row>
        <row r="56">
          <cell r="M56">
            <v>3765245</v>
          </cell>
        </row>
        <row r="56">
          <cell r="W56">
            <v>-8749196</v>
          </cell>
        </row>
        <row r="56">
          <cell r="Y56">
            <v>-3831085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1.48332068965517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41"/>
    <col collapsed="false" customWidth="true" hidden="false" outlineLevel="0" max="5" min="3" style="0" width="12.85"/>
    <col collapsed="false" customWidth="true" hidden="false" outlineLevel="0" max="6" min="6" style="0" width="13.85"/>
    <col collapsed="false" customWidth="true" hidden="false" outlineLevel="0" max="8" min="7" style="0" width="13.41"/>
    <col collapsed="false" customWidth="true" hidden="false" outlineLevel="0" max="9" min="9" style="0" width="12.85"/>
    <col collapsed="false" customWidth="true" hidden="false" outlineLevel="0" max="11" min="10" style="0" width="13.41"/>
    <col collapsed="false" customWidth="true" hidden="false" outlineLevel="0" max="12" min="12" style="0" width="14.41"/>
    <col collapsed="false" customWidth="true" hidden="false" outlineLevel="0" max="13" min="13" style="0" width="13.85"/>
    <col collapsed="false" customWidth="true" hidden="false" outlineLevel="0" max="14" min="14" style="0" width="1.99"/>
    <col collapsed="false" customWidth="true" hidden="false" outlineLevel="0" max="15" min="15" style="0" width="13.85"/>
  </cols>
  <sheetData>
    <row r="1" customFormat="false" ht="12.75" hidden="false" customHeight="false" outlineLevel="0" collapsed="false">
      <c r="B1" s="1"/>
      <c r="C1" s="2"/>
      <c r="D1" s="2"/>
      <c r="E1" s="2"/>
      <c r="F1" s="2"/>
      <c r="G1" s="2"/>
      <c r="H1" s="2"/>
      <c r="I1" s="2"/>
      <c r="J1" s="2"/>
      <c r="K1" s="3"/>
      <c r="L1" s="3"/>
      <c r="M1" s="3" t="s">
        <v>0</v>
      </c>
      <c r="N1" s="2"/>
      <c r="O1" s="4"/>
    </row>
    <row r="2" customFormat="false" ht="13.5" hidden="false" customHeight="false" outlineLevel="0" collapsed="false">
      <c r="B2" s="5" t="n">
        <v>36526</v>
      </c>
      <c r="C2" s="6" t="n">
        <v>36557</v>
      </c>
      <c r="D2" s="6" t="n">
        <v>36586</v>
      </c>
      <c r="E2" s="6" t="n">
        <v>36617</v>
      </c>
      <c r="F2" s="6" t="n">
        <v>36647</v>
      </c>
      <c r="G2" s="6" t="n">
        <v>36678</v>
      </c>
      <c r="H2" s="6" t="n">
        <v>36708</v>
      </c>
      <c r="I2" s="6" t="n">
        <v>36739</v>
      </c>
      <c r="J2" s="6" t="n">
        <v>36770</v>
      </c>
      <c r="K2" s="6" t="n">
        <v>36800</v>
      </c>
      <c r="L2" s="6" t="n">
        <v>36831</v>
      </c>
      <c r="M2" s="6" t="n">
        <v>36861</v>
      </c>
      <c r="N2" s="7"/>
      <c r="O2" s="8" t="s">
        <v>1</v>
      </c>
    </row>
    <row r="3" customFormat="false" ht="21.75" hidden="false" customHeight="true" outlineLevel="0" collapsed="false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13.5" hidden="false" customHeight="false" outlineLevel="0" collapsed="false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customFormat="false" ht="12.75" hidden="false" customHeight="false" outlineLevel="0" collapsed="false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customFormat="false" ht="12.75" hidden="false" customHeight="false" outlineLevel="0" collapsed="false">
      <c r="A6" s="13" t="s">
        <v>3</v>
      </c>
      <c r="B6" s="14" t="n">
        <v>3938764.42192036</v>
      </c>
      <c r="C6" s="14" t="n">
        <v>7816866.58030592</v>
      </c>
      <c r="D6" s="14" t="n">
        <v>3834132.56916904</v>
      </c>
      <c r="E6" s="14" t="n">
        <v>1607896.29481687</v>
      </c>
      <c r="F6" s="14" t="n">
        <v>9987260.38045156</v>
      </c>
      <c r="G6" s="14" t="n">
        <v>-1351716.56960818</v>
      </c>
      <c r="H6" s="14" t="n">
        <v>-7305940.51499303</v>
      </c>
      <c r="I6" s="14" t="n">
        <v>4239209.00131895</v>
      </c>
      <c r="J6" s="14" t="n">
        <v>-2582956.06093858</v>
      </c>
      <c r="K6" s="14" t="n">
        <v>-3204784.19971521</v>
      </c>
      <c r="L6" s="14" t="n">
        <v>-10695182.3384384</v>
      </c>
      <c r="M6" s="14" t="n">
        <v>10343351.7559745</v>
      </c>
      <c r="N6" s="15"/>
      <c r="O6" s="16" t="n">
        <v>16626901.3202637</v>
      </c>
    </row>
    <row r="7" customFormat="false" ht="12.75" hidden="false" customHeight="false" outlineLevel="0" collapsed="false">
      <c r="A7" s="17" t="s">
        <v>4</v>
      </c>
      <c r="B7" s="18" t="n">
        <v>-2124611.87417905</v>
      </c>
      <c r="C7" s="18" t="n">
        <v>1889245.63210472</v>
      </c>
      <c r="D7" s="18" t="n">
        <v>2426372.25289896</v>
      </c>
      <c r="E7" s="18" t="n">
        <v>2695721.36412306</v>
      </c>
      <c r="F7" s="18" t="n">
        <v>2996711.39064763</v>
      </c>
      <c r="G7" s="18" t="n">
        <v>1625743.05725873</v>
      </c>
      <c r="H7" s="18" t="n">
        <v>2634193.17977841</v>
      </c>
      <c r="I7" s="18" t="n">
        <v>875397.480272431</v>
      </c>
      <c r="J7" s="18" t="n">
        <v>3573322.9444976</v>
      </c>
      <c r="K7" s="18" t="n">
        <v>687968.328106937</v>
      </c>
      <c r="L7" s="18" t="n">
        <v>2562997.85786926</v>
      </c>
      <c r="M7" s="18" t="n">
        <v>7269333.51735608</v>
      </c>
      <c r="N7" s="18"/>
      <c r="O7" s="19" t="n">
        <v>27112395.1307348</v>
      </c>
    </row>
    <row r="8" customFormat="false" ht="13.5" hidden="false" customHeight="false" outlineLevel="0" collapsed="false">
      <c r="A8" s="20" t="s">
        <v>1</v>
      </c>
      <c r="B8" s="21" t="n">
        <f aca="false">SUM(B6:B7)</f>
        <v>1814152.54774131</v>
      </c>
      <c r="C8" s="21" t="n">
        <f aca="false">SUM(C6:C7)</f>
        <v>9706112.21241064</v>
      </c>
      <c r="D8" s="21" t="n">
        <f aca="false">SUM(D6:D7)</f>
        <v>6260504.822068</v>
      </c>
      <c r="E8" s="21" t="n">
        <f aca="false">SUM(E6:E7)</f>
        <v>4303617.65893993</v>
      </c>
      <c r="F8" s="21" t="n">
        <f aca="false">SUM(F6:F7)</f>
        <v>12983971.7710992</v>
      </c>
      <c r="G8" s="21" t="n">
        <f aca="false">SUM(G6:G7)</f>
        <v>274026.48765055</v>
      </c>
      <c r="H8" s="21" t="n">
        <f aca="false">SUM(H6:H7)</f>
        <v>-4671747.33521462</v>
      </c>
      <c r="I8" s="21" t="n">
        <f aca="false">SUM(I6:I7)</f>
        <v>5114606.48159138</v>
      </c>
      <c r="J8" s="21" t="n">
        <f aca="false">SUM(J6:J7)</f>
        <v>990366.883559019</v>
      </c>
      <c r="K8" s="21" t="n">
        <f aca="false">SUM(K6:K7)</f>
        <v>-2516815.87160828</v>
      </c>
      <c r="L8" s="21" t="n">
        <f aca="false">SUM(L6:L7)</f>
        <v>-8132184.48056915</v>
      </c>
      <c r="M8" s="21" t="n">
        <f aca="false">SUM(M6:M7)</f>
        <v>17612685.2733305</v>
      </c>
      <c r="N8" s="21"/>
      <c r="O8" s="22" t="n">
        <f aca="false">SUM(O6:O7)</f>
        <v>43739296.4509985</v>
      </c>
    </row>
    <row r="10" customFormat="false" ht="13.5" hidden="false" customHeight="false" outlineLevel="0" collapsed="false"/>
    <row r="11" customFormat="false" ht="12.75" hidden="false" customHeight="false" outlineLevel="0" collapsed="false">
      <c r="A11" s="10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</row>
    <row r="12" customFormat="false" ht="12.75" hidden="false" customHeight="false" outlineLevel="0" collapsed="false">
      <c r="A12" s="13" t="s">
        <v>6</v>
      </c>
      <c r="B12" s="14" t="n">
        <v>2355424.31370352</v>
      </c>
      <c r="C12" s="14" t="n">
        <v>6237803.58149793</v>
      </c>
      <c r="D12" s="14" t="n">
        <v>2877353.73500202</v>
      </c>
      <c r="E12" s="14" t="n">
        <v>1526752.29481687</v>
      </c>
      <c r="F12" s="14" t="n">
        <v>9987140.38045156</v>
      </c>
      <c r="G12" s="14" t="n">
        <v>-1350811.56960818</v>
      </c>
      <c r="H12" s="14" t="n">
        <v>-7219437.51499303</v>
      </c>
      <c r="I12" s="14" t="n">
        <v>4239225.00131895</v>
      </c>
      <c r="J12" s="14" t="n">
        <v>-2582775.94772214</v>
      </c>
      <c r="K12" s="14" t="n">
        <v>-3204404.19971521</v>
      </c>
      <c r="L12" s="14" t="n">
        <v>-10696202.3384384</v>
      </c>
      <c r="M12" s="14" t="n">
        <v>11052148.1790768</v>
      </c>
      <c r="N12" s="15"/>
      <c r="O12" s="16" t="n">
        <v>13222215.9153907</v>
      </c>
    </row>
    <row r="13" customFormat="false" ht="12.75" hidden="false" customHeight="false" outlineLevel="0" collapsed="false">
      <c r="A13" s="17" t="s">
        <v>7</v>
      </c>
      <c r="B13" s="18" t="n">
        <v>-2117923.44628906</v>
      </c>
      <c r="C13" s="18" t="n">
        <v>1892104.45456687</v>
      </c>
      <c r="D13" s="18" t="n">
        <v>2406637.02339387</v>
      </c>
      <c r="E13" s="18" t="n">
        <v>2721312.58661673</v>
      </c>
      <c r="F13" s="18" t="n">
        <v>3758853.20841724</v>
      </c>
      <c r="G13" s="18" t="n">
        <v>1629502.45912455</v>
      </c>
      <c r="H13" s="18" t="n">
        <v>1907272.38146495</v>
      </c>
      <c r="I13" s="18" t="n">
        <v>868873.385592291</v>
      </c>
      <c r="J13" s="18" t="n">
        <v>3620730.44826768</v>
      </c>
      <c r="K13" s="18" t="n">
        <v>693071.090974186</v>
      </c>
      <c r="L13" s="18" t="n">
        <v>2562997.85786926</v>
      </c>
      <c r="M13" s="18" t="n">
        <v>2879575.6190892</v>
      </c>
      <c r="N13" s="18"/>
      <c r="O13" s="19" t="n">
        <v>22823007.0690878</v>
      </c>
    </row>
    <row r="14" customFormat="false" ht="13.5" hidden="false" customHeight="false" outlineLevel="0" collapsed="false">
      <c r="A14" s="20" t="s">
        <v>1</v>
      </c>
      <c r="B14" s="21" t="n">
        <f aca="false">SUM(B12:B13)</f>
        <v>237500.867414459</v>
      </c>
      <c r="C14" s="21" t="n">
        <f aca="false">SUM(C12:C13)</f>
        <v>8129908.0360648</v>
      </c>
      <c r="D14" s="21" t="n">
        <f aca="false">SUM(D12:D13)</f>
        <v>5283990.75839589</v>
      </c>
      <c r="E14" s="21" t="n">
        <f aca="false">SUM(E12:E13)</f>
        <v>4248064.8814336</v>
      </c>
      <c r="F14" s="21" t="n">
        <f aca="false">SUM(F12:F13)</f>
        <v>13745993.5888688</v>
      </c>
      <c r="G14" s="21" t="n">
        <f aca="false">SUM(G12:G13)</f>
        <v>278690.889516366</v>
      </c>
      <c r="H14" s="21" t="n">
        <f aca="false">SUM(H12:H13)</f>
        <v>-5312165.13352808</v>
      </c>
      <c r="I14" s="21" t="n">
        <f aca="false">SUM(I12:I13)</f>
        <v>5108098.38691124</v>
      </c>
      <c r="J14" s="21" t="n">
        <f aca="false">SUM(J12:J13)</f>
        <v>1037954.50054554</v>
      </c>
      <c r="K14" s="21" t="n">
        <f aca="false">SUM(K12:K13)</f>
        <v>-2511333.10874103</v>
      </c>
      <c r="L14" s="21" t="n">
        <f aca="false">SUM(L12:L13)</f>
        <v>-8133204.48056915</v>
      </c>
      <c r="M14" s="21" t="n">
        <f aca="false">SUM(M12:M13)</f>
        <v>13931723.798166</v>
      </c>
      <c r="N14" s="21"/>
      <c r="O14" s="22" t="n">
        <f aca="false">SUM(O12:O13)</f>
        <v>36045222.9844784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10" t="s">
        <v>8</v>
      </c>
      <c r="B17" s="2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</row>
    <row r="18" customFormat="false" ht="12.75" hidden="false" customHeight="false" outlineLevel="0" collapsed="false">
      <c r="A18" s="13" t="s">
        <v>9</v>
      </c>
      <c r="B18" s="14" t="n">
        <f aca="false">B6-B12</f>
        <v>1583340.10821684</v>
      </c>
      <c r="C18" s="14" t="n">
        <f aca="false">C6-C12</f>
        <v>1579062.99880799</v>
      </c>
      <c r="D18" s="14" t="n">
        <f aca="false">D6-D12</f>
        <v>956778.834167019</v>
      </c>
      <c r="E18" s="14" t="n">
        <f aca="false">E6-E12</f>
        <v>81144.0000000016</v>
      </c>
      <c r="F18" s="14" t="n">
        <f aca="false">F6-F12</f>
        <v>120.000000001863</v>
      </c>
      <c r="G18" s="14" t="n">
        <f aca="false">G6-G12</f>
        <v>-905.000000000699</v>
      </c>
      <c r="H18" s="14" t="n">
        <f aca="false">H6-H12</f>
        <v>-86503</v>
      </c>
      <c r="I18" s="14" t="n">
        <f aca="false">I6-I12</f>
        <v>-15.9999999962747</v>
      </c>
      <c r="J18" s="14" t="n">
        <f aca="false">J6-J12</f>
        <v>-180.11321644159</v>
      </c>
      <c r="K18" s="14" t="n">
        <f aca="false">K6-K12</f>
        <v>-380.000000000466</v>
      </c>
      <c r="L18" s="14" t="n">
        <f aca="false">L6-L12</f>
        <v>1019.99999999814</v>
      </c>
      <c r="M18" s="14" t="n">
        <f aca="false">M6-M12</f>
        <v>-708796.423102314</v>
      </c>
      <c r="N18" s="14" t="n">
        <f aca="false">N6-N12</f>
        <v>0</v>
      </c>
      <c r="O18" s="16" t="n">
        <f aca="false">O6-O12</f>
        <v>3404685.4048731</v>
      </c>
    </row>
    <row r="19" customFormat="false" ht="12.75" hidden="false" customHeight="false" outlineLevel="0" collapsed="false">
      <c r="A19" s="17" t="s">
        <v>10</v>
      </c>
      <c r="B19" s="18" t="n">
        <f aca="false">B7-B13</f>
        <v>-6688.42788998783</v>
      </c>
      <c r="C19" s="18" t="n">
        <f aca="false">C7-C13</f>
        <v>-2858.8224621471</v>
      </c>
      <c r="D19" s="18" t="n">
        <f aca="false">D7-D13</f>
        <v>19735.2295050877</v>
      </c>
      <c r="E19" s="18" t="n">
        <f aca="false">E7-E13</f>
        <v>-25591.2224936662</v>
      </c>
      <c r="F19" s="18" t="n">
        <f aca="false">F7-F13</f>
        <v>-762141.817769612</v>
      </c>
      <c r="G19" s="18" t="n">
        <f aca="false">G7-G13</f>
        <v>-3759.40186581505</v>
      </c>
      <c r="H19" s="18" t="n">
        <f aca="false">H7-H13</f>
        <v>726920.798313462</v>
      </c>
      <c r="I19" s="18" t="n">
        <f aca="false">I7-I13</f>
        <v>6524.0946801398</v>
      </c>
      <c r="J19" s="18" t="n">
        <f aca="false">J7-J13</f>
        <v>-47407.5037700771</v>
      </c>
      <c r="K19" s="18" t="n">
        <f aca="false">K7-K13</f>
        <v>-5102.7628672492</v>
      </c>
      <c r="L19" s="18" t="n">
        <f aca="false">L7-L13</f>
        <v>0</v>
      </c>
      <c r="M19" s="18" t="n">
        <f aca="false">M7-M13</f>
        <v>4389757.89826688</v>
      </c>
      <c r="N19" s="18" t="n">
        <f aca="false">N7-N13</f>
        <v>0</v>
      </c>
      <c r="O19" s="19" t="n">
        <f aca="false">O7-O13</f>
        <v>4289388.06164701</v>
      </c>
    </row>
    <row r="20" customFormat="false" ht="13.5" hidden="false" customHeight="false" outlineLevel="0" collapsed="false">
      <c r="A20" s="20" t="s">
        <v>1</v>
      </c>
      <c r="B20" s="24" t="n">
        <f aca="false">B8-B14</f>
        <v>1576651.68032685</v>
      </c>
      <c r="C20" s="24" t="n">
        <f aca="false">C8-C14</f>
        <v>1576204.17634584</v>
      </c>
      <c r="D20" s="24" t="n">
        <f aca="false">D8-D14</f>
        <v>976514.063672107</v>
      </c>
      <c r="E20" s="24" t="n">
        <f aca="false">E8-E14</f>
        <v>55552.7775063347</v>
      </c>
      <c r="F20" s="24" t="n">
        <f aca="false">F8-F14</f>
        <v>-762021.817769609</v>
      </c>
      <c r="G20" s="24" t="n">
        <f aca="false">G8-G14</f>
        <v>-4664.40186581574</v>
      </c>
      <c r="H20" s="24" t="n">
        <f aca="false">H8-H14</f>
        <v>640417.798313462</v>
      </c>
      <c r="I20" s="24" t="n">
        <f aca="false">I8-I14</f>
        <v>6508.09468014352</v>
      </c>
      <c r="J20" s="24" t="n">
        <f aca="false">J8-J14</f>
        <v>-47587.6169865187</v>
      </c>
      <c r="K20" s="24" t="n">
        <f aca="false">K8-K14</f>
        <v>-5482.76286725001</v>
      </c>
      <c r="L20" s="24" t="n">
        <f aca="false">L8-L14</f>
        <v>1019.99999999814</v>
      </c>
      <c r="M20" s="24" t="n">
        <f aca="false">M8-M14</f>
        <v>3680961.47516456</v>
      </c>
      <c r="N20" s="24" t="n">
        <f aca="false">N8-N14</f>
        <v>0</v>
      </c>
      <c r="O20" s="25" t="n">
        <f aca="false">O8-O14</f>
        <v>7694073.46652011</v>
      </c>
    </row>
    <row r="23" customFormat="false" ht="12.75" hidden="false" customHeight="false" outlineLevel="0" collapsed="false">
      <c r="A23" s="26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13.41"/>
    <col collapsed="false" customWidth="true" hidden="false" outlineLevel="0" max="5" min="3" style="0" width="12.85"/>
    <col collapsed="false" customWidth="true" hidden="false" outlineLevel="0" max="6" min="6" style="0" width="14.99"/>
    <col collapsed="false" customWidth="true" hidden="false" outlineLevel="0" max="8" min="7" style="0" width="13.41"/>
    <col collapsed="false" customWidth="true" hidden="false" outlineLevel="0" max="9" min="9" style="0" width="12.85"/>
    <col collapsed="false" customWidth="true" hidden="false" outlineLevel="0" max="11" min="10" style="0" width="13.41"/>
    <col collapsed="false" customWidth="true" hidden="false" outlineLevel="0" max="12" min="12" style="0" width="14.41"/>
    <col collapsed="false" customWidth="true" hidden="false" outlineLevel="0" max="13" min="13" style="0" width="13.85"/>
    <col collapsed="false" customWidth="true" hidden="false" outlineLevel="0" max="14" min="14" style="0" width="2.13"/>
    <col collapsed="false" customWidth="true" hidden="false" outlineLevel="0" max="15" min="15" style="0" width="13.85"/>
    <col collapsed="false" customWidth="true" hidden="false" outlineLevel="0" max="16" min="16" style="0" width="11.7"/>
  </cols>
  <sheetData>
    <row r="1" customFormat="false" ht="15.75" hidden="false" customHeight="false" outlineLevel="0" collapsed="false">
      <c r="A1" s="27" t="s">
        <v>12</v>
      </c>
      <c r="N1" s="15"/>
    </row>
    <row r="2" customFormat="false" ht="16.5" hidden="false" customHeight="false" outlineLevel="0" collapsed="false">
      <c r="A2" s="27"/>
      <c r="N2" s="15"/>
    </row>
    <row r="3" customFormat="false" ht="16.5" hidden="false" customHeight="false" outlineLevel="0" collapsed="false">
      <c r="A3" s="28" t="s">
        <v>13</v>
      </c>
      <c r="B3" s="29" t="n">
        <v>1.45106806451613</v>
      </c>
      <c r="C3" s="29" t="n">
        <v>1.44930689655172</v>
      </c>
      <c r="D3" s="29" t="n">
        <v>1.46068064516129</v>
      </c>
      <c r="E3" s="29" t="n">
        <v>1.46774861751152</v>
      </c>
      <c r="F3" s="29" t="n">
        <v>1.49431935483871</v>
      </c>
      <c r="G3" s="29" t="n">
        <v>1.47608666666667</v>
      </c>
      <c r="H3" s="29" t="n">
        <v>1.47781612903226</v>
      </c>
      <c r="I3" s="29" t="n">
        <v>1.48224677419355</v>
      </c>
      <c r="J3" s="29" t="n">
        <v>1.48332068965517</v>
      </c>
      <c r="K3" s="29" t="n">
        <v>1.51079421579533</v>
      </c>
      <c r="L3" s="30" t="n">
        <v>1.54147222222222</v>
      </c>
      <c r="M3" s="31"/>
      <c r="N3" s="15"/>
    </row>
    <row r="4" customFormat="false" ht="13.5" hidden="false" customHeight="false" outlineLevel="0" collapsed="false">
      <c r="L4" s="32" t="s">
        <v>14</v>
      </c>
      <c r="M4" s="32"/>
      <c r="N4" s="15"/>
    </row>
    <row r="5" customFormat="false" ht="12.75" hidden="false" customHeight="false" outlineLevel="0" collapsed="false">
      <c r="B5" s="1"/>
      <c r="C5" s="2"/>
      <c r="D5" s="2"/>
      <c r="E5" s="2"/>
      <c r="F5" s="2"/>
      <c r="G5" s="2"/>
      <c r="H5" s="2"/>
      <c r="I5" s="2"/>
      <c r="J5" s="2"/>
      <c r="K5" s="3"/>
      <c r="L5" s="3" t="s">
        <v>0</v>
      </c>
      <c r="M5" s="3"/>
      <c r="N5" s="2"/>
      <c r="O5" s="4"/>
    </row>
    <row r="6" customFormat="false" ht="13.5" hidden="false" customHeight="false" outlineLevel="0" collapsed="false">
      <c r="B6" s="5" t="n">
        <v>36526</v>
      </c>
      <c r="C6" s="6" t="n">
        <v>36557</v>
      </c>
      <c r="D6" s="6" t="n">
        <v>36586</v>
      </c>
      <c r="E6" s="6" t="n">
        <v>36617</v>
      </c>
      <c r="F6" s="6" t="n">
        <v>36647</v>
      </c>
      <c r="G6" s="6" t="n">
        <v>36678</v>
      </c>
      <c r="H6" s="6" t="n">
        <v>36708</v>
      </c>
      <c r="I6" s="6" t="n">
        <v>36739</v>
      </c>
      <c r="J6" s="6" t="n">
        <v>36770</v>
      </c>
      <c r="K6" s="6" t="n">
        <v>36800</v>
      </c>
      <c r="L6" s="6" t="n">
        <v>36831</v>
      </c>
      <c r="M6" s="6" t="n">
        <v>36861</v>
      </c>
      <c r="N6" s="7"/>
      <c r="O6" s="8" t="s">
        <v>1</v>
      </c>
    </row>
    <row r="7" customFormat="false" ht="13.5" hidden="false" customHeight="false" outlineLevel="0" collapsed="false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  <c r="O7" s="33"/>
    </row>
    <row r="8" customFormat="false" ht="12.75" hidden="false" customHeight="false" outlineLevel="0" collapsed="false">
      <c r="A8" s="35" t="s">
        <v>15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customFormat="false" ht="12.75" hidden="false" customHeight="false" outlineLevel="0" collapsed="false">
      <c r="A9" s="13" t="s">
        <v>6</v>
      </c>
      <c r="B9" s="38" t="n">
        <f aca="false">+'SUM-USD'!B26</f>
        <v>2355424.31370352</v>
      </c>
      <c r="C9" s="38" t="n">
        <f aca="false">+'SUM-USD'!C26</f>
        <v>6237803.58149793</v>
      </c>
      <c r="D9" s="38" t="n">
        <f aca="false">+'SUM-USD'!D26</f>
        <v>2877353.73500202</v>
      </c>
      <c r="E9" s="38" t="n">
        <f aca="false">+'SUM-USD'!E26</f>
        <v>1526752.29481687</v>
      </c>
      <c r="F9" s="38" t="n">
        <f aca="false">+'SUM-USD'!F26</f>
        <v>9987140.38045156</v>
      </c>
      <c r="G9" s="38" t="n">
        <f aca="false">+'SUM-USD'!G26</f>
        <v>-1350811.56960818</v>
      </c>
      <c r="H9" s="38" t="n">
        <f aca="false">+'SUM-USD'!H26</f>
        <v>-7219437.51499303</v>
      </c>
      <c r="I9" s="38" t="n">
        <f aca="false">+'SUM-USD'!I26</f>
        <v>4239225.00131895</v>
      </c>
      <c r="J9" s="38" t="n">
        <f aca="false">+'SUM-USD'!J26</f>
        <v>-2582775.94772214</v>
      </c>
      <c r="K9" s="38" t="n">
        <f aca="false">+'SUM-USD'!K26</f>
        <v>-3204404.19971521</v>
      </c>
      <c r="L9" s="38" t="n">
        <f aca="false">+'SUM-USD'!L26</f>
        <v>-10696202.3384384</v>
      </c>
      <c r="M9" s="38"/>
      <c r="N9" s="34"/>
      <c r="O9" s="39" t="n">
        <f aca="false">SUM(B9:N9)</f>
        <v>2170067.73631387</v>
      </c>
    </row>
    <row r="10" customFormat="false" ht="12.75" hidden="false" customHeight="false" outlineLevel="0" collapsed="false">
      <c r="A10" s="13" t="s">
        <v>7</v>
      </c>
      <c r="B10" s="38" t="n">
        <f aca="false">+'SUM-USD'!B28</f>
        <v>-2117923.44628906</v>
      </c>
      <c r="C10" s="38" t="n">
        <f aca="false">+'SUM-USD'!C28</f>
        <v>1892104.45456687</v>
      </c>
      <c r="D10" s="38" t="n">
        <f aca="false">+'SUM-USD'!D28</f>
        <v>2406637.02339387</v>
      </c>
      <c r="E10" s="38" t="n">
        <f aca="false">+'SUM-USD'!E28</f>
        <v>2721312.58661673</v>
      </c>
      <c r="F10" s="38" t="n">
        <f aca="false">+'SUM-USD'!F28</f>
        <v>3758853.20841724</v>
      </c>
      <c r="G10" s="38" t="n">
        <f aca="false">+'SUM-USD'!G28</f>
        <v>1629502.45912455</v>
      </c>
      <c r="H10" s="38" t="n">
        <f aca="false">+'SUM-USD'!H28</f>
        <v>1907272.38146495</v>
      </c>
      <c r="I10" s="38" t="n">
        <f aca="false">+'SUM-USD'!I28</f>
        <v>868873.385592291</v>
      </c>
      <c r="J10" s="38" t="n">
        <f aca="false">+'SUM-USD'!J28</f>
        <v>3620730.44826768</v>
      </c>
      <c r="K10" s="38" t="n">
        <f aca="false">+'SUM-USD'!K28</f>
        <v>693071.090974186</v>
      </c>
      <c r="L10" s="38" t="n">
        <f aca="false">+'SUM-USD'!L28</f>
        <v>2562997.85786926</v>
      </c>
      <c r="M10" s="38"/>
      <c r="N10" s="34"/>
      <c r="O10" s="39" t="n">
        <f aca="false">SUM(B10:N10)</f>
        <v>19943431.4499986</v>
      </c>
    </row>
    <row r="11" customFormat="false" ht="13.5" hidden="false" customHeight="false" outlineLevel="0" collapsed="false">
      <c r="A11" s="40" t="s">
        <v>16</v>
      </c>
      <c r="B11" s="41" t="n">
        <f aca="false">SUM(B9:B10)</f>
        <v>237500.867414459</v>
      </c>
      <c r="C11" s="41" t="n">
        <f aca="false">SUM(C9:C10)</f>
        <v>8129908.0360648</v>
      </c>
      <c r="D11" s="41" t="n">
        <f aca="false">SUM(D9:D10)</f>
        <v>5283990.75839589</v>
      </c>
      <c r="E11" s="41" t="n">
        <f aca="false">SUM(E9:E10)</f>
        <v>4248064.8814336</v>
      </c>
      <c r="F11" s="41" t="n">
        <f aca="false">SUM(F9:F10)</f>
        <v>13745993.5888688</v>
      </c>
      <c r="G11" s="41" t="n">
        <f aca="false">SUM(G9:G10)</f>
        <v>278690.889516366</v>
      </c>
      <c r="H11" s="41" t="n">
        <f aca="false">SUM(H9:H10)</f>
        <v>-5312165.13352808</v>
      </c>
      <c r="I11" s="41" t="n">
        <f aca="false">SUM(I9:I10)</f>
        <v>5108098.38691124</v>
      </c>
      <c r="J11" s="41" t="n">
        <f aca="false">SUM(J9:J10)</f>
        <v>1037954.50054554</v>
      </c>
      <c r="K11" s="41" t="n">
        <f aca="false">SUM(K9:K10)</f>
        <v>-2511333.10874103</v>
      </c>
      <c r="L11" s="41" t="n">
        <f aca="false">SUM(L9:L10)</f>
        <v>-8133204.48056915</v>
      </c>
      <c r="M11" s="42"/>
      <c r="N11" s="42"/>
      <c r="O11" s="43" t="n">
        <f aca="false">SUM(O9:O10)</f>
        <v>22113499.1863124</v>
      </c>
      <c r="P11" s="44"/>
    </row>
    <row r="13" customFormat="false" ht="12.75" hidden="false" customHeight="false" outlineLevel="0" collapsed="false">
      <c r="A13" s="0" t="s">
        <v>17</v>
      </c>
      <c r="B13" s="38" t="n">
        <f aca="false">2191*1000</f>
        <v>2191000</v>
      </c>
      <c r="C13" s="38" t="n">
        <f aca="false">9084*1000</f>
        <v>9084000</v>
      </c>
      <c r="D13" s="38" t="n">
        <f aca="false">6261*1000</f>
        <v>6261000</v>
      </c>
      <c r="E13" s="38" t="n">
        <f aca="false">4304*1000</f>
        <v>4304000</v>
      </c>
      <c r="F13" s="38" t="n">
        <f aca="false">12984*1000</f>
        <v>12984000</v>
      </c>
      <c r="G13" s="38" t="n">
        <f aca="false">274*1000</f>
        <v>274000</v>
      </c>
      <c r="H13" s="38" t="n">
        <f aca="false">-4672*1000</f>
        <v>-4672000</v>
      </c>
      <c r="I13" s="38" t="n">
        <f aca="false">5115*1000</f>
        <v>5115000</v>
      </c>
      <c r="J13" s="38" t="n">
        <f aca="false">990*1000</f>
        <v>990000</v>
      </c>
      <c r="K13" s="38" t="n">
        <f aca="false">-2517*1000</f>
        <v>-2517000</v>
      </c>
      <c r="L13" s="38" t="n">
        <f aca="false">-6708*1000</f>
        <v>-6708000</v>
      </c>
      <c r="M13" s="38"/>
      <c r="O13" s="38" t="n">
        <f aca="false">SUM(B13:N13)</f>
        <v>27306000</v>
      </c>
      <c r="P13" s="44"/>
    </row>
    <row r="14" customFormat="false" ht="12.75" hidden="false" customHeight="false" outlineLevel="0" collapsed="false">
      <c r="A14" s="0" t="s">
        <v>18</v>
      </c>
      <c r="B14" s="45" t="n">
        <f aca="false">+B11-B13</f>
        <v>-1953499.13258554</v>
      </c>
      <c r="C14" s="45" t="n">
        <f aca="false">+C11-C13</f>
        <v>-954091.963935201</v>
      </c>
      <c r="D14" s="45" t="n">
        <f aca="false">+D11-D13</f>
        <v>-977009.241604107</v>
      </c>
      <c r="E14" s="45" t="n">
        <f aca="false">+E11-E13</f>
        <v>-55935.118566405</v>
      </c>
      <c r="F14" s="45" t="n">
        <f aca="false">+F11-F13</f>
        <v>761993.588868801</v>
      </c>
      <c r="G14" s="45" t="n">
        <f aca="false">+G11-G13</f>
        <v>4690.88951636595</v>
      </c>
      <c r="H14" s="45" t="n">
        <f aca="false">+H11-H13</f>
        <v>-640165.133528082</v>
      </c>
      <c r="I14" s="45" t="n">
        <f aca="false">+I11-I13</f>
        <v>-6901.61308876239</v>
      </c>
      <c r="J14" s="45" t="n">
        <f aca="false">+J11-J13</f>
        <v>47954.5005455376</v>
      </c>
      <c r="K14" s="45" t="n">
        <f aca="false">+K11-K13</f>
        <v>5666.89125897363</v>
      </c>
      <c r="L14" s="45" t="n">
        <f aca="false">+L11-L13</f>
        <v>-1425204.48056915</v>
      </c>
      <c r="M14" s="38"/>
      <c r="O14" s="45" t="n">
        <f aca="false">+O11-O13</f>
        <v>-5192500.81368757</v>
      </c>
      <c r="P14" s="44"/>
    </row>
    <row r="15" customFormat="false" ht="12.75" hidden="false" customHeight="false" outlineLevel="0" collapsed="false">
      <c r="F15" s="46" t="s">
        <v>19</v>
      </c>
    </row>
    <row r="17" customFormat="false" ht="12.75" hidden="false" customHeight="false" outlineLevel="0" collapsed="false">
      <c r="A17" s="0" t="n">
        <v>1000</v>
      </c>
      <c r="B17" s="9" t="n">
        <v>3938.76442192036</v>
      </c>
      <c r="C17" s="9" t="n">
        <v>7816.86658030592</v>
      </c>
      <c r="D17" s="9" t="n">
        <v>3834.13256916904</v>
      </c>
      <c r="E17" s="9" t="n">
        <v>1607.89629481687</v>
      </c>
      <c r="F17" s="9" t="n">
        <v>9987.26038045156</v>
      </c>
      <c r="G17" s="9" t="n">
        <f aca="false">-1351.71656960818</f>
        <v>-1351.71656960818</v>
      </c>
      <c r="H17" s="9" t="n">
        <f aca="false">-7305.94051499303</f>
        <v>-7305.94051499303</v>
      </c>
      <c r="I17" s="9" t="n">
        <v>4239.20900131895</v>
      </c>
      <c r="J17" s="9" t="n">
        <v>-2582.95606093858</v>
      </c>
      <c r="K17" s="9" t="n">
        <v>-3204.78419971521</v>
      </c>
      <c r="L17" s="9" t="n">
        <v>-10695.1823384384</v>
      </c>
      <c r="M17" s="9" t="n">
        <v>10343.3517559745</v>
      </c>
    </row>
    <row r="18" customFormat="false" ht="12.75" hidden="false" customHeight="false" outlineLevel="0" collapsed="false">
      <c r="B18" s="9" t="n">
        <f aca="false">-2124.61187417905</f>
        <v>-2124.61187417905</v>
      </c>
      <c r="C18" s="9" t="n">
        <v>1889.24563210472</v>
      </c>
      <c r="D18" s="9" t="n">
        <v>2426.37225289896</v>
      </c>
      <c r="E18" s="9" t="n">
        <v>2695.72136412306</v>
      </c>
      <c r="F18" s="9" t="n">
        <v>2996.71139064763</v>
      </c>
      <c r="G18" s="9" t="n">
        <v>1625.74305725873</v>
      </c>
      <c r="H18" s="9" t="n">
        <v>2634.19317977841</v>
      </c>
      <c r="I18" s="9" t="n">
        <v>875.397480272431</v>
      </c>
      <c r="J18" s="9" t="n">
        <v>3573.3229444976</v>
      </c>
      <c r="K18" s="9" t="n">
        <v>687.968328106937</v>
      </c>
      <c r="L18" s="9" t="n">
        <v>2562.99785786926</v>
      </c>
      <c r="M18" s="9" t="n">
        <v>7269.33351735608</v>
      </c>
    </row>
    <row r="19" customFormat="false" ht="21.75" hidden="false" customHeight="true" outlineLevel="0" collapsed="false"/>
    <row r="20" customFormat="false" ht="12.75" hidden="false" customHeight="false" outlineLevel="0" collapsed="false">
      <c r="A20" s="0" t="s">
        <v>3</v>
      </c>
      <c r="B20" s="47" t="n">
        <f aca="false">B17*$A$17</f>
        <v>3938764.42192036</v>
      </c>
      <c r="C20" s="47" t="n">
        <f aca="false">C17*$A$17</f>
        <v>7816866.58030592</v>
      </c>
      <c r="D20" s="47" t="n">
        <f aca="false">D17*$A$17</f>
        <v>3834132.56916904</v>
      </c>
      <c r="E20" s="47" t="n">
        <f aca="false">E17*$A$17</f>
        <v>1607896.29481687</v>
      </c>
      <c r="F20" s="47" t="n">
        <f aca="false">F17*$A$17</f>
        <v>9987260.38045156</v>
      </c>
      <c r="G20" s="47" t="n">
        <f aca="false">G17*$A$17</f>
        <v>-1351716.56960818</v>
      </c>
      <c r="H20" s="47" t="n">
        <f aca="false">H17*$A$17</f>
        <v>-7305940.51499303</v>
      </c>
      <c r="I20" s="47" t="n">
        <f aca="false">I17*$A$17</f>
        <v>4239209.00131895</v>
      </c>
      <c r="J20" s="47" t="n">
        <f aca="false">J17*$A$17</f>
        <v>-2582956.06093858</v>
      </c>
      <c r="K20" s="47" t="n">
        <f aca="false">K17*$A$17</f>
        <v>-3204784.19971521</v>
      </c>
      <c r="L20" s="47" t="n">
        <f aca="false">L17*$A$17</f>
        <v>-10695182.3384384</v>
      </c>
      <c r="M20" s="47" t="n">
        <f aca="false">M17*$A$17</f>
        <v>10343351.7559745</v>
      </c>
      <c r="O20" s="47" t="n">
        <f aca="false">SUM(B20:M20)</f>
        <v>16626901.3202637</v>
      </c>
    </row>
    <row r="21" customFormat="false" ht="12.75" hidden="false" customHeight="false" outlineLevel="0" collapsed="false">
      <c r="A21" s="0" t="s">
        <v>4</v>
      </c>
      <c r="B21" s="47" t="n">
        <f aca="false">B18*$A$17</f>
        <v>-2124611.87417905</v>
      </c>
      <c r="C21" s="47" t="n">
        <f aca="false">C18*$A$17</f>
        <v>1889245.63210472</v>
      </c>
      <c r="D21" s="47" t="n">
        <f aca="false">D18*$A$17</f>
        <v>2426372.25289896</v>
      </c>
      <c r="E21" s="47" t="n">
        <f aca="false">E18*$A$17</f>
        <v>2695721.36412306</v>
      </c>
      <c r="F21" s="47" t="n">
        <f aca="false">F18*$A$17</f>
        <v>2996711.39064763</v>
      </c>
      <c r="G21" s="47" t="n">
        <f aca="false">G18*$A$17</f>
        <v>1625743.05725873</v>
      </c>
      <c r="H21" s="47" t="n">
        <f aca="false">H18*$A$17</f>
        <v>2634193.17977841</v>
      </c>
      <c r="I21" s="47" t="n">
        <f aca="false">I18*$A$17</f>
        <v>875397.480272431</v>
      </c>
      <c r="J21" s="47" t="n">
        <f aca="false">J18*$A$17</f>
        <v>3573322.9444976</v>
      </c>
      <c r="K21" s="47" t="n">
        <f aca="false">K18*$A$17</f>
        <v>687968.328106937</v>
      </c>
      <c r="L21" s="47" t="n">
        <f aca="false">L18*$A$17</f>
        <v>2562997.85786926</v>
      </c>
      <c r="M21" s="47" t="n">
        <f aca="false">M18*$A$17</f>
        <v>7269333.51735608</v>
      </c>
      <c r="O21" s="47" t="n">
        <f aca="false">SUM(B21:M21)</f>
        <v>27112395.1307348</v>
      </c>
    </row>
    <row r="22" customFormat="false" ht="13.5" hidden="false" customHeight="false" outlineLevel="0" collapsed="false">
      <c r="A22" s="0" t="s">
        <v>1</v>
      </c>
      <c r="B22" s="48" t="n">
        <f aca="false">SUM(B20:B21)</f>
        <v>1814152.54774131</v>
      </c>
      <c r="C22" s="48" t="n">
        <f aca="false">SUM(C20:C21)</f>
        <v>9706112.21241064</v>
      </c>
      <c r="D22" s="48" t="n">
        <f aca="false">SUM(D20:D21)</f>
        <v>6260504.822068</v>
      </c>
      <c r="E22" s="48" t="n">
        <f aca="false">SUM(E20:E21)</f>
        <v>4303617.65893993</v>
      </c>
      <c r="F22" s="48" t="n">
        <f aca="false">SUM(F20:F21)</f>
        <v>12983971.7710992</v>
      </c>
      <c r="G22" s="48" t="n">
        <f aca="false">SUM(G20:G21)</f>
        <v>274026.48765055</v>
      </c>
      <c r="H22" s="48" t="n">
        <f aca="false">SUM(H20:H21)</f>
        <v>-4671747.33521462</v>
      </c>
      <c r="I22" s="48" t="n">
        <f aca="false">SUM(I20:I21)</f>
        <v>5114606.48159138</v>
      </c>
      <c r="J22" s="48" t="n">
        <f aca="false">SUM(J20:J21)</f>
        <v>990366.883559019</v>
      </c>
      <c r="K22" s="48" t="n">
        <f aca="false">SUM(K20:K21)</f>
        <v>-2516815.87160828</v>
      </c>
      <c r="L22" s="48" t="n">
        <f aca="false">SUM(L20:L21)</f>
        <v>-8132184.48056915</v>
      </c>
      <c r="M22" s="48" t="n">
        <f aca="false">SUM(M20:M21)</f>
        <v>17612685.2733305</v>
      </c>
      <c r="N22" s="48" t="n">
        <f aca="false">SUM(N20:N21)</f>
        <v>0</v>
      </c>
      <c r="O22" s="48" t="n">
        <f aca="false">SUM(O20:O21)</f>
        <v>43739296.4509985</v>
      </c>
    </row>
    <row r="2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8" activeCellId="0" sqref="A28:IV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0.28"/>
    <col collapsed="false" customWidth="true" hidden="false" outlineLevel="0" max="3" min="3" style="0" width="9.85"/>
    <col collapsed="false" customWidth="true" hidden="false" outlineLevel="0" max="5" min="4" style="0" width="9.56"/>
    <col collapsed="false" customWidth="true" hidden="false" outlineLevel="0" max="6" min="6" style="0" width="9.85"/>
    <col collapsed="false" customWidth="true" hidden="false" outlineLevel="0" max="7" min="7" style="0" width="9.56"/>
    <col collapsed="false" customWidth="true" hidden="false" outlineLevel="0" max="8" min="8" style="0" width="10.41"/>
    <col collapsed="false" customWidth="true" hidden="false" outlineLevel="0" max="9" min="9" style="0" width="9.56"/>
    <col collapsed="false" customWidth="true" hidden="false" outlineLevel="0" max="13" min="10" style="0" width="10.13"/>
    <col collapsed="false" customWidth="true" hidden="false" outlineLevel="0" max="14" min="14" style="15" width="0.99"/>
    <col collapsed="false" customWidth="true" hidden="false" outlineLevel="0" max="15" min="15" style="0" width="10.71"/>
    <col collapsed="false" customWidth="true" hidden="false" outlineLevel="0" max="16" min="16" style="0" width="1.7"/>
    <col collapsed="false" customWidth="true" hidden="false" outlineLevel="0" max="17" min="17" style="0" width="9.85"/>
    <col collapsed="false" customWidth="true" hidden="false" outlineLevel="0" max="18" min="18" style="0" width="10.28"/>
    <col collapsed="false" customWidth="true" hidden="false" outlineLevel="0" max="19" min="19" style="0" width="11.13"/>
    <col collapsed="false" customWidth="true" hidden="false" outlineLevel="0" max="20" min="20" style="0" width="10.99"/>
    <col collapsed="false" customWidth="true" hidden="false" outlineLevel="0" max="21" min="21" style="0" width="1.99"/>
    <col collapsed="false" customWidth="true" hidden="false" outlineLevel="0" max="22" min="22" style="0" width="9.85"/>
  </cols>
  <sheetData>
    <row r="1" customFormat="false" ht="15.75" hidden="false" customHeight="false" outlineLevel="0" collapsed="false">
      <c r="A1" s="27" t="s">
        <v>20</v>
      </c>
    </row>
    <row r="2" customFormat="false" ht="16.5" hidden="false" customHeight="false" outlineLevel="0" collapsed="false">
      <c r="A2" s="27"/>
    </row>
    <row r="3" customFormat="false" ht="16.5" hidden="false" customHeight="false" outlineLevel="0" collapsed="false">
      <c r="A3" s="28" t="s">
        <v>13</v>
      </c>
      <c r="B3" s="29" t="n">
        <f aca="false">+'[1]Spot Rates'!$F$36</f>
        <v>1.45106806451613</v>
      </c>
      <c r="C3" s="29" t="n">
        <f aca="false">+'[2]Spot Rates'!$F$36</f>
        <v>1.44930689655172</v>
      </c>
      <c r="D3" s="29" t="n">
        <f aca="false">+'[3]Spot Rates'!$F$36</f>
        <v>1.46068064516129</v>
      </c>
      <c r="E3" s="29" t="n">
        <f aca="false">+[4]SpotRates!$F$36</f>
        <v>1.46774861751152</v>
      </c>
      <c r="F3" s="29" t="n">
        <f aca="false">+[5]SpotRates!$F$36</f>
        <v>1.49431935483871</v>
      </c>
      <c r="G3" s="29" t="n">
        <f aca="false">+[6]SpotRates!$F$36</f>
        <v>1.47608666666667</v>
      </c>
      <c r="H3" s="29" t="n">
        <f aca="false">+[7]SpotRates!$F$36</f>
        <v>1.47781612903226</v>
      </c>
      <c r="I3" s="29" t="n">
        <f aca="false">+[8]SpotRates!$F$36</f>
        <v>1.48224677419355</v>
      </c>
      <c r="J3" s="29" t="n">
        <f aca="false">+[9]SpotRates!$F$36</f>
        <v>1.48332068965517</v>
      </c>
      <c r="K3" s="29" t="n">
        <f aca="false">+[10]SpotRates!$F$36</f>
        <v>1.51079421579533</v>
      </c>
      <c r="L3" s="29" t="n">
        <f aca="false">+[11]SpotRates!$F$36</f>
        <v>1.54291</v>
      </c>
      <c r="M3" s="30" t="n">
        <f aca="false">+[12]SpotRates!$F$36</f>
        <v>1.53964285714286</v>
      </c>
    </row>
    <row r="4" customFormat="false" ht="13.5" hidden="false" customHeight="false" outlineLevel="0" collapsed="false">
      <c r="L4" s="32"/>
      <c r="M4" s="32" t="str">
        <f aca="false">+Summary!M2</f>
        <v>To Dec 6</v>
      </c>
      <c r="O4" s="49" t="n">
        <f aca="false">+Summary!O20/'SUM-USD'!O22</f>
        <v>1.48148895340499</v>
      </c>
    </row>
    <row r="5" customFormat="false" ht="12.75" hidden="false" customHeight="false" outlineLevel="0" collapsed="false">
      <c r="B5" s="1"/>
      <c r="C5" s="2"/>
      <c r="D5" s="2"/>
      <c r="E5" s="2"/>
      <c r="F5" s="2"/>
      <c r="G5" s="2"/>
      <c r="H5" s="2"/>
      <c r="I5" s="2"/>
      <c r="J5" s="2"/>
      <c r="K5" s="3"/>
      <c r="L5" s="3"/>
      <c r="M5" s="3" t="s">
        <v>0</v>
      </c>
      <c r="N5" s="2"/>
      <c r="O5" s="4"/>
      <c r="Q5" s="50"/>
      <c r="R5" s="51"/>
      <c r="S5" s="51"/>
      <c r="T5" s="52" t="s">
        <v>21</v>
      </c>
      <c r="U5" s="51"/>
      <c r="V5" s="53"/>
    </row>
    <row r="6" customFormat="false" ht="13.5" hidden="false" customHeight="false" outlineLevel="0" collapsed="false">
      <c r="B6" s="5" t="n">
        <v>36526</v>
      </c>
      <c r="C6" s="6" t="n">
        <v>36557</v>
      </c>
      <c r="D6" s="6" t="n">
        <v>36586</v>
      </c>
      <c r="E6" s="6" t="n">
        <v>36617</v>
      </c>
      <c r="F6" s="6" t="n">
        <v>36647</v>
      </c>
      <c r="G6" s="6" t="n">
        <v>36678</v>
      </c>
      <c r="H6" s="6" t="n">
        <v>36708</v>
      </c>
      <c r="I6" s="6" t="n">
        <v>36739</v>
      </c>
      <c r="J6" s="6" t="n">
        <v>36770</v>
      </c>
      <c r="K6" s="6" t="n">
        <v>36800</v>
      </c>
      <c r="L6" s="6" t="n">
        <v>36831</v>
      </c>
      <c r="M6" s="6" t="n">
        <v>36861</v>
      </c>
      <c r="N6" s="7"/>
      <c r="O6" s="8" t="s">
        <v>1</v>
      </c>
      <c r="Q6" s="54" t="s">
        <v>22</v>
      </c>
      <c r="R6" s="55" t="s">
        <v>23</v>
      </c>
      <c r="S6" s="55" t="s">
        <v>24</v>
      </c>
      <c r="T6" s="55" t="s">
        <v>25</v>
      </c>
      <c r="U6" s="56"/>
      <c r="V6" s="57" t="s">
        <v>1</v>
      </c>
    </row>
    <row r="7" customFormat="false" ht="12.75" hidden="false" customHeight="false" outlineLevel="0" collapsed="false">
      <c r="A7" s="35" t="s">
        <v>26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  <c r="O7" s="60"/>
      <c r="Q7" s="61" t="str">
        <f aca="false">+A7</f>
        <v>BY BOOK:</v>
      </c>
      <c r="R7" s="62"/>
      <c r="S7" s="62"/>
      <c r="T7" s="62"/>
      <c r="U7" s="59"/>
      <c r="V7" s="60"/>
    </row>
    <row r="8" customFormat="false" ht="12.75" hidden="false" customHeight="false" outlineLevel="0" collapsed="false">
      <c r="A8" s="63" t="s">
        <v>27</v>
      </c>
      <c r="B8" s="64" t="s">
        <v>28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6"/>
      <c r="O8" s="67"/>
      <c r="Q8" s="68"/>
      <c r="R8" s="65"/>
      <c r="S8" s="65"/>
      <c r="T8" s="65"/>
      <c r="U8" s="66"/>
      <c r="V8" s="67"/>
    </row>
    <row r="9" customFormat="false" ht="12.75" hidden="false" customHeight="false" outlineLevel="0" collapsed="false">
      <c r="A9" s="13" t="s">
        <v>29</v>
      </c>
      <c r="B9" s="69" t="n">
        <f aca="false">+Summary!B7/'SUM-USD'!B$3</f>
        <v>3458524.87744845</v>
      </c>
      <c r="C9" s="69" t="n">
        <f aca="false">+Summary!C7/'SUM-USD'!C$3</f>
        <v>5544777.14079738</v>
      </c>
      <c r="D9" s="69" t="n">
        <f aca="false">+Summary!D7/'SUM-USD'!D$3</f>
        <v>2686483.81355577</v>
      </c>
      <c r="E9" s="70" t="n">
        <f aca="false">+Summary!E7/'SUM-USD'!E$3</f>
        <v>469448.624770782</v>
      </c>
      <c r="F9" s="70" t="n">
        <f aca="false">+Summary!F7/'SUM-USD'!F$3</f>
        <v>4631088.49362856</v>
      </c>
      <c r="G9" s="70" t="n">
        <f aca="false">+Summary!G7/'SUM-USD'!G$3</f>
        <v>-1097124.56839326</v>
      </c>
      <c r="H9" s="70" t="n">
        <f aca="false">+Summary!H7/'SUM-USD'!H$3</f>
        <v>-5566310.34172297</v>
      </c>
      <c r="I9" s="71" t="n">
        <f aca="false">+Summary!I7/'SUM-USD'!I$3</f>
        <v>5913482.04353799</v>
      </c>
      <c r="J9" s="71" t="n">
        <f aca="false">+Summary!J7/'SUM-USD'!J$3</f>
        <v>777219.658594533</v>
      </c>
      <c r="K9" s="71" t="n">
        <f aca="false">+Summary!K7/'SUM-USD'!K$3</f>
        <v>-3599230.96947881</v>
      </c>
      <c r="L9" s="71" t="n">
        <f aca="false">+Summary!L7/'SUM-USD'!L$3</f>
        <v>-7518120.95326364</v>
      </c>
      <c r="M9" s="71" t="n">
        <f aca="false">+Summary!M7/'SUM-USD'!M$3</f>
        <v>2503740.38506147</v>
      </c>
      <c r="N9" s="34"/>
      <c r="O9" s="39" t="n">
        <f aca="false">SUM(B9:N9)</f>
        <v>8203978.20453625</v>
      </c>
      <c r="P9" s="44"/>
      <c r="Q9" s="72" t="n">
        <f aca="false">+SUM(B9:D9)</f>
        <v>11689785.8318016</v>
      </c>
      <c r="R9" s="34" t="n">
        <f aca="false">+SUM(E9:G9)</f>
        <v>4003412.55000609</v>
      </c>
      <c r="S9" s="34" t="n">
        <f aca="false">+SUM(H9:J9)</f>
        <v>1124391.36040955</v>
      </c>
      <c r="T9" s="34" t="n">
        <f aca="false">+SUM(K9:M9)</f>
        <v>-8613611.53768098</v>
      </c>
      <c r="U9" s="34"/>
      <c r="V9" s="39" t="n">
        <f aca="false">SUM(Q9:U9)</f>
        <v>8203978.20453624</v>
      </c>
    </row>
    <row r="10" customFormat="false" ht="12.75" hidden="false" customHeight="false" outlineLevel="0" collapsed="false">
      <c r="A10" s="13" t="s">
        <v>30</v>
      </c>
      <c r="B10" s="70" t="n">
        <f aca="false">+Summary!B8/'SUM-USD'!B$3</f>
        <v>-879014.590142834</v>
      </c>
      <c r="C10" s="70" t="n">
        <f aca="false">+Summary!C8/'SUM-USD'!C$3</f>
        <v>8011.41568264497</v>
      </c>
      <c r="D10" s="70" t="n">
        <f aca="false">+Summary!D8/'SUM-USD'!D$3</f>
        <v>902041.116492311</v>
      </c>
      <c r="E10" s="70" t="n">
        <f aca="false">+Summary!E8/'SUM-USD'!E$3</f>
        <v>710888.763614734</v>
      </c>
      <c r="F10" s="34" t="n">
        <f aca="false">+Summary!F8/'SUM-USD'!F$3</f>
        <v>0</v>
      </c>
      <c r="G10" s="34" t="n">
        <f aca="false">+Summary!G8/'SUM-USD'!G$3</f>
        <v>0</v>
      </c>
      <c r="H10" s="34" t="n">
        <f aca="false">+Summary!H8/'SUM-USD'!H$3</f>
        <v>0</v>
      </c>
      <c r="I10" s="34" t="n">
        <f aca="false">+Summary!I8/'SUM-USD'!I$3</f>
        <v>0</v>
      </c>
      <c r="J10" s="34" t="n">
        <f aca="false">+Summary!J8/'SUM-USD'!J$3</f>
        <v>0</v>
      </c>
      <c r="K10" s="70" t="n">
        <f aca="false">+Summary!K8/'SUM-USD'!K$3</f>
        <v>126088.647949793</v>
      </c>
      <c r="L10" s="73" t="n">
        <f aca="false">+Summary!L8/'SUM-USD'!L$3</f>
        <v>-5525759.11751172</v>
      </c>
      <c r="M10" s="73" t="n">
        <f aca="false">+Summary!M8/'SUM-USD'!M$3</f>
        <v>7648004.17536535</v>
      </c>
      <c r="N10" s="34"/>
      <c r="O10" s="39" t="n">
        <f aca="false">SUM(B10:N10)</f>
        <v>2990260.41145028</v>
      </c>
      <c r="P10" s="44"/>
      <c r="Q10" s="72" t="n">
        <f aca="false">+SUM(B10:D10)</f>
        <v>31037.9420321228</v>
      </c>
      <c r="R10" s="34" t="n">
        <f aca="false">+SUM(E10:G10)</f>
        <v>710888.763614734</v>
      </c>
      <c r="S10" s="34" t="n">
        <f aca="false">+SUM(H10:J10)</f>
        <v>0</v>
      </c>
      <c r="T10" s="34" t="n">
        <f aca="false">+SUM(K10:M10)</f>
        <v>2248333.70580342</v>
      </c>
      <c r="U10" s="34"/>
      <c r="V10" s="39" t="n">
        <f aca="false">SUM(Q10:U10)</f>
        <v>2990260.41145028</v>
      </c>
    </row>
    <row r="11" customFormat="false" ht="12.75" hidden="false" customHeight="false" outlineLevel="0" collapsed="false">
      <c r="A11" s="13" t="s">
        <v>31</v>
      </c>
      <c r="B11" s="34" t="n">
        <f aca="false">+Summary!B9/'SUM-USD'!B$3</f>
        <v>0</v>
      </c>
      <c r="C11" s="34" t="n">
        <f aca="false">+Summary!C9/'SUM-USD'!C$3</f>
        <v>0</v>
      </c>
      <c r="D11" s="34" t="n">
        <f aca="false">+Summary!D9/'SUM-USD'!D$3</f>
        <v>0</v>
      </c>
      <c r="E11" s="71" t="n">
        <f aca="false">+Summary!E9/'SUM-USD'!E$3</f>
        <v>7208.31883182949</v>
      </c>
      <c r="F11" s="71" t="n">
        <f aca="false">+Summary!F9/'SUM-USD'!F$3</f>
        <v>936819.158145147</v>
      </c>
      <c r="G11" s="71" t="n">
        <f aca="false">+Summary!G9/'SUM-USD'!G$3</f>
        <v>-1582741.75409755</v>
      </c>
      <c r="H11" s="71" t="n">
        <f aca="false">+Summary!H9/'SUM-USD'!H$3</f>
        <v>-512592.18594133</v>
      </c>
      <c r="I11" s="70" t="n">
        <f aca="false">+Summary!I9/'SUM-USD'!I$3</f>
        <v>471675.845191422</v>
      </c>
      <c r="J11" s="70" t="n">
        <f aca="false">+Summary!J9/'SUM-USD'!J$3</f>
        <v>2538389.05252195</v>
      </c>
      <c r="K11" s="70" t="n">
        <f aca="false">+Summary!K9/'SUM-USD'!K$3</f>
        <v>1319205.4742881</v>
      </c>
      <c r="L11" s="70" t="n">
        <f aca="false">+Summary!L9/'SUM-USD'!L$3</f>
        <v>-298040.423615117</v>
      </c>
      <c r="M11" s="70" t="n">
        <f aca="false">+Summary!M9/'SUM-USD'!M$3</f>
        <v>2011562.60728369</v>
      </c>
      <c r="N11" s="34"/>
      <c r="O11" s="39" t="n">
        <f aca="false">SUM(B11:N11)</f>
        <v>4891486.09260815</v>
      </c>
      <c r="P11" s="44"/>
      <c r="Q11" s="72" t="n">
        <f aca="false">+SUM(B11:D11)</f>
        <v>0</v>
      </c>
      <c r="R11" s="34" t="n">
        <f aca="false">+SUM(E11:G11)</f>
        <v>-638714.27712057</v>
      </c>
      <c r="S11" s="34" t="n">
        <f aca="false">+SUM(H11:J11)</f>
        <v>2497472.71177204</v>
      </c>
      <c r="T11" s="34" t="n">
        <f aca="false">+SUM(K11:M11)</f>
        <v>3032727.65795668</v>
      </c>
      <c r="U11" s="34"/>
      <c r="V11" s="39" t="n">
        <f aca="false">SUM(Q11:U11)</f>
        <v>4891486.09260815</v>
      </c>
    </row>
    <row r="12" customFormat="false" ht="12.75" hidden="false" customHeight="false" outlineLevel="0" collapsed="false">
      <c r="A12" s="13" t="s">
        <v>32</v>
      </c>
      <c r="B12" s="74" t="n">
        <f aca="false">+Summary!B10/'SUM-USD'!B$3</f>
        <v>-224085.973602092</v>
      </c>
      <c r="C12" s="74" t="n">
        <f aca="false">+Summary!C10/'SUM-USD'!C$3</f>
        <v>685015.025017904</v>
      </c>
      <c r="D12" s="74" t="n">
        <f aca="false">+Summary!D10/'SUM-USD'!D$3</f>
        <v>-711171.195046057</v>
      </c>
      <c r="E12" s="74" t="n">
        <f aca="false">+Summary!E10/'SUM-USD'!E$3</f>
        <v>339206.587599523</v>
      </c>
      <c r="F12" s="74" t="n">
        <f aca="false">+Summary!F10/'SUM-USD'!F$3</f>
        <v>4419232.72867785</v>
      </c>
      <c r="G12" s="74" t="n">
        <f aca="false">+Summary!G10/'SUM-USD'!G$3</f>
        <v>1329054.75288262</v>
      </c>
      <c r="H12" s="74" t="n">
        <f aca="false">+Summary!H10/'SUM-USD'!H$3</f>
        <v>-1140534.98732873</v>
      </c>
      <c r="I12" s="74" t="n">
        <f aca="false">+Summary!I10/'SUM-USD'!I$3</f>
        <v>-2145932.88741046</v>
      </c>
      <c r="J12" s="74" t="n">
        <f aca="false">+Summary!J10/'SUM-USD'!J$3</f>
        <v>-5898384.65883863</v>
      </c>
      <c r="K12" s="75" t="n">
        <f aca="false">+Summary!K10/'SUM-USD'!K$3</f>
        <v>-1050467.3524743</v>
      </c>
      <c r="L12" s="74" t="n">
        <f aca="false">+Summary!L10/'SUM-USD'!L$3</f>
        <v>2645718.15595207</v>
      </c>
      <c r="M12" s="74" t="n">
        <f aca="false">+Summary!M10/'SUM-USD'!M$3</f>
        <v>-1111158.98863373</v>
      </c>
      <c r="N12" s="34"/>
      <c r="O12" s="39" t="n">
        <f aca="false">SUM(B12:N12)</f>
        <v>-2863508.79320402</v>
      </c>
      <c r="P12" s="44"/>
      <c r="Q12" s="72" t="n">
        <f aca="false">+SUM(B12:D12)</f>
        <v>-250242.143630245</v>
      </c>
      <c r="R12" s="34" t="n">
        <f aca="false">+SUM(E12:G12)</f>
        <v>6087494.06916</v>
      </c>
      <c r="S12" s="34" t="n">
        <f aca="false">+SUM(H12:J12)</f>
        <v>-9184852.53357782</v>
      </c>
      <c r="T12" s="76" t="n">
        <f aca="false">+SUM(K12:M12)</f>
        <v>484091.814844041</v>
      </c>
      <c r="U12" s="34"/>
      <c r="V12" s="39" t="n">
        <f aca="false">SUM(Q12:U12)</f>
        <v>-2863508.79320402</v>
      </c>
    </row>
    <row r="13" customFormat="false" ht="12.75" hidden="false" customHeight="false" outlineLevel="0" collapsed="false">
      <c r="A13" s="63" t="s">
        <v>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9"/>
      <c r="P13" s="44"/>
      <c r="Q13" s="72" t="n">
        <f aca="false">+SUM(B13:D13)</f>
        <v>0</v>
      </c>
      <c r="R13" s="34" t="n">
        <f aca="false">+SUM(E13:G13)</f>
        <v>0</v>
      </c>
      <c r="S13" s="34" t="n">
        <f aca="false">+SUM(H13:J13)</f>
        <v>0</v>
      </c>
      <c r="T13" s="34" t="n">
        <f aca="false">+SUM(K13:M13)</f>
        <v>0</v>
      </c>
      <c r="U13" s="34"/>
      <c r="V13" s="39"/>
    </row>
    <row r="14" customFormat="false" ht="12.75" hidden="false" customHeight="false" outlineLevel="0" collapsed="false">
      <c r="A14" s="13" t="s">
        <v>33</v>
      </c>
      <c r="B14" s="77" t="n">
        <f aca="false">+Summary!B12/'SUM-USD'!B$3</f>
        <v>-1649853.03483908</v>
      </c>
      <c r="C14" s="77" t="n">
        <f aca="false">+Summary!C12/'SUM-USD'!C$3</f>
        <v>692071.525628183</v>
      </c>
      <c r="D14" s="77" t="n">
        <f aca="false">+Summary!D12/'SUM-USD'!D$3</f>
        <v>785943.268162662</v>
      </c>
      <c r="E14" s="77" t="n">
        <f aca="false">+Summary!E12/'SUM-USD'!E$3</f>
        <v>703119.576820381</v>
      </c>
      <c r="F14" s="77" t="n">
        <f aca="false">+Summary!F12/'SUM-USD'!F$3</f>
        <v>2076945.66177285</v>
      </c>
      <c r="G14" s="77" t="n">
        <f aca="false">+Summary!G12/'SUM-USD'!G$3</f>
        <v>2115658.1952376</v>
      </c>
      <c r="H14" s="77" t="n">
        <f aca="false">+Summary!H12/'SUM-USD'!H$3</f>
        <v>1174213.66142688</v>
      </c>
      <c r="I14" s="77" t="n">
        <f aca="false">+Summary!I12/'SUM-USD'!I$3</f>
        <v>1353509.96062605</v>
      </c>
      <c r="J14" s="77" t="n">
        <f aca="false">+Summary!J12/'SUM-USD'!J$3</f>
        <v>503658.204385715</v>
      </c>
      <c r="K14" s="77" t="n">
        <f aca="false">+Summary!K12/'SUM-USD'!K$3</f>
        <v>743524.839547665</v>
      </c>
      <c r="L14" s="77" t="n">
        <f aca="false">+Summary!L12/'SUM-USD'!L$3</f>
        <v>766044.005468281</v>
      </c>
      <c r="M14" s="77" t="n">
        <f aca="false">+Summary!M12/'SUM-USD'!M$3</f>
        <v>-162226.980262225</v>
      </c>
      <c r="N14" s="34"/>
      <c r="O14" s="39" t="n">
        <f aca="false">SUM(B14:N14)</f>
        <v>9102608.88397497</v>
      </c>
      <c r="P14" s="44"/>
      <c r="Q14" s="72" t="n">
        <f aca="false">+SUM(B14:D14)</f>
        <v>-171838.241048231</v>
      </c>
      <c r="R14" s="34" t="n">
        <f aca="false">+SUM(E14:G14)</f>
        <v>4895723.43383084</v>
      </c>
      <c r="S14" s="34" t="n">
        <f aca="false">+SUM(H14:J14)</f>
        <v>3031381.82643865</v>
      </c>
      <c r="T14" s="34" t="n">
        <f aca="false">+SUM(K14:M14)</f>
        <v>1347341.86475372</v>
      </c>
      <c r="U14" s="34"/>
      <c r="V14" s="39" t="n">
        <f aca="false">SUM(Q14:U14)</f>
        <v>9102608.88397497</v>
      </c>
    </row>
    <row r="15" customFormat="false" ht="12.75" hidden="false" customHeight="false" outlineLevel="0" collapsed="false">
      <c r="A15" s="13" t="s">
        <v>34</v>
      </c>
      <c r="B15" s="70" t="n">
        <f aca="false">+Summary!B13/'SUM-USD'!B$3</f>
        <v>-143902.295906175</v>
      </c>
      <c r="C15" s="70" t="n">
        <f aca="false">+Summary!C13/'SUM-USD'!C$3</f>
        <v>176400.871760342</v>
      </c>
      <c r="D15" s="78" t="n">
        <f aca="false">+Summary!D13/'SUM-USD'!D$3</f>
        <v>-19853.7579696606</v>
      </c>
      <c r="E15" s="79" t="n">
        <f aca="false">+Summary!E13/'SUM-USD'!E$3</f>
        <v>50998.5150774039</v>
      </c>
      <c r="F15" s="79" t="n">
        <f aca="false">+Summary!F13/'SUM-USD'!F$3</f>
        <v>73038.6042625945</v>
      </c>
      <c r="G15" s="79" t="n">
        <f aca="false">+Summary!G13/'SUM-USD'!G$3</f>
        <v>317583.655882898</v>
      </c>
      <c r="H15" s="79" t="n">
        <f aca="false">+Summary!H13/'SUM-USD'!H$3</f>
        <v>295608.493788786</v>
      </c>
      <c r="I15" s="79" t="n">
        <f aca="false">+Summary!I13/'SUM-USD'!I$3</f>
        <v>327886.697722398</v>
      </c>
      <c r="J15" s="79" t="n">
        <f aca="false">+Summary!J13/'SUM-USD'!J$3</f>
        <v>673448.979823922</v>
      </c>
      <c r="K15" s="79" t="n">
        <f aca="false">+Summary!K13/'SUM-USD'!K$3</f>
        <v>522896.712689705</v>
      </c>
      <c r="L15" s="79" t="n">
        <f aca="false">+Summary!L13/'SUM-USD'!L$3</f>
        <v>341336.220782806</v>
      </c>
      <c r="M15" s="79" t="n">
        <f aca="false">+Summary!M13/'SUM-USD'!M$3</f>
        <v>238176.433728601</v>
      </c>
      <c r="N15" s="34"/>
      <c r="O15" s="39" t="n">
        <f aca="false">SUM(B15:N15)</f>
        <v>2853619.13164362</v>
      </c>
      <c r="P15" s="44"/>
      <c r="Q15" s="72" t="n">
        <f aca="false">+SUM(B15:D15)</f>
        <v>12644.8178845068</v>
      </c>
      <c r="R15" s="34" t="n">
        <f aca="false">+SUM(E15:G15)</f>
        <v>441620.775222896</v>
      </c>
      <c r="S15" s="34" t="n">
        <f aca="false">+SUM(H15:J15)</f>
        <v>1296944.17133511</v>
      </c>
      <c r="T15" s="34" t="n">
        <f aca="false">+SUM(K15:M15)</f>
        <v>1102409.36720111</v>
      </c>
      <c r="U15" s="34"/>
      <c r="V15" s="39" t="n">
        <f aca="false">SUM(Q15:U15)</f>
        <v>2853619.13164362</v>
      </c>
    </row>
    <row r="16" customFormat="false" ht="12.75" hidden="false" customHeight="false" outlineLevel="0" collapsed="false">
      <c r="A16" s="13" t="s">
        <v>35</v>
      </c>
      <c r="B16" s="34" t="n">
        <f aca="false">+Summary!B14/'SUM-USD'!B$3</f>
        <v>0</v>
      </c>
      <c r="C16" s="34" t="n">
        <f aca="false">+Summary!C14/'SUM-USD'!C$3</f>
        <v>0</v>
      </c>
      <c r="D16" s="34" t="n">
        <f aca="false">+Summary!D14/'SUM-USD'!D$3</f>
        <v>0</v>
      </c>
      <c r="E16" s="34" t="n">
        <f aca="false">+Summary!E14/'SUM-USD'!E$3</f>
        <v>0</v>
      </c>
      <c r="F16" s="34" t="n">
        <f aca="false">+Summary!F14/'SUM-USD'!F$3</f>
        <v>0</v>
      </c>
      <c r="G16" s="34" t="n">
        <f aca="false">+Summary!G14/'SUM-USD'!G$3</f>
        <v>0</v>
      </c>
      <c r="H16" s="34" t="n">
        <f aca="false">+Summary!H14/'SUM-USD'!H$3</f>
        <v>0</v>
      </c>
      <c r="I16" s="34" t="n">
        <f aca="false">+Summary!I14/'SUM-USD'!I$3</f>
        <v>0</v>
      </c>
      <c r="J16" s="34" t="n">
        <f aca="false">+Summary!J14/'SUM-USD'!J$3</f>
        <v>0</v>
      </c>
      <c r="K16" s="70" t="n">
        <f aca="false">+Summary!K14/'SUM-USD'!K$3</f>
        <v>-385731.553581053</v>
      </c>
      <c r="L16" s="70" t="n">
        <f aca="false">+Summary!L14/'SUM-USD'!L$3</f>
        <v>3523562.61868807</v>
      </c>
      <c r="M16" s="70" t="n">
        <f aca="false">+Summary!M14/'SUM-USD'!M$3</f>
        <v>140463.743910926</v>
      </c>
      <c r="N16" s="34"/>
      <c r="O16" s="39" t="n">
        <f aca="false">SUM(B16:N16)</f>
        <v>3278294.80901794</v>
      </c>
      <c r="P16" s="44"/>
      <c r="Q16" s="72" t="n">
        <f aca="false">+SUM(B16:D16)</f>
        <v>0</v>
      </c>
      <c r="R16" s="34" t="n">
        <f aca="false">+SUM(E16:G16)</f>
        <v>0</v>
      </c>
      <c r="S16" s="34" t="n">
        <f aca="false">+SUM(H16:J16)</f>
        <v>0</v>
      </c>
      <c r="T16" s="34" t="n">
        <f aca="false">+SUM(K16:M16)</f>
        <v>3278294.80901794</v>
      </c>
      <c r="U16" s="34"/>
      <c r="V16" s="39" t="n">
        <f aca="false">SUM(Q16:U16)</f>
        <v>3278294.80901794</v>
      </c>
    </row>
    <row r="17" customFormat="false" ht="12.75" hidden="false" customHeight="false" outlineLevel="0" collapsed="false">
      <c r="A17" s="13" t="s">
        <v>36</v>
      </c>
      <c r="B17" s="69" t="n">
        <f aca="false">+Summary!B15/'SUM-USD'!B$3</f>
        <v>-242130.613023421</v>
      </c>
      <c r="C17" s="69" t="n">
        <f aca="false">+Summary!C15/'SUM-USD'!C$3</f>
        <v>300898.312867744</v>
      </c>
      <c r="D17" s="69" t="n">
        <f aca="false">+Summary!D15/'SUM-USD'!D$3</f>
        <v>30624.7639743734</v>
      </c>
      <c r="E17" s="70" t="n">
        <f aca="false">+Summary!E15/'SUM-USD'!E$3</f>
        <v>88894.6502441355</v>
      </c>
      <c r="F17" s="70" t="n">
        <f aca="false">+Summary!F15/'SUM-USD'!F$3</f>
        <v>398.174592381039</v>
      </c>
      <c r="G17" s="70" t="n">
        <f aca="false">+Summary!G15/'SUM-USD'!G$3</f>
        <v>-141.590602177831</v>
      </c>
      <c r="H17" s="70" t="n">
        <f aca="false">+Summary!H15/'SUM-USD'!H$3</f>
        <v>150.221665360613</v>
      </c>
      <c r="I17" s="71" t="n">
        <f aca="false">+Summary!I15/'SUM-USD'!I$3</f>
        <v>-365403.392626495</v>
      </c>
      <c r="J17" s="71" t="n">
        <f aca="false">+Summary!J15/'SUM-USD'!J$3</f>
        <v>-962508.016410058</v>
      </c>
      <c r="K17" s="71" t="n">
        <f aca="false">+Summary!K15/'SUM-USD'!K$3</f>
        <v>124583.108362588</v>
      </c>
      <c r="L17" s="71" t="n">
        <f aca="false">+Summary!L15/'SUM-USD'!L$3</f>
        <v>-560896.617430699</v>
      </c>
      <c r="M17" s="71" t="n">
        <f aca="false">+Summary!M15/'SUM-USD'!M$3</f>
        <v>-4123.03409881698</v>
      </c>
      <c r="N17" s="34"/>
      <c r="O17" s="39" t="n">
        <f aca="false">SUM(B17:N17)</f>
        <v>-1589654.03248509</v>
      </c>
      <c r="P17" s="44"/>
      <c r="Q17" s="72" t="n">
        <f aca="false">+SUM(B17:D17)</f>
        <v>89392.4638186961</v>
      </c>
      <c r="R17" s="34" t="n">
        <f aca="false">+SUM(E17:G17)</f>
        <v>89151.2342343387</v>
      </c>
      <c r="S17" s="34" t="n">
        <f aca="false">+SUM(H17:J17)</f>
        <v>-1327761.18737119</v>
      </c>
      <c r="T17" s="34" t="n">
        <f aca="false">+SUM(K17:M17)</f>
        <v>-440436.543166929</v>
      </c>
      <c r="U17" s="34"/>
      <c r="V17" s="39" t="n">
        <f aca="false">SUM(Q17:U17)</f>
        <v>-1589654.03248509</v>
      </c>
    </row>
    <row r="18" customFormat="false" ht="12.75" hidden="false" customHeight="false" outlineLevel="0" collapsed="false">
      <c r="A18" s="13" t="s">
        <v>37</v>
      </c>
      <c r="B18" s="70" t="n">
        <f aca="false">+Summary!B16/'SUM-USD'!B$3</f>
        <v>-615175.140180392</v>
      </c>
      <c r="C18" s="70" t="n">
        <f aca="false">+Summary!C16/'SUM-USD'!C$3</f>
        <v>21264.6473106051</v>
      </c>
      <c r="D18" s="70" t="n">
        <f aca="false">+Summary!D16/'SUM-USD'!D$3</f>
        <v>-4.10767406268841</v>
      </c>
      <c r="E18" s="34" t="n">
        <f aca="false">+Summary!E16/'SUM-USD'!E$3</f>
        <v>0</v>
      </c>
      <c r="F18" s="34" t="n">
        <f aca="false">+Summary!F16/'SUM-USD'!F$3</f>
        <v>0</v>
      </c>
      <c r="G18" s="34" t="n">
        <f aca="false">+Summary!G16/'SUM-USD'!G$3</f>
        <v>0</v>
      </c>
      <c r="H18" s="34" t="n">
        <f aca="false">+Summary!H16/'SUM-USD'!H$3</f>
        <v>0</v>
      </c>
      <c r="I18" s="34" t="n">
        <f aca="false">+Summary!I16/'SUM-USD'!I$3</f>
        <v>0</v>
      </c>
      <c r="J18" s="34" t="n">
        <f aca="false">+Summary!J16/'SUM-USD'!J$3</f>
        <v>0</v>
      </c>
      <c r="K18" s="34" t="n">
        <f aca="false">+Summary!K16/'SUM-USD'!K$3</f>
        <v>0</v>
      </c>
      <c r="L18" s="34" t="n">
        <f aca="false">+Summary!L16/'SUM-USD'!L$3</f>
        <v>0</v>
      </c>
      <c r="M18" s="34" t="n">
        <f aca="false">+Summary!M16/'SUM-USD'!M$3</f>
        <v>0</v>
      </c>
      <c r="N18" s="34"/>
      <c r="O18" s="39" t="n">
        <f aca="false">SUM(B18:N18)</f>
        <v>-593914.60054385</v>
      </c>
      <c r="P18" s="44"/>
      <c r="Q18" s="72" t="n">
        <f aca="false">+SUM(B18:D18)</f>
        <v>-593914.60054385</v>
      </c>
      <c r="R18" s="34" t="n">
        <f aca="false">+SUM(E18:G18)</f>
        <v>0</v>
      </c>
      <c r="S18" s="34" t="n">
        <f aca="false">+SUM(H18:J18)</f>
        <v>0</v>
      </c>
      <c r="T18" s="34" t="n">
        <f aca="false">+SUM(K18:M18)</f>
        <v>0</v>
      </c>
      <c r="U18" s="34"/>
      <c r="V18" s="39" t="n">
        <f aca="false">SUM(Q18:U18)</f>
        <v>-593914.60054385</v>
      </c>
    </row>
    <row r="19" customFormat="false" ht="12.75" hidden="false" customHeight="false" outlineLevel="0" collapsed="false">
      <c r="A19" s="13" t="s">
        <v>38</v>
      </c>
      <c r="B19" s="74" t="n">
        <f aca="false">+Summary!B17/'SUM-USD'!B$3</f>
        <v>286231.921270006</v>
      </c>
      <c r="C19" s="74" t="n">
        <f aca="false">+Summary!C17/'SUM-USD'!C$3</f>
        <v>517629.497096115</v>
      </c>
      <c r="D19" s="74" t="n">
        <f aca="false">+Summary!D17/'SUM-USD'!D$3</f>
        <v>348137.699835031</v>
      </c>
      <c r="E19" s="74" t="n">
        <f aca="false">+Summary!E17/'SUM-USD'!E$3</f>
        <v>424851.362529119</v>
      </c>
      <c r="F19" s="74" t="n">
        <f aca="false">+Summary!F17/'SUM-USD'!F$3</f>
        <v>354022.049093448</v>
      </c>
      <c r="G19" s="74" t="n">
        <f aca="false">+Summary!G17/'SUM-USD'!G$3</f>
        <v>1007495.04319981</v>
      </c>
      <c r="H19" s="74" t="n">
        <f aca="false">+Summary!H17/'SUM-USD'!H$3</f>
        <v>853328.080013446</v>
      </c>
      <c r="I19" s="74" t="n">
        <f aca="false">+Summary!I17/'SUM-USD'!I$3</f>
        <v>555566.73445826</v>
      </c>
      <c r="J19" s="74" t="n">
        <f aca="false">+Summary!J17/'SUM-USD'!J$3</f>
        <v>1935097.3933137</v>
      </c>
      <c r="K19" s="74" t="n">
        <f aca="false">+Summary!K17/'SUM-USD'!K$3</f>
        <v>-175224.393390095</v>
      </c>
      <c r="L19" s="74" t="n">
        <f aca="false">+Summary!L17/'SUM-USD'!L$3</f>
        <v>-1554149.62635539</v>
      </c>
      <c r="M19" s="74" t="n">
        <f aca="false">+Summary!M17/'SUM-USD'!M$3</f>
        <v>2667285.45581072</v>
      </c>
      <c r="N19" s="34"/>
      <c r="O19" s="39" t="n">
        <f aca="false">SUM(B19:N19)</f>
        <v>7220271.21687416</v>
      </c>
      <c r="P19" s="44"/>
      <c r="Q19" s="72" t="n">
        <f aca="false">+SUM(B19:D19)</f>
        <v>1151999.11820115</v>
      </c>
      <c r="R19" s="34" t="n">
        <f aca="false">+SUM(E19:G19)</f>
        <v>1786368.45482238</v>
      </c>
      <c r="S19" s="34" t="n">
        <f aca="false">+SUM(H19:J19)</f>
        <v>3343992.2077854</v>
      </c>
      <c r="T19" s="34" t="n">
        <f aca="false">+SUM(K19:M19)</f>
        <v>937911.436065228</v>
      </c>
      <c r="U19" s="34"/>
      <c r="V19" s="39" t="n">
        <f aca="false">SUM(Q19:U19)</f>
        <v>7220271.21687416</v>
      </c>
    </row>
    <row r="20" customFormat="false" ht="12.75" hidden="false" customHeight="false" outlineLevel="0" collapsed="false">
      <c r="A20" s="13" t="s">
        <v>39</v>
      </c>
      <c r="B20" s="80" t="n">
        <f aca="false">+Summary!B18/'SUM-USD'!B$3</f>
        <v>246905.716389996</v>
      </c>
      <c r="C20" s="80" t="n">
        <f aca="false">+Summary!C18/'SUM-USD'!C$3</f>
        <v>183839.599903878</v>
      </c>
      <c r="D20" s="80" t="n">
        <f aca="false">+Summary!D18/'SUM-USD'!D$3</f>
        <v>1261789.15706553</v>
      </c>
      <c r="E20" s="80" t="n">
        <f aca="false">+Summary!E18/'SUM-USD'!E$3</f>
        <v>1453448.48194569</v>
      </c>
      <c r="F20" s="80" t="n">
        <f aca="false">+Summary!F18/'SUM-USD'!F$3</f>
        <v>1254448.71869596</v>
      </c>
      <c r="G20" s="80" t="n">
        <f aca="false">+Summary!G18/'SUM-USD'!G$3</f>
        <v>-998132.449314178</v>
      </c>
      <c r="H20" s="80" t="n">
        <f aca="false">+Summary!H18/'SUM-USD'!H$3</f>
        <v>-416028.075429524</v>
      </c>
      <c r="I20" s="80" t="n">
        <f aca="false">+Summary!I18/'SUM-USD'!I$3</f>
        <v>-1002686.61458792</v>
      </c>
      <c r="J20" s="80" t="n">
        <f aca="false">+Summary!J18/'SUM-USD'!J$3</f>
        <v>1471033.8871544</v>
      </c>
      <c r="K20" s="80" t="n">
        <f aca="false">+Summary!K18/'SUM-USD'!K$3</f>
        <v>-136977.622654623</v>
      </c>
      <c r="L20" s="80" t="n">
        <f aca="false">+Summary!L18/'SUM-USD'!L$3</f>
        <v>47101.2567162051</v>
      </c>
      <c r="M20" s="80" t="n">
        <f aca="false">+Summary!M18/'SUM-USD'!M$3</f>
        <v>0</v>
      </c>
      <c r="N20" s="34"/>
      <c r="O20" s="39" t="n">
        <f aca="false">SUM(B20:N20)</f>
        <v>3364742.05588542</v>
      </c>
      <c r="P20" s="44"/>
      <c r="Q20" s="72" t="n">
        <f aca="false">+SUM(B20:D20)</f>
        <v>1692534.4733594</v>
      </c>
      <c r="R20" s="34" t="n">
        <f aca="false">+SUM(E20:G20)</f>
        <v>1709764.75132747</v>
      </c>
      <c r="S20" s="34" t="n">
        <f aca="false">+SUM(H20:J20)</f>
        <v>52319.1971369556</v>
      </c>
      <c r="T20" s="34" t="n">
        <f aca="false">+SUM(K20:M20)</f>
        <v>-89876.3659384182</v>
      </c>
      <c r="U20" s="34"/>
      <c r="V20" s="39" t="n">
        <f aca="false">SUM(Q20:U20)</f>
        <v>3364742.05588542</v>
      </c>
    </row>
    <row r="21" customFormat="false" ht="12.75" hidden="false" customHeight="false" outlineLevel="0" collapsed="false">
      <c r="A21" s="13" t="s">
        <v>40</v>
      </c>
      <c r="B21" s="34" t="n">
        <f aca="false">+Summary!B19/'SUM-USD'!B$3</f>
        <v>0</v>
      </c>
      <c r="C21" s="34" t="n">
        <f aca="false">+Summary!C19/'SUM-USD'!C$3</f>
        <v>0</v>
      </c>
      <c r="D21" s="34" t="n">
        <f aca="false">+Summary!D19/'SUM-USD'!D$3</f>
        <v>0</v>
      </c>
      <c r="E21" s="34" t="n">
        <f aca="false">+Summary!E19/'SUM-USD'!E$3</f>
        <v>0</v>
      </c>
      <c r="F21" s="34" t="n">
        <f aca="false">+Summary!F19/'SUM-USD'!F$3</f>
        <v>0</v>
      </c>
      <c r="G21" s="77" t="n">
        <f aca="false">+Summary!G19/'SUM-USD'!G$3</f>
        <v>-812960.39527941</v>
      </c>
      <c r="H21" s="34" t="n">
        <f aca="false">+Summary!H19/'SUM-USD'!H$3</f>
        <v>0</v>
      </c>
      <c r="I21" s="34" t="n">
        <f aca="false">+Summary!I19/'SUM-USD'!I$3</f>
        <v>0</v>
      </c>
      <c r="J21" s="34" t="n">
        <f aca="false">+Summary!J19/'SUM-USD'!J$3</f>
        <v>0</v>
      </c>
      <c r="K21" s="34" t="n">
        <f aca="false">+Summary!K19/'SUM-USD'!K$3</f>
        <v>0</v>
      </c>
      <c r="L21" s="34" t="n">
        <f aca="false">+Summary!L19/'SUM-USD'!L$3</f>
        <v>0</v>
      </c>
      <c r="M21" s="34" t="n">
        <f aca="false">+Summary!M19/'SUM-USD'!M$3</f>
        <v>0</v>
      </c>
      <c r="N21" s="34"/>
      <c r="O21" s="39" t="n">
        <f aca="false">SUM(B21:N21)</f>
        <v>-812960.39527941</v>
      </c>
      <c r="P21" s="44"/>
      <c r="Q21" s="72" t="n">
        <f aca="false">+SUM(B21:D21)</f>
        <v>0</v>
      </c>
      <c r="R21" s="34" t="n">
        <f aca="false">+SUM(E21:G21)</f>
        <v>-812960.39527941</v>
      </c>
      <c r="S21" s="34" t="n">
        <f aca="false">+SUM(H21:J21)</f>
        <v>0</v>
      </c>
      <c r="T21" s="34" t="n">
        <f aca="false">+M21</f>
        <v>0</v>
      </c>
      <c r="U21" s="34"/>
      <c r="V21" s="39" t="n">
        <f aca="false">SUM(Q21:U21)</f>
        <v>-812960.39527941</v>
      </c>
    </row>
    <row r="22" customFormat="false" ht="13.5" hidden="false" customHeight="false" outlineLevel="0" collapsed="false">
      <c r="A22" s="40" t="s">
        <v>16</v>
      </c>
      <c r="B22" s="41" t="n">
        <f aca="false">SUM(B9:B21)</f>
        <v>237500.867414459</v>
      </c>
      <c r="C22" s="41" t="n">
        <f aca="false">SUM(C9:C21)</f>
        <v>8129908.0360648</v>
      </c>
      <c r="D22" s="41" t="n">
        <f aca="false">SUM(D9:D21)</f>
        <v>5283990.75839589</v>
      </c>
      <c r="E22" s="41" t="n">
        <f aca="false">SUM(E9:E21)</f>
        <v>4248064.8814336</v>
      </c>
      <c r="F22" s="41" t="n">
        <f aca="false">SUM(F9:F21)</f>
        <v>13745993.5888688</v>
      </c>
      <c r="G22" s="41" t="n">
        <f aca="false">SUM(G9:G21)</f>
        <v>278690.889516366</v>
      </c>
      <c r="H22" s="41" t="n">
        <f aca="false">SUM(H9:H21)</f>
        <v>-5312165.13352808</v>
      </c>
      <c r="I22" s="41" t="n">
        <f aca="false">SUM(I9:I21)</f>
        <v>5108098.38691124</v>
      </c>
      <c r="J22" s="41" t="n">
        <f aca="false">SUM(J9:J21)</f>
        <v>1037954.50054554</v>
      </c>
      <c r="K22" s="41" t="n">
        <f aca="false">SUM(K9:K21)</f>
        <v>-2511333.10874103</v>
      </c>
      <c r="L22" s="41" t="n">
        <f aca="false">SUM(L9:L21)</f>
        <v>-8133204.48056915</v>
      </c>
      <c r="M22" s="41" t="n">
        <f aca="false">SUM(M9:M21)</f>
        <v>13931723.798166</v>
      </c>
      <c r="N22" s="42"/>
      <c r="O22" s="43" t="n">
        <f aca="false">SUM(O9:O21)</f>
        <v>36045222.9844784</v>
      </c>
      <c r="P22" s="44"/>
      <c r="Q22" s="81" t="n">
        <f aca="false">SUM(Q9:Q21)</f>
        <v>13651399.6618752</v>
      </c>
      <c r="R22" s="41" t="n">
        <f aca="false">SUM(R9:R21)</f>
        <v>18272749.3598188</v>
      </c>
      <c r="S22" s="41" t="n">
        <f aca="false">SUM(S9:S21)</f>
        <v>833887.753928695</v>
      </c>
      <c r="T22" s="41" t="n">
        <f aca="false">SUM(T9:T21)</f>
        <v>3287186.20885581</v>
      </c>
      <c r="U22" s="42"/>
      <c r="V22" s="43" t="n">
        <f aca="false">SUM(V9:V21)</f>
        <v>36045222.9844784</v>
      </c>
    </row>
    <row r="23" customFormat="false" ht="12.75" hidden="false" customHeight="false" outlineLevel="0" collapsed="false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3"/>
      <c r="P23" s="44"/>
      <c r="Q23" s="33"/>
      <c r="R23" s="33"/>
      <c r="S23" s="33"/>
      <c r="T23" s="33"/>
      <c r="U23" s="34"/>
      <c r="V23" s="33"/>
    </row>
    <row r="24" customFormat="false" ht="13.5" hidden="false" customHeight="false" outlineLevel="0" collapsed="false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4"/>
      <c r="O24" s="33"/>
      <c r="P24" s="44"/>
      <c r="Q24" s="33"/>
      <c r="R24" s="33"/>
      <c r="S24" s="33"/>
      <c r="T24" s="33"/>
      <c r="U24" s="34"/>
      <c r="V24" s="33"/>
    </row>
    <row r="25" customFormat="false" ht="12.75" hidden="false" customHeight="false" outlineLevel="0" collapsed="false">
      <c r="A25" s="35" t="s">
        <v>15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44"/>
      <c r="Q25" s="35" t="s">
        <v>15</v>
      </c>
      <c r="R25" s="36"/>
      <c r="S25" s="36"/>
      <c r="T25" s="36"/>
      <c r="U25" s="36"/>
      <c r="V25" s="37"/>
    </row>
    <row r="26" customFormat="false" ht="12.75" hidden="false" customHeight="false" outlineLevel="0" collapsed="false">
      <c r="A26" s="13" t="s">
        <v>6</v>
      </c>
      <c r="B26" s="38" t="n">
        <f aca="false">+Summary!B24/'SUM-USD'!B$3</f>
        <v>2355424.31370352</v>
      </c>
      <c r="C26" s="38" t="n">
        <f aca="false">+Summary!C24/'SUM-USD'!C$3</f>
        <v>6237803.58149793</v>
      </c>
      <c r="D26" s="38" t="n">
        <f aca="false">+Summary!D24/'SUM-USD'!D$3</f>
        <v>2877353.73500202</v>
      </c>
      <c r="E26" s="38" t="n">
        <f aca="false">+Summary!E24/'SUM-USD'!E$3</f>
        <v>1526752.29481687</v>
      </c>
      <c r="F26" s="38" t="n">
        <f aca="false">+Summary!F24/'SUM-USD'!F$3</f>
        <v>9987140.38045156</v>
      </c>
      <c r="G26" s="38" t="n">
        <f aca="false">+Summary!G24/'SUM-USD'!G$3</f>
        <v>-1350811.56960818</v>
      </c>
      <c r="H26" s="38" t="n">
        <f aca="false">+Summary!H24/'SUM-USD'!H$3</f>
        <v>-7219437.51499303</v>
      </c>
      <c r="I26" s="38" t="n">
        <f aca="false">+Summary!I24/'SUM-USD'!I$3</f>
        <v>4239225.00131895</v>
      </c>
      <c r="J26" s="38" t="n">
        <f aca="false">+Summary!J24/'SUM-USD'!J$3</f>
        <v>-2582775.94772214</v>
      </c>
      <c r="K26" s="38" t="n">
        <f aca="false">+Summary!K24/'SUM-USD'!K$3</f>
        <v>-3204404.19971521</v>
      </c>
      <c r="L26" s="38" t="n">
        <f aca="false">+Summary!L24/'SUM-USD'!L$3</f>
        <v>-10696202.3384384</v>
      </c>
      <c r="M26" s="38" t="n">
        <f aca="false">+Summary!M24/'SUM-USD'!M$3</f>
        <v>11052148.1790768</v>
      </c>
      <c r="N26" s="34"/>
      <c r="O26" s="39" t="n">
        <f aca="false">SUM(B26:N26)</f>
        <v>13222215.9153907</v>
      </c>
      <c r="P26" s="44"/>
      <c r="Q26" s="72" t="n">
        <f aca="false">+SUM(B26:D26)</f>
        <v>11470581.6302035</v>
      </c>
      <c r="R26" s="34" t="n">
        <f aca="false">+SUM(E26:G26)</f>
        <v>10163081.1056602</v>
      </c>
      <c r="S26" s="34" t="n">
        <f aca="false">+SUM(H26:J26)</f>
        <v>-5562988.46139623</v>
      </c>
      <c r="T26" s="34" t="n">
        <f aca="false">+SUM(K26:M26)</f>
        <v>-2848458.35907684</v>
      </c>
      <c r="U26" s="34"/>
      <c r="V26" s="39" t="n">
        <f aca="false">SUM(Q26:U26)</f>
        <v>13222215.9153907</v>
      </c>
    </row>
    <row r="27" customFormat="false" ht="11.25" hidden="false" customHeight="false" outlineLevel="0" collapsed="false">
      <c r="A27" s="82" t="s">
        <v>41</v>
      </c>
      <c r="B27" s="83" t="n">
        <f aca="false">+B26-SUM(B9:B12)</f>
        <v>0</v>
      </c>
      <c r="C27" s="83" t="n">
        <f aca="false">+C26-SUM(C9:C12)</f>
        <v>0</v>
      </c>
      <c r="D27" s="83" t="n">
        <f aca="false">+D26-SUM(D9:D12)</f>
        <v>0</v>
      </c>
      <c r="E27" s="83" t="n">
        <f aca="false">+E26-SUM(E9:E12)</f>
        <v>0</v>
      </c>
      <c r="F27" s="83" t="n">
        <f aca="false">+F26-SUM(F9:F12)</f>
        <v>0</v>
      </c>
      <c r="G27" s="83" t="n">
        <f aca="false">+G26-SUM(G9:G12)</f>
        <v>0</v>
      </c>
      <c r="H27" s="83" t="n">
        <f aca="false">+H26-SUM(H9:H12)</f>
        <v>0</v>
      </c>
      <c r="I27" s="83" t="n">
        <f aca="false">+I26-SUM(I9:I12)</f>
        <v>0</v>
      </c>
      <c r="J27" s="83" t="n">
        <f aca="false">+J26-SUM(J9:J12)</f>
        <v>0</v>
      </c>
      <c r="K27" s="83" t="n">
        <f aca="false">+K26-SUM(K9:K12)</f>
        <v>0</v>
      </c>
      <c r="L27" s="83" t="n">
        <f aca="false">+L26-SUM(L9:L12)</f>
        <v>0</v>
      </c>
      <c r="M27" s="83" t="n">
        <f aca="false">+M26-SUM(M9:M12)</f>
        <v>0</v>
      </c>
      <c r="N27" s="83"/>
      <c r="O27" s="39" t="n">
        <f aca="false">SUM(B27:N27)</f>
        <v>0</v>
      </c>
      <c r="P27" s="84"/>
      <c r="Q27" s="72" t="n">
        <f aca="false">+SUM(B27:D27)</f>
        <v>0</v>
      </c>
      <c r="R27" s="34" t="n">
        <f aca="false">+SUM(E27:G27)</f>
        <v>0</v>
      </c>
      <c r="S27" s="34" t="n">
        <f aca="false">+SUM(H27:J27)</f>
        <v>0</v>
      </c>
      <c r="T27" s="34" t="n">
        <f aca="false">+SUM(K27:M27)</f>
        <v>0</v>
      </c>
      <c r="U27" s="83"/>
      <c r="V27" s="39" t="n">
        <f aca="false">SUM(I27:U27)</f>
        <v>0</v>
      </c>
    </row>
    <row r="28" customFormat="false" ht="12.75" hidden="false" customHeight="false" outlineLevel="0" collapsed="false">
      <c r="A28" s="13" t="s">
        <v>7</v>
      </c>
      <c r="B28" s="38" t="n">
        <f aca="false">+Summary!B26/'SUM-USD'!B$3</f>
        <v>-2117923.44628906</v>
      </c>
      <c r="C28" s="38" t="n">
        <f aca="false">+Summary!C26/'SUM-USD'!C$3</f>
        <v>1892104.45456687</v>
      </c>
      <c r="D28" s="38" t="n">
        <f aca="false">+Summary!D26/'SUM-USD'!D$3</f>
        <v>2406637.02339387</v>
      </c>
      <c r="E28" s="38" t="n">
        <f aca="false">+Summary!E26/'SUM-USD'!E$3</f>
        <v>2721312.58661673</v>
      </c>
      <c r="F28" s="38" t="n">
        <f aca="false">+Summary!F26/'SUM-USD'!F$3</f>
        <v>3758853.20841724</v>
      </c>
      <c r="G28" s="38" t="n">
        <f aca="false">+Summary!G26/'SUM-USD'!G$3</f>
        <v>1629502.45912455</v>
      </c>
      <c r="H28" s="38" t="n">
        <f aca="false">+Summary!H26/'SUM-USD'!H$3</f>
        <v>1907272.38146495</v>
      </c>
      <c r="I28" s="38" t="n">
        <f aca="false">+Summary!I26/'SUM-USD'!I$3</f>
        <v>868873.385592291</v>
      </c>
      <c r="J28" s="38" t="n">
        <f aca="false">+Summary!J26/'SUM-USD'!J$3</f>
        <v>3620730.44826768</v>
      </c>
      <c r="K28" s="38" t="n">
        <f aca="false">+Summary!K26/'SUM-USD'!K$3</f>
        <v>693071.090974186</v>
      </c>
      <c r="L28" s="38" t="n">
        <f aca="false">+Summary!L26/'SUM-USD'!L$3</f>
        <v>2562997.85786926</v>
      </c>
      <c r="M28" s="38" t="n">
        <f aca="false">+Summary!M26/'SUM-USD'!M$3</f>
        <v>2879575.6190892</v>
      </c>
      <c r="N28" s="34"/>
      <c r="O28" s="39" t="n">
        <f aca="false">SUM(B28:N28)</f>
        <v>22823007.0690878</v>
      </c>
      <c r="P28" s="44"/>
      <c r="Q28" s="72" t="n">
        <f aca="false">+SUM(B28:D28)</f>
        <v>2180818.03167168</v>
      </c>
      <c r="R28" s="34" t="n">
        <f aca="false">+SUM(E28:G28)</f>
        <v>8109668.25415851</v>
      </c>
      <c r="S28" s="34" t="n">
        <f aca="false">+SUM(H28:J28)</f>
        <v>6396876.21532492</v>
      </c>
      <c r="T28" s="34" t="n">
        <f aca="false">+SUM(K28:M28)</f>
        <v>6135644.56793265</v>
      </c>
      <c r="U28" s="34"/>
      <c r="V28" s="39" t="n">
        <f aca="false">SUM(Q28:T28)</f>
        <v>22823007.0690878</v>
      </c>
    </row>
    <row r="29" customFormat="false" ht="9" hidden="false" customHeight="false" outlineLevel="0" collapsed="false">
      <c r="A29" s="82" t="s">
        <v>41</v>
      </c>
      <c r="B29" s="83" t="n">
        <f aca="false">+B28-SUM(B14:B21)</f>
        <v>0</v>
      </c>
      <c r="C29" s="83" t="n">
        <f aca="false">+C28-SUM(C14:C21)</f>
        <v>0</v>
      </c>
      <c r="D29" s="83" t="n">
        <f aca="false">+D28-SUM(D14:D21)</f>
        <v>0</v>
      </c>
      <c r="E29" s="83" t="n">
        <f aca="false">+E28-SUM(E14:E21)</f>
        <v>0</v>
      </c>
      <c r="F29" s="83" t="n">
        <f aca="false">+F28-SUM(F14:F21)</f>
        <v>0</v>
      </c>
      <c r="G29" s="83" t="n">
        <f aca="false">+G28-SUM(G14:G21)</f>
        <v>0</v>
      </c>
      <c r="H29" s="83" t="n">
        <f aca="false">+H28-SUM(H14:H21)</f>
        <v>0</v>
      </c>
      <c r="I29" s="83" t="n">
        <f aca="false">+I28-SUM(I14:I21)</f>
        <v>0</v>
      </c>
      <c r="J29" s="83" t="n">
        <f aca="false">+J28-SUM(J14:J21)</f>
        <v>0</v>
      </c>
      <c r="K29" s="83" t="n">
        <f aca="false">+K28-SUM(K14:K21)</f>
        <v>0</v>
      </c>
      <c r="L29" s="83" t="n">
        <f aca="false">+L28-SUM(L14:L21)</f>
        <v>0</v>
      </c>
      <c r="M29" s="83" t="n">
        <f aca="false">+M28-SUM(M14:M21)</f>
        <v>0</v>
      </c>
      <c r="N29" s="83"/>
      <c r="O29" s="85" t="n">
        <f aca="false">+O28+O26-O22</f>
        <v>0</v>
      </c>
      <c r="P29" s="84"/>
      <c r="Q29" s="86" t="n">
        <f aca="false">+Q28-SUM(Q14:Q21)</f>
        <v>0</v>
      </c>
      <c r="R29" s="83" t="n">
        <f aca="false">+R28-SUM(R14:R21)</f>
        <v>0</v>
      </c>
      <c r="S29" s="83" t="n">
        <f aca="false">+S28-SUM(S14:S21)</f>
        <v>0</v>
      </c>
      <c r="T29" s="83" t="n">
        <f aca="false">+T28-SUM(T14:T21)</f>
        <v>0</v>
      </c>
      <c r="U29" s="83" t="n">
        <f aca="false">+U28-SUM(U14:U21)</f>
        <v>0</v>
      </c>
      <c r="V29" s="85" t="n">
        <f aca="false">+V28-SUM(V14:V21)</f>
        <v>0</v>
      </c>
    </row>
    <row r="30" customFormat="false" ht="13.5" hidden="false" customHeight="false" outlineLevel="0" collapsed="false">
      <c r="A30" s="40" t="s">
        <v>16</v>
      </c>
      <c r="B30" s="41" t="n">
        <f aca="false">+B28+B26</f>
        <v>237500.867414459</v>
      </c>
      <c r="C30" s="41" t="n">
        <f aca="false">+C28+C26</f>
        <v>8129908.0360648</v>
      </c>
      <c r="D30" s="41" t="n">
        <f aca="false">+D28+D26</f>
        <v>5283990.75839589</v>
      </c>
      <c r="E30" s="41" t="n">
        <f aca="false">+E28+E26</f>
        <v>4248064.8814336</v>
      </c>
      <c r="F30" s="41" t="n">
        <f aca="false">+F28+F26</f>
        <v>13745993.5888688</v>
      </c>
      <c r="G30" s="41" t="n">
        <f aca="false">+G28+G26</f>
        <v>278690.889516366</v>
      </c>
      <c r="H30" s="41" t="n">
        <f aca="false">+H28+H26</f>
        <v>-5312165.13352808</v>
      </c>
      <c r="I30" s="41" t="n">
        <f aca="false">+I28+I26</f>
        <v>5108098.38691124</v>
      </c>
      <c r="J30" s="41" t="n">
        <f aca="false">+J28+J26</f>
        <v>1037954.50054554</v>
      </c>
      <c r="K30" s="41" t="n">
        <f aca="false">+K28+K26</f>
        <v>-2511333.10874103</v>
      </c>
      <c r="L30" s="41" t="n">
        <f aca="false">+L28+L26</f>
        <v>-8133204.48056915</v>
      </c>
      <c r="M30" s="41" t="n">
        <f aca="false">+M28+M26</f>
        <v>13931723.798166</v>
      </c>
      <c r="N30" s="42"/>
      <c r="O30" s="43" t="n">
        <f aca="false">+O28+O26</f>
        <v>36045222.9844784</v>
      </c>
      <c r="P30" s="44"/>
      <c r="Q30" s="81" t="n">
        <f aca="false">+Q28+Q26</f>
        <v>13651399.6618752</v>
      </c>
      <c r="R30" s="41" t="n">
        <f aca="false">+R28+R26</f>
        <v>18272749.3598188</v>
      </c>
      <c r="S30" s="41" t="n">
        <f aca="false">+S28+S26</f>
        <v>833887.753928694</v>
      </c>
      <c r="T30" s="41" t="n">
        <f aca="false">+T28+T26</f>
        <v>3287186.20885581</v>
      </c>
      <c r="U30" s="42"/>
      <c r="V30" s="43" t="n">
        <f aca="false">+V28+V26</f>
        <v>36045222.9844784</v>
      </c>
    </row>
    <row r="31" customFormat="false" ht="12.75" hidden="false" customHeight="false" outlineLevel="0" collapsed="false">
      <c r="A31" s="15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44"/>
      <c r="Q31" s="34"/>
      <c r="R31" s="34"/>
      <c r="S31" s="34"/>
      <c r="T31" s="34"/>
      <c r="U31" s="34"/>
      <c r="V31" s="34"/>
    </row>
    <row r="32" customFormat="false" ht="13.5" hidden="false" customHeight="false" outlineLevel="0" collapsed="false">
      <c r="A32" s="15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44"/>
      <c r="Q32" s="34"/>
      <c r="R32" s="34"/>
      <c r="S32" s="34"/>
      <c r="T32" s="34"/>
      <c r="U32" s="34"/>
      <c r="V32" s="34"/>
    </row>
    <row r="33" customFormat="false" ht="15" hidden="false" customHeight="false" outlineLevel="0" collapsed="false">
      <c r="A33" s="35" t="s">
        <v>42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  <c r="P33" s="44"/>
      <c r="Q33" s="89" t="str">
        <f aca="false">+A33</f>
        <v>BY AREA/TRADER:</v>
      </c>
      <c r="R33" s="87"/>
      <c r="S33" s="87"/>
      <c r="T33" s="87"/>
      <c r="U33" s="87"/>
      <c r="V33" s="88"/>
    </row>
    <row r="34" customFormat="false" ht="12.75" hidden="false" customHeight="false" outlineLevel="0" collapsed="false">
      <c r="A34" s="13" t="s">
        <v>43</v>
      </c>
      <c r="B34" s="69" t="n">
        <f aca="false">+B9+B17</f>
        <v>3216394.26442503</v>
      </c>
      <c r="C34" s="69" t="n">
        <f aca="false">+C9+C17</f>
        <v>5845675.45366513</v>
      </c>
      <c r="D34" s="69" t="n">
        <f aca="false">+D9+D17</f>
        <v>2717108.57753014</v>
      </c>
      <c r="E34" s="38"/>
      <c r="F34" s="38"/>
      <c r="G34" s="38"/>
      <c r="H34" s="38"/>
      <c r="I34" s="38"/>
      <c r="J34" s="38"/>
      <c r="K34" s="38"/>
      <c r="L34" s="38"/>
      <c r="M34" s="38"/>
      <c r="N34" s="34"/>
      <c r="O34" s="39" t="n">
        <f aca="false">SUM(B34:N34)</f>
        <v>11779178.2956203</v>
      </c>
      <c r="P34" s="33"/>
      <c r="Q34" s="72" t="n">
        <f aca="false">+SUM(B34:D34)</f>
        <v>11779178.2956203</v>
      </c>
      <c r="R34" s="34" t="n">
        <f aca="false">+SUM(E34:G34)</f>
        <v>0</v>
      </c>
      <c r="S34" s="34" t="n">
        <f aca="false">+SUM(H34:J34)</f>
        <v>0</v>
      </c>
      <c r="T34" s="34" t="n">
        <f aca="false">+SUM(K34:M34)</f>
        <v>0</v>
      </c>
      <c r="U34" s="34"/>
      <c r="V34" s="39" t="n">
        <f aca="false">SUM(Q34:U34)</f>
        <v>11779178.2956203</v>
      </c>
    </row>
    <row r="35" customFormat="false" ht="12.75" hidden="false" customHeight="false" outlineLevel="0" collapsed="false">
      <c r="A35" s="13" t="s">
        <v>44</v>
      </c>
      <c r="B35" s="70" t="n">
        <f aca="false">B10+B18+B15</f>
        <v>-1638092.0262294</v>
      </c>
      <c r="C35" s="70" t="n">
        <f aca="false">C10+C18+C15</f>
        <v>205676.934753592</v>
      </c>
      <c r="D35" s="70" t="n">
        <f aca="false">D10+D18</f>
        <v>902037.008818249</v>
      </c>
      <c r="E35" s="70" t="n">
        <f aca="false">+E9+E10+E17</f>
        <v>1269232.03862965</v>
      </c>
      <c r="F35" s="70" t="n">
        <f aca="false">+F9+F10+F17</f>
        <v>4631486.66822094</v>
      </c>
      <c r="G35" s="70" t="n">
        <f aca="false">+G9+G10+G17</f>
        <v>-1097266.15899543</v>
      </c>
      <c r="H35" s="70" t="n">
        <f aca="false">+H9+H10+H17</f>
        <v>-5566160.12005761</v>
      </c>
      <c r="I35" s="70" t="n">
        <f aca="false">+I11</f>
        <v>471675.845191422</v>
      </c>
      <c r="J35" s="70" t="n">
        <f aca="false">+J11</f>
        <v>2538389.05252195</v>
      </c>
      <c r="K35" s="70" t="n">
        <f aca="false">+K11+K16+K10</f>
        <v>1059562.56865684</v>
      </c>
      <c r="L35" s="70" t="n">
        <f aca="false">+L11+L16+L10</f>
        <v>-2300236.92243877</v>
      </c>
      <c r="M35" s="70" t="n">
        <f aca="false">+M11+M16+M10</f>
        <v>9800030.52655996</v>
      </c>
      <c r="N35" s="34"/>
      <c r="O35" s="39" t="n">
        <f aca="false">SUM(B35:N35)</f>
        <v>10276335.4156314</v>
      </c>
      <c r="P35" s="33"/>
      <c r="Q35" s="72" t="n">
        <f aca="false">+SUM(B35:D35)</f>
        <v>-530378.082657559</v>
      </c>
      <c r="R35" s="34" t="n">
        <f aca="false">+SUM(E35:G35)</f>
        <v>4803452.54785516</v>
      </c>
      <c r="S35" s="34" t="n">
        <f aca="false">+SUM(H35:J35)</f>
        <v>-2556095.22234423</v>
      </c>
      <c r="T35" s="34" t="n">
        <f aca="false">+SUM(K35:M35)</f>
        <v>8559356.17277804</v>
      </c>
      <c r="U35" s="34"/>
      <c r="V35" s="39" t="n">
        <f aca="false">SUM(Q35:U35)</f>
        <v>10276335.4156314</v>
      </c>
    </row>
    <row r="36" customFormat="false" ht="12.75" hidden="false" customHeight="false" outlineLevel="0" collapsed="false">
      <c r="A36" s="13" t="s">
        <v>45</v>
      </c>
      <c r="B36" s="34" t="n">
        <f aca="false">+B11</f>
        <v>0</v>
      </c>
      <c r="C36" s="34" t="n">
        <f aca="false">+C11</f>
        <v>0</v>
      </c>
      <c r="D36" s="34" t="n">
        <f aca="false">+D11</f>
        <v>0</v>
      </c>
      <c r="E36" s="71" t="n">
        <f aca="false">+E11</f>
        <v>7208.31883182949</v>
      </c>
      <c r="F36" s="71" t="n">
        <f aca="false">+F11</f>
        <v>936819.158145147</v>
      </c>
      <c r="G36" s="71" t="n">
        <f aca="false">+G11</f>
        <v>-1582741.75409755</v>
      </c>
      <c r="H36" s="71" t="n">
        <f aca="false">+H11</f>
        <v>-512592.18594133</v>
      </c>
      <c r="I36" s="71" t="n">
        <f aca="false">+I9+I17</f>
        <v>5548078.65091149</v>
      </c>
      <c r="J36" s="71" t="n">
        <f aca="false">+J9+J17</f>
        <v>-185288.357815526</v>
      </c>
      <c r="K36" s="71" t="n">
        <f aca="false">+K9+K17</f>
        <v>-3474647.86111623</v>
      </c>
      <c r="L36" s="71" t="n">
        <f aca="false">+L9+L17</f>
        <v>-8079017.57069434</v>
      </c>
      <c r="M36" s="71" t="n">
        <f aca="false">+M9+M17</f>
        <v>2499617.35096265</v>
      </c>
      <c r="N36" s="34"/>
      <c r="O36" s="39" t="n">
        <f aca="false">SUM(B36:N36)</f>
        <v>-4842564.25081385</v>
      </c>
      <c r="P36" s="33"/>
      <c r="Q36" s="72" t="n">
        <f aca="false">+SUM(B36:D36)</f>
        <v>0</v>
      </c>
      <c r="R36" s="34" t="n">
        <f aca="false">+SUM(E36:G36)</f>
        <v>-638714.27712057</v>
      </c>
      <c r="S36" s="34" t="n">
        <f aca="false">+SUM(H36:J36)</f>
        <v>4850198.10715464</v>
      </c>
      <c r="T36" s="34" t="n">
        <f aca="false">+SUM(K36:M36)</f>
        <v>-9054048.08084791</v>
      </c>
      <c r="U36" s="34"/>
      <c r="V36" s="39" t="n">
        <f aca="false">SUM(Q36:U36)</f>
        <v>-4842564.25081385</v>
      </c>
    </row>
    <row r="37" customFormat="false" ht="12.75" hidden="false" customHeight="false" outlineLevel="0" collapsed="false">
      <c r="A37" s="13" t="s">
        <v>46</v>
      </c>
      <c r="B37" s="74" t="n">
        <f aca="false">+B12+B19</f>
        <v>62145.9476679135</v>
      </c>
      <c r="C37" s="74" t="n">
        <f aca="false">+C12+C19</f>
        <v>1202644.52211402</v>
      </c>
      <c r="D37" s="74" t="n">
        <f aca="false">+D12+D19</f>
        <v>-363033.495211026</v>
      </c>
      <c r="E37" s="74" t="n">
        <f aca="false">+E12+E19</f>
        <v>764057.950128642</v>
      </c>
      <c r="F37" s="74" t="n">
        <f aca="false">+F12+F19</f>
        <v>4773254.7777713</v>
      </c>
      <c r="G37" s="74" t="n">
        <f aca="false">+G12+G19</f>
        <v>2336549.79608243</v>
      </c>
      <c r="H37" s="74" t="n">
        <f aca="false">+H12+H19</f>
        <v>-287206.907315284</v>
      </c>
      <c r="I37" s="74" t="n">
        <f aca="false">+I12+I19</f>
        <v>-1590366.1529522</v>
      </c>
      <c r="J37" s="74" t="n">
        <f aca="false">+J12+J19</f>
        <v>-3963287.26552493</v>
      </c>
      <c r="K37" s="74" t="n">
        <f aca="false">+K12+K19</f>
        <v>-1225691.74586439</v>
      </c>
      <c r="L37" s="74" t="n">
        <f aca="false">+L12+L19</f>
        <v>1091568.52959667</v>
      </c>
      <c r="M37" s="74" t="n">
        <f aca="false">+M12+M19</f>
        <v>1556126.46717699</v>
      </c>
      <c r="N37" s="34"/>
      <c r="O37" s="39" t="n">
        <f aca="false">SUM(B37:N37)</f>
        <v>4356762.42367014</v>
      </c>
      <c r="P37" s="33"/>
      <c r="Q37" s="72" t="n">
        <f aca="false">+SUM(B37:D37)</f>
        <v>901756.974570906</v>
      </c>
      <c r="R37" s="34" t="n">
        <f aca="false">+SUM(E37:G37)</f>
        <v>7873862.52398238</v>
      </c>
      <c r="S37" s="34" t="n">
        <f aca="false">+SUM(H37:J37)</f>
        <v>-5840860.32579241</v>
      </c>
      <c r="T37" s="34" t="n">
        <f aca="false">+SUM(K37:M37)</f>
        <v>1422003.25090927</v>
      </c>
      <c r="U37" s="34"/>
      <c r="V37" s="39" t="n">
        <f aca="false">SUM(Q37:U37)</f>
        <v>4356762.42367014</v>
      </c>
    </row>
    <row r="38" customFormat="false" ht="12.75" hidden="false" customHeight="false" outlineLevel="0" collapsed="false">
      <c r="A38" s="13" t="s">
        <v>47</v>
      </c>
      <c r="B38" s="77" t="n">
        <f aca="false">+B14</f>
        <v>-1649853.03483908</v>
      </c>
      <c r="C38" s="77" t="n">
        <f aca="false">+C14</f>
        <v>692071.525628183</v>
      </c>
      <c r="D38" s="77" t="n">
        <f aca="false">+D14</f>
        <v>785943.268162662</v>
      </c>
      <c r="E38" s="77" t="n">
        <f aca="false">+E14</f>
        <v>703119.576820381</v>
      </c>
      <c r="F38" s="77" t="n">
        <f aca="false">+F14</f>
        <v>2076945.66177285</v>
      </c>
      <c r="G38" s="77" t="n">
        <f aca="false">+G14+G21</f>
        <v>1302697.79995819</v>
      </c>
      <c r="H38" s="77" t="n">
        <f aca="false">+H14</f>
        <v>1174213.66142688</v>
      </c>
      <c r="I38" s="77" t="n">
        <f aca="false">+I14</f>
        <v>1353509.96062605</v>
      </c>
      <c r="J38" s="77" t="n">
        <f aca="false">+J14</f>
        <v>503658.204385715</v>
      </c>
      <c r="K38" s="77" t="n">
        <f aca="false">+K14</f>
        <v>743524.839547665</v>
      </c>
      <c r="L38" s="77" t="n">
        <f aca="false">+L14</f>
        <v>766044.005468281</v>
      </c>
      <c r="M38" s="77" t="n">
        <f aca="false">+M14</f>
        <v>-162226.980262225</v>
      </c>
      <c r="N38" s="34"/>
      <c r="O38" s="39" t="n">
        <f aca="false">SUM(B38:N38)</f>
        <v>8289648.48869556</v>
      </c>
      <c r="P38" s="33"/>
      <c r="Q38" s="72" t="n">
        <f aca="false">+SUM(B38:D38)</f>
        <v>-171838.241048231</v>
      </c>
      <c r="R38" s="34" t="n">
        <f aca="false">+SUM(E38:G38)</f>
        <v>4082763.03855143</v>
      </c>
      <c r="S38" s="34" t="n">
        <f aca="false">+SUM(H38:J38)</f>
        <v>3031381.82643865</v>
      </c>
      <c r="T38" s="34" t="n">
        <f aca="false">+SUM(K38:M38)</f>
        <v>1347341.86475372</v>
      </c>
      <c r="U38" s="34"/>
      <c r="V38" s="39" t="n">
        <f aca="false">SUM(Q38:U38)</f>
        <v>8289648.48869556</v>
      </c>
    </row>
    <row r="39" customFormat="false" ht="12.75" hidden="false" customHeight="false" outlineLevel="0" collapsed="false">
      <c r="A39" s="13" t="s">
        <v>48</v>
      </c>
      <c r="B39" s="34"/>
      <c r="C39" s="34"/>
      <c r="D39" s="79" t="n">
        <f aca="false">+D15</f>
        <v>-19853.7579696606</v>
      </c>
      <c r="E39" s="79" t="n">
        <f aca="false">+E15</f>
        <v>50998.5150774039</v>
      </c>
      <c r="F39" s="79" t="n">
        <f aca="false">+F15</f>
        <v>73038.6042625945</v>
      </c>
      <c r="G39" s="79" t="n">
        <f aca="false">+G15</f>
        <v>317583.655882898</v>
      </c>
      <c r="H39" s="79" t="n">
        <f aca="false">+H15</f>
        <v>295608.493788786</v>
      </c>
      <c r="I39" s="79" t="n">
        <f aca="false">+I15</f>
        <v>327886.697722398</v>
      </c>
      <c r="J39" s="79" t="n">
        <f aca="false">+J15</f>
        <v>673448.979823922</v>
      </c>
      <c r="K39" s="79" t="n">
        <f aca="false">+K15</f>
        <v>522896.712689705</v>
      </c>
      <c r="L39" s="79" t="n">
        <f aca="false">+L15</f>
        <v>341336.220782806</v>
      </c>
      <c r="M39" s="79" t="n">
        <f aca="false">+M15</f>
        <v>238176.433728601</v>
      </c>
      <c r="N39" s="34"/>
      <c r="O39" s="39" t="n">
        <f aca="false">SUM(B39:N39)</f>
        <v>2821120.55578945</v>
      </c>
      <c r="P39" s="33"/>
      <c r="Q39" s="72" t="n">
        <f aca="false">+SUM(B39:D39)</f>
        <v>-19853.7579696606</v>
      </c>
      <c r="R39" s="34" t="n">
        <f aca="false">+SUM(E39:G39)</f>
        <v>441620.775222896</v>
      </c>
      <c r="S39" s="34" t="n">
        <f aca="false">+SUM(H39:J39)</f>
        <v>1296944.17133511</v>
      </c>
      <c r="T39" s="34" t="n">
        <f aca="false">+SUM(K39:M39)</f>
        <v>1102409.36720111</v>
      </c>
      <c r="U39" s="34"/>
      <c r="V39" s="39" t="n">
        <f aca="false">SUM(Q39:U39)</f>
        <v>2821120.55578945</v>
      </c>
    </row>
    <row r="40" customFormat="false" ht="12.75" hidden="false" customHeight="false" outlineLevel="0" collapsed="false">
      <c r="A40" s="13" t="s">
        <v>49</v>
      </c>
      <c r="B40" s="80" t="n">
        <f aca="false">+B20</f>
        <v>246905.716389996</v>
      </c>
      <c r="C40" s="80" t="n">
        <f aca="false">+C20</f>
        <v>183839.599903878</v>
      </c>
      <c r="D40" s="80" t="n">
        <f aca="false">+D20</f>
        <v>1261789.15706553</v>
      </c>
      <c r="E40" s="80" t="n">
        <f aca="false">+E20</f>
        <v>1453448.48194569</v>
      </c>
      <c r="F40" s="80" t="n">
        <f aca="false">+F20</f>
        <v>1254448.71869596</v>
      </c>
      <c r="G40" s="80" t="n">
        <f aca="false">+G20</f>
        <v>-998132.449314178</v>
      </c>
      <c r="H40" s="80" t="n">
        <f aca="false">+H20</f>
        <v>-416028.075429524</v>
      </c>
      <c r="I40" s="80" t="n">
        <f aca="false">+I20</f>
        <v>-1002686.61458792</v>
      </c>
      <c r="J40" s="80" t="n">
        <f aca="false">+J20</f>
        <v>1471033.8871544</v>
      </c>
      <c r="K40" s="80" t="n">
        <f aca="false">+K20</f>
        <v>-136977.622654623</v>
      </c>
      <c r="L40" s="80" t="n">
        <f aca="false">+L20</f>
        <v>47101.2567162051</v>
      </c>
      <c r="M40" s="80" t="n">
        <f aca="false">+M20</f>
        <v>0</v>
      </c>
      <c r="N40" s="34"/>
      <c r="O40" s="39" t="n">
        <f aca="false">SUM(B40:N40)</f>
        <v>3364742.05588542</v>
      </c>
      <c r="P40" s="33"/>
      <c r="Q40" s="72" t="n">
        <f aca="false">+SUM(B40:D40)</f>
        <v>1692534.4733594</v>
      </c>
      <c r="R40" s="34" t="n">
        <f aca="false">+SUM(E40:G40)</f>
        <v>1709764.75132747</v>
      </c>
      <c r="S40" s="34" t="n">
        <f aca="false">+SUM(H40:J40)</f>
        <v>52319.1971369556</v>
      </c>
      <c r="T40" s="34" t="n">
        <f aca="false">+SUM(K40:M40)</f>
        <v>-89876.3659384182</v>
      </c>
      <c r="U40" s="34"/>
      <c r="V40" s="39" t="n">
        <f aca="false">SUM(Q40:U40)</f>
        <v>3364742.05588542</v>
      </c>
    </row>
    <row r="41" customFormat="false" ht="13.5" hidden="false" customHeight="false" outlineLevel="0" collapsed="false">
      <c r="A41" s="40" t="s">
        <v>16</v>
      </c>
      <c r="B41" s="41" t="n">
        <f aca="false">SUM(B35:B40)</f>
        <v>-2978893.39701057</v>
      </c>
      <c r="C41" s="41" t="n">
        <f aca="false">SUM(C35:C40)</f>
        <v>2284232.58239967</v>
      </c>
      <c r="D41" s="41" t="n">
        <f aca="false">SUM(D35:D40)</f>
        <v>2566882.18086575</v>
      </c>
      <c r="E41" s="41" t="n">
        <f aca="false">SUM(E35:E40)</f>
        <v>4248064.8814336</v>
      </c>
      <c r="F41" s="41" t="n">
        <f aca="false">SUM(F35:F40)</f>
        <v>13745993.5888688</v>
      </c>
      <c r="G41" s="41" t="n">
        <f aca="false">SUM(G35:G40)</f>
        <v>278690.889516365</v>
      </c>
      <c r="H41" s="41" t="n">
        <f aca="false">SUM(H35:H40)</f>
        <v>-5312165.13352808</v>
      </c>
      <c r="I41" s="41" t="n">
        <f aca="false">SUM(I35:I40)</f>
        <v>5108098.38691124</v>
      </c>
      <c r="J41" s="41" t="n">
        <f aca="false">SUM(J35:J40)</f>
        <v>1037954.50054554</v>
      </c>
      <c r="K41" s="41" t="n">
        <f aca="false">SUM(K35:K40)</f>
        <v>-2511333.10874103</v>
      </c>
      <c r="L41" s="41" t="n">
        <f aca="false">SUM(L35:L40)</f>
        <v>-8133204.48056915</v>
      </c>
      <c r="M41" s="41" t="n">
        <f aca="false">SUM(M35:M40)</f>
        <v>13931723.798166</v>
      </c>
      <c r="N41" s="42"/>
      <c r="O41" s="43" t="n">
        <f aca="false">SUM(O34:O40)</f>
        <v>36045222.9844784</v>
      </c>
      <c r="P41" s="33"/>
      <c r="Q41" s="81" t="n">
        <f aca="false">SUM(Q34:Q40)</f>
        <v>13651399.6618752</v>
      </c>
      <c r="R41" s="41" t="n">
        <f aca="false">SUM(R35:R40)</f>
        <v>18272749.3598188</v>
      </c>
      <c r="S41" s="41" t="n">
        <f aca="false">SUM(S35:S40)</f>
        <v>833887.753928696</v>
      </c>
      <c r="T41" s="41" t="n">
        <f aca="false">SUM(T35:T40)</f>
        <v>3287186.20885581</v>
      </c>
      <c r="U41" s="42"/>
      <c r="V41" s="43" t="n">
        <f aca="false">SUM(V34:V40)</f>
        <v>36045222.9844784</v>
      </c>
    </row>
    <row r="42" customFormat="false" ht="12.75" hidden="true" customHeight="false" outlineLevel="0" collapsed="false">
      <c r="A42" s="0" t="s">
        <v>41</v>
      </c>
      <c r="B42" s="33" t="n">
        <f aca="false">+B41-B22</f>
        <v>-3216394.26442503</v>
      </c>
      <c r="C42" s="33" t="n">
        <f aca="false">+C41-C22</f>
        <v>-5845675.45366513</v>
      </c>
      <c r="D42" s="33" t="n">
        <f aca="false">+D41-D22</f>
        <v>-2717108.57753014</v>
      </c>
      <c r="E42" s="33" t="n">
        <f aca="false">+E41-E22</f>
        <v>0</v>
      </c>
      <c r="F42" s="33" t="n">
        <f aca="false">+F41-F22</f>
        <v>0</v>
      </c>
      <c r="G42" s="33" t="n">
        <f aca="false">+G41-G22</f>
        <v>0</v>
      </c>
      <c r="H42" s="33" t="n">
        <f aca="false">+H41-H22</f>
        <v>0</v>
      </c>
      <c r="I42" s="33" t="n">
        <f aca="false">+I41-I22</f>
        <v>0</v>
      </c>
      <c r="J42" s="33" t="n">
        <f aca="false">+J41-J22</f>
        <v>0</v>
      </c>
      <c r="K42" s="33" t="n">
        <f aca="false">+K41-K22</f>
        <v>0</v>
      </c>
      <c r="L42" s="33" t="n">
        <f aca="false">+L41-L22</f>
        <v>0</v>
      </c>
      <c r="M42" s="33" t="n">
        <f aca="false">+M41-M22</f>
        <v>0</v>
      </c>
      <c r="N42" s="33"/>
      <c r="O42" s="33"/>
      <c r="P42" s="33"/>
      <c r="Q42" s="33" t="n">
        <f aca="false">+Q41-Q22</f>
        <v>0</v>
      </c>
      <c r="R42" s="33" t="n">
        <f aca="false">+R41-R22</f>
        <v>0</v>
      </c>
      <c r="S42" s="33" t="n">
        <f aca="false">+S41-S22</f>
        <v>0</v>
      </c>
      <c r="T42" s="33" t="n">
        <f aca="false">+T41-T22</f>
        <v>0</v>
      </c>
      <c r="U42" s="33"/>
      <c r="V42" s="33"/>
    </row>
    <row r="43" customFormat="false" ht="12.75" hidden="false" customHeight="false" outlineLevel="0" collapsed="false">
      <c r="U43" s="15"/>
    </row>
    <row r="44" customFormat="false" ht="12.75" hidden="false" customHeight="false" outlineLevel="0" collapsed="false">
      <c r="U44" s="15"/>
    </row>
    <row r="45" customFormat="false" ht="12.75" hidden="false" customHeight="false" outlineLevel="0" collapsed="false">
      <c r="U45" s="15"/>
    </row>
    <row r="46" customFormat="false" ht="12.75" hidden="false" customHeight="false" outlineLevel="0" collapsed="false">
      <c r="U46" s="15"/>
    </row>
    <row r="47" customFormat="false" ht="12.75" hidden="false" customHeight="false" outlineLevel="0" collapsed="false">
      <c r="U47" s="15"/>
    </row>
    <row r="48" customFormat="false" ht="12.75" hidden="false" customHeight="false" outlineLevel="0" collapsed="false">
      <c r="U48" s="15"/>
    </row>
    <row r="49" customFormat="false" ht="12.75" hidden="false" customHeight="false" outlineLevel="0" collapsed="false">
      <c r="U49" s="15"/>
    </row>
    <row r="50" customFormat="false" ht="12.75" hidden="false" customHeight="false" outlineLevel="0" collapsed="false">
      <c r="U50" s="15"/>
    </row>
    <row r="51" customFormat="false" ht="12.75" hidden="false" customHeight="false" outlineLevel="0" collapsed="false">
      <c r="U51" s="15"/>
    </row>
    <row r="52" customFormat="false" ht="12.75" hidden="false" customHeight="false" outlineLevel="0" collapsed="false">
      <c r="U5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0"/>
  <sheetViews>
    <sheetView showFormulas="false" showGridLines="true" showRowColHeaders="true" showZeros="true" rightToLeft="false" tabSelected="false" showOutlineSymbols="true" defaultGridColor="true" view="normal" topLeftCell="D24" colorId="64" zoomScale="100" zoomScaleNormal="100" zoomScalePageLayoutView="100" workbookViewId="0">
      <selection pane="topLeft" activeCell="O42" activeCellId="0" sqref="O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0.28"/>
    <col collapsed="false" customWidth="true" hidden="false" outlineLevel="0" max="3" min="3" style="0" width="9.85"/>
    <col collapsed="false" customWidth="true" hidden="false" outlineLevel="0" max="5" min="4" style="0" width="9.56"/>
    <col collapsed="false" customWidth="true" hidden="false" outlineLevel="0" max="6" min="6" style="0" width="9.85"/>
    <col collapsed="false" customWidth="true" hidden="false" outlineLevel="0" max="7" min="7" style="0" width="9.56"/>
    <col collapsed="false" customWidth="true" hidden="false" outlineLevel="0" max="8" min="8" style="0" width="10.41"/>
    <col collapsed="false" customWidth="true" hidden="false" outlineLevel="0" max="9" min="9" style="0" width="9.56"/>
    <col collapsed="false" customWidth="true" hidden="false" outlineLevel="0" max="11" min="10" style="0" width="10.13"/>
    <col collapsed="false" customWidth="true" hidden="false" outlineLevel="0" max="13" min="12" style="0" width="10.56"/>
    <col collapsed="false" customWidth="true" hidden="false" outlineLevel="0" max="14" min="14" style="15" width="0.99"/>
    <col collapsed="false" customWidth="true" hidden="false" outlineLevel="0" max="15" min="15" style="0" width="10.71"/>
    <col collapsed="false" customWidth="true" hidden="false" outlineLevel="0" max="16" min="16" style="0" width="1.7"/>
    <col collapsed="false" customWidth="true" hidden="false" outlineLevel="0" max="17" min="17" style="0" width="9.85"/>
    <col collapsed="false" customWidth="true" hidden="false" outlineLevel="0" max="18" min="18" style="0" width="10.28"/>
    <col collapsed="false" customWidth="true" hidden="false" outlineLevel="0" max="19" min="19" style="0" width="11.13"/>
    <col collapsed="false" customWidth="true" hidden="false" outlineLevel="0" max="20" min="20" style="0" width="10.99"/>
    <col collapsed="false" customWidth="true" hidden="false" outlineLevel="0" max="21" min="21" style="0" width="1.99"/>
    <col collapsed="false" customWidth="true" hidden="false" outlineLevel="0" max="22" min="22" style="0" width="10.99"/>
  </cols>
  <sheetData>
    <row r="1" customFormat="false" ht="15.75" hidden="false" customHeight="false" outlineLevel="0" collapsed="false">
      <c r="A1" s="27" t="s">
        <v>50</v>
      </c>
    </row>
    <row r="2" customFormat="false" ht="13.5" hidden="false" customHeight="false" outlineLevel="0" collapsed="false">
      <c r="L2" s="32"/>
      <c r="M2" s="32" t="s">
        <v>51</v>
      </c>
    </row>
    <row r="3" customFormat="false" ht="12.75" hidden="false" customHeight="false" outlineLevel="0" collapsed="false">
      <c r="B3" s="1"/>
      <c r="C3" s="2"/>
      <c r="D3" s="2"/>
      <c r="E3" s="2"/>
      <c r="F3" s="2"/>
      <c r="G3" s="2"/>
      <c r="H3" s="2"/>
      <c r="I3" s="2"/>
      <c r="J3" s="2"/>
      <c r="K3" s="3"/>
      <c r="L3" s="3"/>
      <c r="M3" s="3" t="s">
        <v>0</v>
      </c>
      <c r="N3" s="2"/>
      <c r="O3" s="4"/>
      <c r="Q3" s="50"/>
      <c r="R3" s="51"/>
      <c r="S3" s="51"/>
      <c r="T3" s="52" t="s">
        <v>21</v>
      </c>
      <c r="U3" s="51"/>
      <c r="V3" s="53"/>
    </row>
    <row r="4" customFormat="false" ht="13.5" hidden="false" customHeight="false" outlineLevel="0" collapsed="false">
      <c r="B4" s="90" t="n">
        <v>36526</v>
      </c>
      <c r="C4" s="91" t="n">
        <v>36557</v>
      </c>
      <c r="D4" s="91" t="n">
        <v>36586</v>
      </c>
      <c r="E4" s="91" t="n">
        <v>36617</v>
      </c>
      <c r="F4" s="91" t="n">
        <v>36647</v>
      </c>
      <c r="G4" s="91" t="n">
        <v>36678</v>
      </c>
      <c r="H4" s="91" t="n">
        <v>36708</v>
      </c>
      <c r="I4" s="91" t="n">
        <v>36739</v>
      </c>
      <c r="J4" s="91" t="n">
        <v>36770</v>
      </c>
      <c r="K4" s="91" t="n">
        <v>36800</v>
      </c>
      <c r="L4" s="6" t="n">
        <v>36831</v>
      </c>
      <c r="M4" s="6" t="n">
        <v>36861</v>
      </c>
      <c r="N4" s="7"/>
      <c r="O4" s="8" t="s">
        <v>1</v>
      </c>
      <c r="Q4" s="54" t="s">
        <v>22</v>
      </c>
      <c r="R4" s="55" t="s">
        <v>23</v>
      </c>
      <c r="S4" s="55" t="s">
        <v>24</v>
      </c>
      <c r="T4" s="55" t="s">
        <v>25</v>
      </c>
      <c r="U4" s="56"/>
      <c r="V4" s="57" t="s">
        <v>1</v>
      </c>
    </row>
    <row r="5" customFormat="false" ht="12.75" hidden="false" customHeight="false" outlineLevel="0" collapsed="false">
      <c r="A5" s="35" t="s">
        <v>26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  <c r="O5" s="60"/>
      <c r="Q5" s="61" t="str">
        <f aca="false">+A5</f>
        <v>BY BOOK:</v>
      </c>
      <c r="R5" s="62"/>
      <c r="S5" s="62"/>
      <c r="T5" s="62"/>
      <c r="U5" s="59"/>
      <c r="V5" s="60"/>
    </row>
    <row r="6" customFormat="false" ht="12.75" hidden="false" customHeight="false" outlineLevel="0" collapsed="false">
      <c r="A6" s="63" t="s">
        <v>27</v>
      </c>
      <c r="B6" s="64" t="s">
        <v>28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  <c r="O6" s="67"/>
      <c r="Q6" s="68"/>
      <c r="R6" s="65"/>
      <c r="S6" s="65"/>
      <c r="T6" s="65"/>
      <c r="U6" s="66"/>
      <c r="V6" s="67"/>
    </row>
    <row r="7" customFormat="false" ht="12.75" hidden="false" customHeight="false" outlineLevel="0" collapsed="false">
      <c r="A7" s="13" t="s">
        <v>29</v>
      </c>
      <c r="B7" s="69" t="n">
        <f aca="false">+[1]Report!$G$55-[1]Report!$G$40-Orig!B4</f>
        <v>5018555</v>
      </c>
      <c r="C7" s="69" t="n">
        <f aca="false">+[2]Report!$G$56-Orig!C4</f>
        <v>8036083.75</v>
      </c>
      <c r="D7" s="69" t="n">
        <f aca="false">+[3]Report!$G$56-Orig!D4+Orig!G6</f>
        <v>3924094.91</v>
      </c>
      <c r="E7" s="70" t="n">
        <f aca="false">+[4]Report!$G$56-E8</f>
        <v>689032.57</v>
      </c>
      <c r="F7" s="70" t="n">
        <f aca="false">+[5]Report!$G$56</f>
        <v>6920325.17</v>
      </c>
      <c r="G7" s="70" t="n">
        <f aca="false">+[6]Report!$G$56</f>
        <v>-1619450.9470777</v>
      </c>
      <c r="H7" s="70" t="n">
        <f aca="false">+[7]Report!$G$56</f>
        <v>-8225983.20219726</v>
      </c>
      <c r="I7" s="71" t="n">
        <f aca="false">+[8]Report!$G$56</f>
        <v>8765239.68328565</v>
      </c>
      <c r="J7" s="71" t="n">
        <f aca="false">+[9]Report!$G$56</f>
        <v>1152866</v>
      </c>
      <c r="K7" s="71" t="n">
        <f aca="false">+[10]Report!$G$56</f>
        <v>-5437697.33</v>
      </c>
      <c r="L7" s="71" t="n">
        <f aca="false">+[11]Report!$G$56</f>
        <v>-11599784</v>
      </c>
      <c r="M7" s="71" t="n">
        <f aca="false">+[12]Report!$G$56</f>
        <v>3854866</v>
      </c>
      <c r="N7" s="34"/>
      <c r="O7" s="39" t="n">
        <f aca="false">SUM(B7:N7)</f>
        <v>11478147.6040107</v>
      </c>
      <c r="P7" s="44"/>
      <c r="Q7" s="72" t="n">
        <f aca="false">+SUM(B7:D7)</f>
        <v>16978733.66</v>
      </c>
      <c r="R7" s="34" t="n">
        <f aca="false">+SUM(E7:G7)</f>
        <v>5989906.7929223</v>
      </c>
      <c r="S7" s="34" t="n">
        <f aca="false">+SUM(H7:J7)</f>
        <v>1692122.48108839</v>
      </c>
      <c r="T7" s="34" t="n">
        <f aca="false">+SUM(K7:M7)</f>
        <v>-13182615.33</v>
      </c>
      <c r="U7" s="34"/>
      <c r="V7" s="39" t="n">
        <f aca="false">SUM(Q7:U7)</f>
        <v>11478147.6040107</v>
      </c>
    </row>
    <row r="8" customFormat="false" ht="12.75" hidden="false" customHeight="false" outlineLevel="0" collapsed="false">
      <c r="A8" s="13" t="s">
        <v>30</v>
      </c>
      <c r="B8" s="70" t="n">
        <f aca="false">+[1]Report!$M$55</f>
        <v>-1275510</v>
      </c>
      <c r="C8" s="70" t="n">
        <f aca="false">+[2]Report!$M$56</f>
        <v>11611</v>
      </c>
      <c r="D8" s="70" t="n">
        <f aca="false">+[3]Report!$M$56</f>
        <v>1317594</v>
      </c>
      <c r="E8" s="70" t="n">
        <f aca="false">+[13]Report!$M$56</f>
        <v>1043406</v>
      </c>
      <c r="F8" s="34"/>
      <c r="G8" s="34"/>
      <c r="H8" s="34"/>
      <c r="I8" s="34"/>
      <c r="J8" s="34"/>
      <c r="K8" s="70" t="n">
        <f aca="false">+[10]Report!$S$55</f>
        <v>190494</v>
      </c>
      <c r="L8" s="73" t="n">
        <f aca="false">+[11]Report!$S$56</f>
        <v>-8525749</v>
      </c>
      <c r="M8" s="73" t="n">
        <f aca="false">+[12]Report!$S$56</f>
        <v>11775195</v>
      </c>
      <c r="N8" s="34"/>
      <c r="O8" s="39" t="n">
        <f aca="false">SUM(B8:N8)</f>
        <v>4537041</v>
      </c>
      <c r="P8" s="44"/>
      <c r="Q8" s="72" t="n">
        <f aca="false">+SUM(B8:D8)</f>
        <v>53695</v>
      </c>
      <c r="R8" s="34" t="n">
        <f aca="false">+SUM(E8:G8)</f>
        <v>1043406</v>
      </c>
      <c r="S8" s="34" t="n">
        <f aca="false">+SUM(H8:J8)</f>
        <v>0</v>
      </c>
      <c r="T8" s="34" t="n">
        <f aca="false">+SUM(K8:M8)</f>
        <v>3439940</v>
      </c>
      <c r="U8" s="34"/>
      <c r="V8" s="39" t="n">
        <f aca="false">SUM(Q8:U8)</f>
        <v>4537041</v>
      </c>
    </row>
    <row r="9" customFormat="false" ht="12.75" hidden="false" customHeight="false" outlineLevel="0" collapsed="false">
      <c r="A9" s="13" t="s">
        <v>31</v>
      </c>
      <c r="B9" s="34"/>
      <c r="C9" s="34"/>
      <c r="D9" s="34"/>
      <c r="E9" s="71" t="n">
        <f aca="false">+[4]Report!$M$56</f>
        <v>10580</v>
      </c>
      <c r="F9" s="71" t="n">
        <f aca="false">+[5]Report!$M$56</f>
        <v>1399907</v>
      </c>
      <c r="G9" s="71" t="n">
        <f aca="false">+[6]Report!$M$56</f>
        <v>-2336264</v>
      </c>
      <c r="H9" s="71" t="n">
        <f aca="false">+[7]Report!$M$56</f>
        <v>-757517</v>
      </c>
      <c r="I9" s="70" t="n">
        <f aca="false">+[8]Report!$M$56</f>
        <v>699140</v>
      </c>
      <c r="J9" s="70" t="n">
        <f aca="false">+[9]Report!$M$56</f>
        <v>3765245</v>
      </c>
      <c r="K9" s="70" t="n">
        <f aca="false">+[10]Report!$M$56</f>
        <v>1993048</v>
      </c>
      <c r="L9" s="70" t="n">
        <f aca="false">+[11]Report!$M$56</f>
        <v>-459849.55</v>
      </c>
      <c r="M9" s="70" t="n">
        <f aca="false">+[12]Report!$M$56</f>
        <v>3097088</v>
      </c>
      <c r="N9" s="34"/>
      <c r="O9" s="39" t="n">
        <f aca="false">SUM(B9:N9)</f>
        <v>7411377.45</v>
      </c>
      <c r="P9" s="44"/>
      <c r="Q9" s="72" t="n">
        <f aca="false">+SUM(B9:D9)</f>
        <v>0</v>
      </c>
      <c r="R9" s="34" t="n">
        <f aca="false">+SUM(E9:G9)</f>
        <v>-925777</v>
      </c>
      <c r="S9" s="34" t="n">
        <f aca="false">+SUM(H9:J9)</f>
        <v>3706868</v>
      </c>
      <c r="T9" s="34" t="n">
        <f aca="false">+SUM(K9:M9)</f>
        <v>4630286.45</v>
      </c>
      <c r="U9" s="34"/>
      <c r="V9" s="39" t="n">
        <f aca="false">SUM(Q9:U9)</f>
        <v>7411377.45</v>
      </c>
    </row>
    <row r="10" customFormat="false" ht="12.75" hidden="false" customHeight="false" outlineLevel="0" collapsed="false">
      <c r="A10" s="13" t="s">
        <v>32</v>
      </c>
      <c r="B10" s="74" t="n">
        <f aca="false">+[1]Report!$S$55+[1]Report!$U$55+[1]Report!$W$55</f>
        <v>-325164</v>
      </c>
      <c r="C10" s="74" t="n">
        <f aca="false">+[2]Report!$S$56+[2]Report!$U$55+[2]Report!$W$56</f>
        <v>992797</v>
      </c>
      <c r="D10" s="74" t="n">
        <f aca="false">+[3]Report!$S$56+[3]Report!$U$56+[3]Report!$W$56-Orig!G6</f>
        <v>-1038794</v>
      </c>
      <c r="E10" s="74" t="n">
        <f aca="false">+[4]Report!$S$56+[4]Report!$U$56+[4]Report!$W$56</f>
        <v>497870</v>
      </c>
      <c r="F10" s="74" t="n">
        <f aca="false">+[5]Report!$S$56+[5]Report!$U$56+[5]Report!$W$56</f>
        <v>6603745</v>
      </c>
      <c r="G10" s="74" t="n">
        <f aca="false">+[6]Report!$W$56</f>
        <v>1961800</v>
      </c>
      <c r="H10" s="74" t="n">
        <f aca="false">+[7]Report!$W$56</f>
        <v>-1685501</v>
      </c>
      <c r="I10" s="74" t="n">
        <f aca="false">+[8]Report!$W$56</f>
        <v>-3180802.1</v>
      </c>
      <c r="J10" s="74" t="n">
        <f aca="false">+[9]Report!$W$56</f>
        <v>-8749196</v>
      </c>
      <c r="K10" s="75" t="n">
        <f aca="false">+[10]Report!$AA$56</f>
        <v>-1587040</v>
      </c>
      <c r="L10" s="74" t="n">
        <f aca="false">+[11]Report!$AA$56</f>
        <v>4082105</v>
      </c>
      <c r="M10" s="74" t="n">
        <f aca="false">+[12]Report!$AA$56</f>
        <v>-1710788</v>
      </c>
      <c r="N10" s="34"/>
      <c r="O10" s="39" t="n">
        <f aca="false">SUM(B10:N10)</f>
        <v>-4138968.1</v>
      </c>
      <c r="P10" s="44"/>
      <c r="Q10" s="72" t="n">
        <f aca="false">+SUM(B10:D10)</f>
        <v>-371161</v>
      </c>
      <c r="R10" s="34" t="n">
        <f aca="false">+SUM(E10:G10)</f>
        <v>9063415</v>
      </c>
      <c r="S10" s="34" t="n">
        <f aca="false">+SUM(H10:J10)</f>
        <v>-13615499.1</v>
      </c>
      <c r="T10" s="76" t="n">
        <f aca="false">+SUM(K10:M10)</f>
        <v>784277</v>
      </c>
      <c r="U10" s="34"/>
      <c r="V10" s="39" t="n">
        <f aca="false">SUM(Q10:U10)</f>
        <v>-4138968.1</v>
      </c>
    </row>
    <row r="11" customFormat="false" ht="12.75" hidden="false" customHeight="false" outlineLevel="0" collapsed="false">
      <c r="A11" s="63" t="s">
        <v>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9"/>
      <c r="P11" s="44"/>
      <c r="Q11" s="72" t="n">
        <f aca="false">+SUM(B11:D11)</f>
        <v>0</v>
      </c>
      <c r="R11" s="34" t="n">
        <f aca="false">+SUM(E11:G11)</f>
        <v>0</v>
      </c>
      <c r="S11" s="34" t="n">
        <f aca="false">+SUM(H11:J11)</f>
        <v>0</v>
      </c>
      <c r="T11" s="34" t="n">
        <f aca="false">+SUM(K11:M11)</f>
        <v>0</v>
      </c>
      <c r="U11" s="34"/>
      <c r="V11" s="39"/>
    </row>
    <row r="12" customFormat="false" ht="12.75" hidden="false" customHeight="false" outlineLevel="0" collapsed="false">
      <c r="A12" s="13" t="s">
        <v>33</v>
      </c>
      <c r="B12" s="77" t="n">
        <f aca="false">+[14]Lavo!$I$18</f>
        <v>-2394049.05</v>
      </c>
      <c r="C12" s="77" t="n">
        <f aca="false">+[15]Lavo!$I$18</f>
        <v>1003024.035</v>
      </c>
      <c r="D12" s="77" t="n">
        <f aca="false">+[16]Lavo!$I$18</f>
        <v>1148012.12000001</v>
      </c>
      <c r="E12" s="77" t="n">
        <f aca="false">+[17]Lavo!$I$18</f>
        <v>1032002.7868234</v>
      </c>
      <c r="F12" s="77" t="n">
        <f aca="false">+[18]Lavo!$I$18</f>
        <v>3103620.10133547</v>
      </c>
      <c r="G12" s="77" t="n">
        <f aca="false">+[19]Lavo!$I$18</f>
        <v>3122894.85321429</v>
      </c>
      <c r="H12" s="77" t="n">
        <f aca="false">+[20]Lavo!$I$18</f>
        <v>1735271.88778667</v>
      </c>
      <c r="I12" s="77" t="n">
        <f aca="false">+[21]Lavo!$I$18</f>
        <v>2006235.7729768</v>
      </c>
      <c r="J12" s="77" t="n">
        <f aca="false">+[22]Lavo!$I$18</f>
        <v>747086.635079905</v>
      </c>
      <c r="K12" s="77" t="n">
        <f aca="false">+[23]Lavo!$I$18</f>
        <v>1123313.02688876</v>
      </c>
      <c r="L12" s="77" t="n">
        <f aca="false">+[24]Lavo!$I$18</f>
        <v>1181936.95647706</v>
      </c>
      <c r="M12" s="77" t="n">
        <f aca="false">+[25]Lavo!$I$18</f>
        <v>-249771.611396589</v>
      </c>
      <c r="N12" s="34"/>
      <c r="O12" s="39" t="n">
        <f aca="false">SUM(B12:N12)</f>
        <v>13559577.5141858</v>
      </c>
      <c r="P12" s="44"/>
      <c r="Q12" s="72" t="n">
        <f aca="false">+SUM(B12:D12)</f>
        <v>-243012.894999991</v>
      </c>
      <c r="R12" s="34" t="n">
        <f aca="false">+SUM(E12:G12)</f>
        <v>7258517.74137315</v>
      </c>
      <c r="S12" s="34" t="n">
        <f aca="false">+SUM(H12:J12)</f>
        <v>4488594.29584337</v>
      </c>
      <c r="T12" s="34" t="n">
        <f aca="false">+SUM(K12:M12)</f>
        <v>2055478.37196924</v>
      </c>
      <c r="U12" s="34"/>
      <c r="V12" s="39" t="n">
        <f aca="false">SUM(Q12:U12)</f>
        <v>13559577.5141858</v>
      </c>
    </row>
    <row r="13" customFormat="false" ht="12.75" hidden="false" customHeight="false" outlineLevel="0" collapsed="false">
      <c r="A13" s="13" t="s">
        <v>34</v>
      </c>
      <c r="B13" s="70" t="n">
        <f aca="false">+[14]Lavo!$I$38</f>
        <v>-208812.026</v>
      </c>
      <c r="C13" s="70" t="n">
        <f aca="false">+[15]Lavo!$I$38</f>
        <v>255659</v>
      </c>
      <c r="D13" s="78" t="n">
        <f aca="false">+[16]Lavo!$I$38</f>
        <v>-29000</v>
      </c>
      <c r="E13" s="79" t="n">
        <f aca="false">+[17]Lavo!$I$38</f>
        <v>74853</v>
      </c>
      <c r="F13" s="79" t="n">
        <f aca="false">+[18]Lavo!$I$38</f>
        <v>109143</v>
      </c>
      <c r="G13" s="79" t="n">
        <f aca="false">+[19]Lavo!$I$38</f>
        <v>468781</v>
      </c>
      <c r="H13" s="79" t="n">
        <f aca="false">+[20]Lavo!$I$38</f>
        <v>436855</v>
      </c>
      <c r="I13" s="79" t="n">
        <f aca="false">+[21]Lavo!$I$38</f>
        <v>486009</v>
      </c>
      <c r="J13" s="79" t="n">
        <f aca="false">+[22]Lavo!$I$38</f>
        <v>998940.805199992</v>
      </c>
      <c r="K13" s="79" t="n">
        <f aca="false">+[23]Lavo!$I$38</f>
        <v>789989.328989997</v>
      </c>
      <c r="L13" s="79" t="n">
        <f aca="false">+[24]Lavo!$I$38</f>
        <v>526651.068407999</v>
      </c>
      <c r="M13" s="79" t="n">
        <f aca="false">+[25]Lavo!$I$38</f>
        <v>366706.64493</v>
      </c>
      <c r="N13" s="34"/>
      <c r="O13" s="39" t="n">
        <f aca="false">SUM(B13:N13)</f>
        <v>4275775.82152799</v>
      </c>
      <c r="P13" s="44"/>
      <c r="Q13" s="72" t="n">
        <f aca="false">+SUM(B13:D13)</f>
        <v>17846.974</v>
      </c>
      <c r="R13" s="34" t="n">
        <f aca="false">+SUM(E13:G13)</f>
        <v>652777</v>
      </c>
      <c r="S13" s="34" t="n">
        <f aca="false">+SUM(H13:J13)</f>
        <v>1921804.80519999</v>
      </c>
      <c r="T13" s="34" t="n">
        <f aca="false">+SUM(K13:M13)</f>
        <v>1683347.042328</v>
      </c>
      <c r="U13" s="34"/>
      <c r="V13" s="39" t="n">
        <f aca="false">SUM(Q13:U13)</f>
        <v>4275775.82152799</v>
      </c>
    </row>
    <row r="14" customFormat="false" ht="12.75" hidden="false" customHeight="false" outlineLevel="0" collapsed="false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34"/>
      <c r="K14" s="70" t="n">
        <f aca="false">+[23]Lavo!$I$50</f>
        <v>-582761</v>
      </c>
      <c r="L14" s="70" t="n">
        <f aca="false">+[24]Lavo!$I$50</f>
        <v>5436540</v>
      </c>
      <c r="M14" s="70" t="n">
        <f aca="false">+[25]Lavo!$I$50</f>
        <v>216264</v>
      </c>
      <c r="N14" s="34"/>
      <c r="O14" s="39" t="n">
        <f aca="false">SUM(B14:N14)</f>
        <v>5070043</v>
      </c>
      <c r="P14" s="44"/>
      <c r="Q14" s="72" t="n">
        <f aca="false">+SUM(B14:D14)</f>
        <v>0</v>
      </c>
      <c r="R14" s="34" t="n">
        <f aca="false">+SUM(E14:G14)</f>
        <v>0</v>
      </c>
      <c r="S14" s="34" t="n">
        <f aca="false">+SUM(H14:J14)</f>
        <v>0</v>
      </c>
      <c r="T14" s="34" t="n">
        <f aca="false">+SUM(K14:M14)</f>
        <v>5070043</v>
      </c>
      <c r="U14" s="34"/>
      <c r="V14" s="39" t="n">
        <f aca="false">SUM(Q14:U14)</f>
        <v>5070043</v>
      </c>
    </row>
    <row r="15" customFormat="false" ht="12.75" hidden="false" customHeight="false" outlineLevel="0" collapsed="false">
      <c r="A15" s="13" t="s">
        <v>36</v>
      </c>
      <c r="B15" s="69" t="n">
        <f aca="false">+[14]Lavo!$I$42</f>
        <v>-351348</v>
      </c>
      <c r="C15" s="69" t="n">
        <f aca="false">+[15]Lavo!$I$42</f>
        <v>436094</v>
      </c>
      <c r="D15" s="69" t="n">
        <f aca="false">+[16]Lavo!$I$42</f>
        <v>44733</v>
      </c>
      <c r="E15" s="70" t="n">
        <f aca="false">+[17]Lavo!$I$42</f>
        <v>130475</v>
      </c>
      <c r="F15" s="70" t="n">
        <f aca="false">+[18]Lavo!$I$42</f>
        <v>595</v>
      </c>
      <c r="G15" s="70" t="n">
        <f aca="false">+[19]Lavo!$I$42</f>
        <v>-209</v>
      </c>
      <c r="H15" s="70" t="n">
        <f aca="false">+[20]Lavo!$I$42</f>
        <v>222</v>
      </c>
      <c r="I15" s="71" t="n">
        <f aca="false">+[21]Lavo!$I$42</f>
        <v>-541618</v>
      </c>
      <c r="J15" s="71" t="n">
        <f aca="false">+[22]Lavo!$I$42</f>
        <v>-1427708.0547</v>
      </c>
      <c r="K15" s="71" t="n">
        <f aca="false">+[23]Lavo!$I$54</f>
        <v>188219.4395</v>
      </c>
      <c r="L15" s="71" t="n">
        <f aca="false">+[24]Lavo!$I$54</f>
        <v>-865413</v>
      </c>
      <c r="M15" s="71" t="n">
        <f aca="false">+[25]Lavo!$I$54</f>
        <v>-6348</v>
      </c>
      <c r="N15" s="34"/>
      <c r="O15" s="39" t="n">
        <f aca="false">SUM(B15:N15)</f>
        <v>-2392305.6152</v>
      </c>
      <c r="P15" s="44"/>
      <c r="Q15" s="72" t="n">
        <f aca="false">+SUM(B15:D15)</f>
        <v>129479</v>
      </c>
      <c r="R15" s="34" t="n">
        <f aca="false">+SUM(E15:G15)</f>
        <v>130861</v>
      </c>
      <c r="S15" s="34" t="n">
        <f aca="false">+SUM(H15:J15)</f>
        <v>-1969104.0547</v>
      </c>
      <c r="T15" s="34" t="n">
        <f aca="false">+SUM(K15:M15)</f>
        <v>-683541.5605</v>
      </c>
      <c r="U15" s="34"/>
      <c r="V15" s="39" t="n">
        <f aca="false">SUM(Q15:U15)</f>
        <v>-2392305.6152</v>
      </c>
    </row>
    <row r="16" customFormat="false" ht="12.75" hidden="false" customHeight="false" outlineLevel="0" collapsed="false">
      <c r="A16" s="13" t="s">
        <v>37</v>
      </c>
      <c r="B16" s="70" t="n">
        <f aca="false">+[14]Lavo!$I$43</f>
        <v>-892661</v>
      </c>
      <c r="C16" s="70" t="n">
        <f aca="false">+[15]Lavo!$I$43</f>
        <v>30819</v>
      </c>
      <c r="D16" s="70" t="n">
        <f aca="false">+[16]Lavo!$I$43</f>
        <v>-6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9" t="n">
        <f aca="false">SUM(B16:N16)</f>
        <v>-861848</v>
      </c>
      <c r="P16" s="44"/>
      <c r="Q16" s="72" t="n">
        <f aca="false">+SUM(B16:D16)</f>
        <v>-861848</v>
      </c>
      <c r="R16" s="34" t="n">
        <f aca="false">+SUM(E16:G16)</f>
        <v>0</v>
      </c>
      <c r="S16" s="34" t="n">
        <f aca="false">+SUM(H16:J16)</f>
        <v>0</v>
      </c>
      <c r="T16" s="34" t="n">
        <f aca="false">+SUM(K16:M16)</f>
        <v>0</v>
      </c>
      <c r="U16" s="34"/>
      <c r="V16" s="39" t="n">
        <f aca="false">SUM(Q16:U16)</f>
        <v>-861848</v>
      </c>
    </row>
    <row r="17" customFormat="false" ht="12.75" hidden="false" customHeight="false" outlineLevel="0" collapsed="false">
      <c r="A17" s="13" t="s">
        <v>38</v>
      </c>
      <c r="B17" s="74" t="n">
        <f aca="false">+[14]Lavo!$I$44</f>
        <v>415342</v>
      </c>
      <c r="C17" s="74" t="n">
        <f aca="false">+[15]Lavo!$I$44</f>
        <v>750204</v>
      </c>
      <c r="D17" s="74" t="n">
        <f aca="false">+[16]Lavo!$I$44</f>
        <v>508518</v>
      </c>
      <c r="E17" s="74" t="n">
        <f aca="false">+[17]Lavo!$I$44</f>
        <v>623575</v>
      </c>
      <c r="F17" s="74" t="n">
        <f aca="false">+[18]Lavo!$I$44</f>
        <v>529022</v>
      </c>
      <c r="G17" s="74" t="n">
        <f aca="false">+[19]Lavo!$I$44</f>
        <v>1487150</v>
      </c>
      <c r="H17" s="74" t="n">
        <f aca="false">+[20]Lavo!$I$44</f>
        <v>1261062</v>
      </c>
      <c r="I17" s="74" t="n">
        <f aca="false">+[21]Lavo!$I$44</f>
        <v>823487</v>
      </c>
      <c r="J17" s="74" t="n">
        <f aca="false">+[22]Lavo!$I$44</f>
        <v>2870370</v>
      </c>
      <c r="K17" s="74" t="n">
        <f aca="false">+[23]Lavo!$I$56</f>
        <v>-264728</v>
      </c>
      <c r="L17" s="74" t="n">
        <f aca="false">+[24]Lavo!$I$56</f>
        <v>-2397913</v>
      </c>
      <c r="M17" s="74" t="n">
        <f aca="false">+[25]Lavo!$I$56</f>
        <v>4106667</v>
      </c>
      <c r="N17" s="34"/>
      <c r="O17" s="39" t="n">
        <f aca="false">SUM(B17:N17)</f>
        <v>10712756</v>
      </c>
      <c r="P17" s="44"/>
      <c r="Q17" s="72" t="n">
        <f aca="false">+SUM(B17:D17)</f>
        <v>1674064</v>
      </c>
      <c r="R17" s="34" t="n">
        <f aca="false">+SUM(E17:G17)</f>
        <v>2639747</v>
      </c>
      <c r="S17" s="34" t="n">
        <f aca="false">+SUM(H17:J17)</f>
        <v>4954919</v>
      </c>
      <c r="T17" s="34" t="n">
        <f aca="false">+SUM(K17:M17)</f>
        <v>1444026</v>
      </c>
      <c r="U17" s="34"/>
      <c r="V17" s="39" t="n">
        <f aca="false">SUM(Q17:U17)</f>
        <v>10712756</v>
      </c>
    </row>
    <row r="18" customFormat="false" ht="12.75" hidden="false" customHeight="false" outlineLevel="0" collapsed="false">
      <c r="A18" s="13" t="s">
        <v>39</v>
      </c>
      <c r="B18" s="80" t="n">
        <f aca="false">+[14]Lavo!$I$46</f>
        <v>358277</v>
      </c>
      <c r="C18" s="80" t="n">
        <f aca="false">+[15]Lavo!$I$46</f>
        <v>266440</v>
      </c>
      <c r="D18" s="80" t="n">
        <f aca="false">+[16]Lavo!$I$46</f>
        <v>1843071</v>
      </c>
      <c r="E18" s="80" t="n">
        <f aca="false">+[17]Lavo!$I$46</f>
        <v>2133297</v>
      </c>
      <c r="F18" s="80" t="n">
        <f aca="false">+[18]Lavo!$I$46</f>
        <v>1874547</v>
      </c>
      <c r="G18" s="80" t="n">
        <f aca="false">+[19]Lavo!$I$46</f>
        <v>-1473330</v>
      </c>
      <c r="H18" s="80" t="n">
        <f aca="false">+[20]Lavo!$I$46</f>
        <v>-614813</v>
      </c>
      <c r="I18" s="80" t="n">
        <f aca="false">+[21]Lavo!$I$46</f>
        <v>-1486229</v>
      </c>
      <c r="J18" s="80" t="n">
        <f aca="false">+[22]Lavo!$I$46</f>
        <v>2182015</v>
      </c>
      <c r="K18" s="80" t="n">
        <f aca="false">+[23]Lavo!$I$58</f>
        <v>-206945</v>
      </c>
      <c r="L18" s="80" t="n">
        <f aca="false">+[24]Lavo!$I$58</f>
        <v>72673</v>
      </c>
      <c r="M18" s="80" t="n">
        <f aca="false">+[25]Lavo!$I$58</f>
        <v>0</v>
      </c>
      <c r="N18" s="34"/>
      <c r="O18" s="39" t="n">
        <f aca="false">SUM(B18:N18)</f>
        <v>4949003</v>
      </c>
      <c r="P18" s="44"/>
      <c r="Q18" s="72" t="n">
        <f aca="false">+SUM(B18:D18)</f>
        <v>2467788</v>
      </c>
      <c r="R18" s="34" t="n">
        <f aca="false">+SUM(E18:G18)</f>
        <v>2534514</v>
      </c>
      <c r="S18" s="34" t="n">
        <f aca="false">+SUM(H18:J18)</f>
        <v>80973</v>
      </c>
      <c r="T18" s="34" t="n">
        <f aca="false">+SUM(K18:M18)</f>
        <v>-134272</v>
      </c>
      <c r="U18" s="34"/>
      <c r="V18" s="39" t="n">
        <f aca="false">SUM(Q18:U18)</f>
        <v>4949003</v>
      </c>
    </row>
    <row r="19" customFormat="false" ht="12.75" hidden="false" customHeight="false" outlineLevel="0" collapsed="false">
      <c r="A19" s="13" t="s">
        <v>40</v>
      </c>
      <c r="B19" s="34"/>
      <c r="C19" s="34"/>
      <c r="D19" s="34"/>
      <c r="E19" s="34"/>
      <c r="F19" s="34"/>
      <c r="G19" s="77" t="n">
        <f aca="false">+[19]Lavo!$I$43</f>
        <v>-1200000</v>
      </c>
      <c r="H19" s="34"/>
      <c r="I19" s="34"/>
      <c r="J19" s="34"/>
      <c r="K19" s="34"/>
      <c r="L19" s="34"/>
      <c r="M19" s="34"/>
      <c r="N19" s="34"/>
      <c r="O19" s="39" t="n">
        <f aca="false">SUM(B19:N19)</f>
        <v>-1200000</v>
      </c>
      <c r="P19" s="44"/>
      <c r="Q19" s="72" t="n">
        <f aca="false">+SUM(B19:D19)</f>
        <v>0</v>
      </c>
      <c r="R19" s="34" t="n">
        <f aca="false">+SUM(E19:G19)</f>
        <v>-1200000</v>
      </c>
      <c r="S19" s="34" t="n">
        <f aca="false">+SUM(H19:J19)</f>
        <v>0</v>
      </c>
      <c r="T19" s="34" t="n">
        <f aca="false">+M19</f>
        <v>0</v>
      </c>
      <c r="U19" s="34"/>
      <c r="V19" s="39" t="n">
        <f aca="false">SUM(Q19:U19)</f>
        <v>-1200000</v>
      </c>
    </row>
    <row r="20" customFormat="false" ht="13.5" hidden="false" customHeight="false" outlineLevel="0" collapsed="false">
      <c r="A20" s="40" t="s">
        <v>16</v>
      </c>
      <c r="B20" s="41" t="n">
        <f aca="false">SUM(B7:B19)</f>
        <v>344629.924</v>
      </c>
      <c r="C20" s="41" t="n">
        <f aca="false">SUM(C7:C19)</f>
        <v>11782731.785</v>
      </c>
      <c r="D20" s="41" t="n">
        <f aca="false">SUM(D7:D19)</f>
        <v>7718223.03000001</v>
      </c>
      <c r="E20" s="41" t="n">
        <f aca="false">SUM(E7:E19)</f>
        <v>6235091.3568234</v>
      </c>
      <c r="F20" s="41" t="n">
        <f aca="false">SUM(F7:F19)</f>
        <v>20540904.2713355</v>
      </c>
      <c r="G20" s="41" t="n">
        <f aca="false">SUM(G7:G19)</f>
        <v>411371.906136581</v>
      </c>
      <c r="H20" s="41" t="n">
        <f aca="false">SUM(H7:H19)</f>
        <v>-7850403.3144106</v>
      </c>
      <c r="I20" s="41" t="n">
        <f aca="false">SUM(I7:I19)</f>
        <v>7571462.35626245</v>
      </c>
      <c r="J20" s="41" t="n">
        <f aca="false">SUM(J7:J19)</f>
        <v>1539619.3855799</v>
      </c>
      <c r="K20" s="41" t="n">
        <f aca="false">SUM(K7:K19)</f>
        <v>-3794107.53462124</v>
      </c>
      <c r="L20" s="41" t="n">
        <f aca="false">SUM(L7:L19)</f>
        <v>-12548802.5251149</v>
      </c>
      <c r="M20" s="41" t="n">
        <f aca="false">SUM(M7:M19)</f>
        <v>21449879.0335334</v>
      </c>
      <c r="N20" s="42"/>
      <c r="O20" s="43" t="n">
        <f aca="false">SUM(O7:O19)</f>
        <v>53400599.6745244</v>
      </c>
      <c r="P20" s="44"/>
      <c r="Q20" s="81" t="n">
        <f aca="false">SUM(Q7:Q19)</f>
        <v>19845584.739</v>
      </c>
      <c r="R20" s="41" t="n">
        <f aca="false">SUM(R7:R19)</f>
        <v>27187367.5342954</v>
      </c>
      <c r="S20" s="41" t="n">
        <f aca="false">SUM(S7:S19)</f>
        <v>1260678.42743175</v>
      </c>
      <c r="T20" s="41" t="n">
        <f aca="false">SUM(T7:T19)</f>
        <v>5106968.97379723</v>
      </c>
      <c r="U20" s="42"/>
      <c r="V20" s="43" t="n">
        <f aca="false">SUM(V7:V19)</f>
        <v>53400599.6745244</v>
      </c>
    </row>
    <row r="21" customFormat="false" ht="12.75" hidden="false" customHeight="false" outlineLevel="0" collapsed="false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3"/>
      <c r="P21" s="44"/>
      <c r="Q21" s="33"/>
      <c r="R21" s="33"/>
      <c r="S21" s="33"/>
      <c r="T21" s="33"/>
      <c r="U21" s="34"/>
      <c r="V21" s="33"/>
    </row>
    <row r="22" customFormat="false" ht="13.5" hidden="false" customHeight="false" outlineLevel="0" collapsed="false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33"/>
      <c r="P22" s="44"/>
      <c r="Q22" s="33"/>
      <c r="R22" s="33"/>
      <c r="S22" s="33"/>
      <c r="T22" s="33"/>
      <c r="U22" s="34"/>
      <c r="V22" s="33"/>
    </row>
    <row r="23" customFormat="false" ht="12.75" hidden="false" customHeight="false" outlineLevel="0" collapsed="false">
      <c r="A23" s="35" t="s">
        <v>15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44"/>
      <c r="Q23" s="35" t="s">
        <v>15</v>
      </c>
      <c r="R23" s="36"/>
      <c r="S23" s="36"/>
      <c r="T23" s="36"/>
      <c r="U23" s="36"/>
      <c r="V23" s="37"/>
    </row>
    <row r="24" customFormat="false" ht="12.75" hidden="false" customHeight="false" outlineLevel="0" collapsed="false">
      <c r="A24" s="13" t="s">
        <v>6</v>
      </c>
      <c r="B24" s="34" t="n">
        <f aca="false">+[1]Report!$Y$55-[1]Report!$Y$40-Orig!B4</f>
        <v>3417881</v>
      </c>
      <c r="C24" s="34" t="n">
        <f aca="false">+[2]Report!$Y$56-Orig!C4</f>
        <v>9040491.75</v>
      </c>
      <c r="D24" s="34" t="n">
        <f aca="false">+[3]Report!$Y$56-Orig!D4</f>
        <v>4202894.91</v>
      </c>
      <c r="E24" s="34" t="n">
        <f aca="false">+[4]Report!$Y$56</f>
        <v>2240888.57</v>
      </c>
      <c r="F24" s="34" t="n">
        <f aca="false">+[5]Report!$Y$56</f>
        <v>14923977.17</v>
      </c>
      <c r="G24" s="34" t="n">
        <f aca="false">+[6]Report!$Y$56</f>
        <v>-1993914.9470777</v>
      </c>
      <c r="H24" s="34" t="n">
        <f aca="false">+[7]Report!$Y$56</f>
        <v>-10669001.2021973</v>
      </c>
      <c r="I24" s="34" t="n">
        <f aca="false">+[8]Report!$Y$56</f>
        <v>6283577.58328565</v>
      </c>
      <c r="J24" s="34" t="n">
        <f aca="false">+[9]Report!$Y$56</f>
        <v>-3831085</v>
      </c>
      <c r="K24" s="34" t="n">
        <f aca="false">+[10]Report!$AC$56</f>
        <v>-4841195.33</v>
      </c>
      <c r="L24" s="34" t="n">
        <f aca="false">+[11]Report!$AC$56</f>
        <v>-16503277.55</v>
      </c>
      <c r="M24" s="34" t="n">
        <f aca="false">+[12]Report!$AC$56</f>
        <v>17016361</v>
      </c>
      <c r="N24" s="34"/>
      <c r="O24" s="39" t="n">
        <f aca="false">SUM(B24:N24)</f>
        <v>19287597.9540107</v>
      </c>
      <c r="P24" s="44"/>
      <c r="Q24" s="72" t="n">
        <f aca="false">+SUM(B24:D24)</f>
        <v>16661267.66</v>
      </c>
      <c r="R24" s="34" t="n">
        <f aca="false">+SUM(E24:G24)</f>
        <v>15170950.7929223</v>
      </c>
      <c r="S24" s="34" t="n">
        <f aca="false">+SUM(H24:J24)</f>
        <v>-8216508.61891162</v>
      </c>
      <c r="T24" s="34" t="n">
        <f aca="false">+SUM(K24:M24)</f>
        <v>-4328111.88</v>
      </c>
      <c r="U24" s="34"/>
      <c r="V24" s="39" t="n">
        <f aca="false">SUM(Q24:U24)</f>
        <v>19287597.9540107</v>
      </c>
    </row>
    <row r="25" customFormat="false" ht="11.25" hidden="false" customHeight="false" outlineLevel="0" collapsed="false">
      <c r="A25" s="82" t="s">
        <v>41</v>
      </c>
      <c r="B25" s="83" t="n">
        <f aca="false">+B24-SUM(B7:B10)</f>
        <v>0</v>
      </c>
      <c r="C25" s="83" t="n">
        <f aca="false">+C24-SUM(C7:C10)</f>
        <v>0</v>
      </c>
      <c r="D25" s="83" t="n">
        <f aca="false">+D24-SUM(D7:D10)</f>
        <v>0</v>
      </c>
      <c r="E25" s="83" t="n">
        <f aca="false">+E24-SUM(E7:E10)</f>
        <v>0</v>
      </c>
      <c r="F25" s="83" t="n">
        <f aca="false">+F24-SUM(F7:F10)</f>
        <v>0</v>
      </c>
      <c r="G25" s="83" t="n">
        <f aca="false">+G24-SUM(G7:G10)</f>
        <v>0</v>
      </c>
      <c r="H25" s="83" t="n">
        <f aca="false">+H24-SUM(H7:H10)</f>
        <v>0</v>
      </c>
      <c r="I25" s="83" t="n">
        <f aca="false">+I24-SUM(I7:I10)</f>
        <v>0</v>
      </c>
      <c r="J25" s="83" t="n">
        <f aca="false">+J24-SUM(J7:J10)</f>
        <v>0</v>
      </c>
      <c r="K25" s="83" t="n">
        <f aca="false">+K24-SUM(K7:K10)</f>
        <v>0</v>
      </c>
      <c r="L25" s="83" t="n">
        <f aca="false">+L24-SUM(L7:L10)</f>
        <v>0</v>
      </c>
      <c r="M25" s="83" t="n">
        <f aca="false">+M24-SUM(M7:M10)</f>
        <v>0</v>
      </c>
      <c r="N25" s="83"/>
      <c r="O25" s="39" t="n">
        <f aca="false">SUM(B25:N25)</f>
        <v>0</v>
      </c>
      <c r="P25" s="84"/>
      <c r="Q25" s="72" t="n">
        <f aca="false">+SUM(B25:D25)</f>
        <v>0</v>
      </c>
      <c r="R25" s="34" t="n">
        <f aca="false">+SUM(E25:G25)</f>
        <v>0</v>
      </c>
      <c r="S25" s="34" t="n">
        <f aca="false">+SUM(H25:J25)</f>
        <v>0</v>
      </c>
      <c r="T25" s="34" t="n">
        <f aca="false">+SUM(K25:M25)</f>
        <v>0</v>
      </c>
      <c r="U25" s="83"/>
      <c r="V25" s="39" t="n">
        <f aca="false">SUM(I25:U25)</f>
        <v>0</v>
      </c>
    </row>
    <row r="26" customFormat="false" ht="12.75" hidden="false" customHeight="false" outlineLevel="0" collapsed="false">
      <c r="A26" s="13" t="s">
        <v>7</v>
      </c>
      <c r="B26" s="34" t="n">
        <f aca="false">+[14]Lavo!$I$51</f>
        <v>-3073251.076</v>
      </c>
      <c r="C26" s="34" t="n">
        <f aca="false">+[15]Lavo!$I$51</f>
        <v>2742240.035</v>
      </c>
      <c r="D26" s="34" t="n">
        <f aca="false">+[16]Lavo!$I$51</f>
        <v>3515328.12000001</v>
      </c>
      <c r="E26" s="34" t="n">
        <f aca="false">+[17]Lavo!$I$51</f>
        <v>3994202.7868234</v>
      </c>
      <c r="F26" s="76" t="n">
        <f aca="false">+[18]Lavo!$I$51</f>
        <v>5616927.10133547</v>
      </c>
      <c r="G26" s="34" t="n">
        <f aca="false">+[19]Lavo!$I$51</f>
        <v>2405286.85321429</v>
      </c>
      <c r="H26" s="34" t="n">
        <f aca="false">+[20]Lavo!$I$51</f>
        <v>2818597.88778667</v>
      </c>
      <c r="I26" s="34" t="n">
        <f aca="false">+[21]Lavo!$I$51</f>
        <v>1287884.7729768</v>
      </c>
      <c r="J26" s="34" t="n">
        <f aca="false">+[22]Lavo!$I$51</f>
        <v>5370704.3855799</v>
      </c>
      <c r="K26" s="34" t="n">
        <f aca="false">+[23]Lavo!$I$63</f>
        <v>1047087.79537876</v>
      </c>
      <c r="L26" s="34" t="n">
        <f aca="false">+[24]Lavo!$I$63</f>
        <v>3954475.02488506</v>
      </c>
      <c r="M26" s="34" t="n">
        <f aca="false">+[25]Lavo!$I$63</f>
        <v>4433518.03353341</v>
      </c>
      <c r="N26" s="34"/>
      <c r="O26" s="39" t="n">
        <f aca="false">SUM(B26:N26)</f>
        <v>34113001.7205138</v>
      </c>
      <c r="P26" s="44"/>
      <c r="Q26" s="72" t="n">
        <f aca="false">+SUM(B26:D26)</f>
        <v>3184317.07900001</v>
      </c>
      <c r="R26" s="34" t="n">
        <f aca="false">+SUM(E26:G26)</f>
        <v>12016416.7413732</v>
      </c>
      <c r="S26" s="34" t="n">
        <f aca="false">+SUM(H26:J26)</f>
        <v>9477187.04634336</v>
      </c>
      <c r="T26" s="34" t="n">
        <f aca="false">+SUM(K26:M26)</f>
        <v>9435080.85379723</v>
      </c>
      <c r="U26" s="34"/>
      <c r="V26" s="39" t="n">
        <f aca="false">SUM(Q26:T26)</f>
        <v>34113001.7205138</v>
      </c>
    </row>
    <row r="27" customFormat="false" ht="9" hidden="false" customHeight="false" outlineLevel="0" collapsed="false">
      <c r="A27" s="82" t="s">
        <v>41</v>
      </c>
      <c r="B27" s="83" t="n">
        <f aca="false">+B26-SUM(B12:B19)</f>
        <v>0</v>
      </c>
      <c r="C27" s="83" t="n">
        <f aca="false">+C26-SUM(C12:C19)</f>
        <v>0</v>
      </c>
      <c r="D27" s="83" t="n">
        <f aca="false">+D26-SUM(D12:D19)</f>
        <v>0</v>
      </c>
      <c r="E27" s="83" t="n">
        <f aca="false">+E26-SUM(E12:E19)</f>
        <v>0</v>
      </c>
      <c r="F27" s="83" t="n">
        <f aca="false">+F26-SUM(F12:F19)</f>
        <v>0</v>
      </c>
      <c r="G27" s="83" t="n">
        <f aca="false">+G26-SUM(G12:G19)</f>
        <v>0</v>
      </c>
      <c r="H27" s="83" t="n">
        <f aca="false">+H26-SUM(H12:H19)</f>
        <v>0</v>
      </c>
      <c r="I27" s="83" t="n">
        <f aca="false">+I26-SUM(I12:I19)</f>
        <v>0</v>
      </c>
      <c r="J27" s="83" t="n">
        <f aca="false">+J26-SUM(J12:J19)</f>
        <v>0</v>
      </c>
      <c r="K27" s="83" t="n">
        <f aca="false">+K26-SUM(K12:K19)</f>
        <v>0</v>
      </c>
      <c r="L27" s="83" t="n">
        <f aca="false">+L26-SUM(L12:L19)</f>
        <v>0</v>
      </c>
      <c r="M27" s="83" t="n">
        <f aca="false">+M26-SUM(M12:M19)</f>
        <v>0</v>
      </c>
      <c r="N27" s="83"/>
      <c r="O27" s="85" t="n">
        <f aca="false">+O26+O24-O20</f>
        <v>0</v>
      </c>
      <c r="P27" s="84"/>
      <c r="Q27" s="86" t="n">
        <f aca="false">+Q26-SUM(Q12:Q19)</f>
        <v>0</v>
      </c>
      <c r="R27" s="83" t="n">
        <f aca="false">+R26-SUM(R12:R19)</f>
        <v>0</v>
      </c>
      <c r="S27" s="83" t="n">
        <f aca="false">+S26-SUM(S12:S19)</f>
        <v>0</v>
      </c>
      <c r="T27" s="83" t="n">
        <f aca="false">+T26-SUM(T12:T19)</f>
        <v>0</v>
      </c>
      <c r="U27" s="83" t="n">
        <f aca="false">+U26-SUM(U12:U19)</f>
        <v>0</v>
      </c>
      <c r="V27" s="85" t="n">
        <f aca="false">+V26-SUM(V12:V19)</f>
        <v>0</v>
      </c>
    </row>
    <row r="28" customFormat="false" ht="13.5" hidden="false" customHeight="false" outlineLevel="0" collapsed="false">
      <c r="A28" s="40" t="s">
        <v>16</v>
      </c>
      <c r="B28" s="41" t="n">
        <f aca="false">+B26+B24</f>
        <v>344629.924</v>
      </c>
      <c r="C28" s="41" t="n">
        <f aca="false">+C26+C24</f>
        <v>11782731.785</v>
      </c>
      <c r="D28" s="41" t="n">
        <f aca="false">+D26+D24</f>
        <v>7718223.03000001</v>
      </c>
      <c r="E28" s="41" t="n">
        <f aca="false">+E26+E24</f>
        <v>6235091.3568234</v>
      </c>
      <c r="F28" s="41" t="n">
        <f aca="false">+F26+F24</f>
        <v>20540904.2713355</v>
      </c>
      <c r="G28" s="41" t="n">
        <f aca="false">+G26+G24</f>
        <v>411371.906136581</v>
      </c>
      <c r="H28" s="41" t="n">
        <f aca="false">+H26+H24</f>
        <v>-7850403.3144106</v>
      </c>
      <c r="I28" s="41" t="n">
        <f aca="false">+I26+I24</f>
        <v>7571462.35626245</v>
      </c>
      <c r="J28" s="41" t="n">
        <f aca="false">+J26+J24</f>
        <v>1539619.3855799</v>
      </c>
      <c r="K28" s="41" t="n">
        <f aca="false">+K26+K24</f>
        <v>-3794107.53462124</v>
      </c>
      <c r="L28" s="41" t="n">
        <f aca="false">+L26+L24</f>
        <v>-12548802.5251149</v>
      </c>
      <c r="M28" s="41" t="n">
        <f aca="false">+M26+M24</f>
        <v>21449879.0335334</v>
      </c>
      <c r="N28" s="42"/>
      <c r="O28" s="43" t="n">
        <f aca="false">+O26+O24</f>
        <v>53400599.6745244</v>
      </c>
      <c r="P28" s="44"/>
      <c r="Q28" s="81" t="n">
        <f aca="false">+Q26+Q24</f>
        <v>19845584.739</v>
      </c>
      <c r="R28" s="41" t="n">
        <f aca="false">+R26+R24</f>
        <v>27187367.5342955</v>
      </c>
      <c r="S28" s="41" t="n">
        <f aca="false">+S26+S24</f>
        <v>1260678.42743175</v>
      </c>
      <c r="T28" s="41" t="n">
        <f aca="false">+T26+T24</f>
        <v>5106968.97379723</v>
      </c>
      <c r="U28" s="42"/>
      <c r="V28" s="43" t="n">
        <f aca="false">+V26+V24</f>
        <v>53400599.6745244</v>
      </c>
    </row>
    <row r="29" customFormat="false" ht="12.75" hidden="false" customHeight="false" outlineLevel="0" collapsed="false">
      <c r="A29" s="15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44"/>
      <c r="Q29" s="34"/>
      <c r="R29" s="34"/>
      <c r="S29" s="34"/>
      <c r="T29" s="34"/>
      <c r="U29" s="34"/>
      <c r="V29" s="34"/>
    </row>
    <row r="30" customFormat="false" ht="13.5" hidden="false" customHeight="false" outlineLevel="0" collapsed="false">
      <c r="A30" s="1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44"/>
      <c r="Q30" s="34"/>
      <c r="R30" s="34"/>
      <c r="S30" s="34"/>
      <c r="T30" s="34"/>
      <c r="U30" s="34"/>
      <c r="V30" s="34"/>
    </row>
    <row r="31" customFormat="false" ht="15" hidden="false" customHeight="false" outlineLevel="0" collapsed="false">
      <c r="A31" s="35" t="s">
        <v>42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/>
      <c r="P31" s="44"/>
      <c r="Q31" s="89" t="str">
        <f aca="false">+A31</f>
        <v>BY AREA/TRADER:</v>
      </c>
      <c r="R31" s="87"/>
      <c r="S31" s="87"/>
      <c r="T31" s="87"/>
      <c r="U31" s="87"/>
      <c r="V31" s="88"/>
    </row>
    <row r="32" customFormat="false" ht="12.75" hidden="false" customHeight="false" outlineLevel="0" collapsed="false">
      <c r="A32" s="13" t="s">
        <v>43</v>
      </c>
      <c r="B32" s="69" t="n">
        <f aca="false">+B7+B15</f>
        <v>4667207</v>
      </c>
      <c r="C32" s="69" t="n">
        <f aca="false">+C7+C15</f>
        <v>8472177.75</v>
      </c>
      <c r="D32" s="69" t="n">
        <f aca="false">+D7+D15</f>
        <v>3968827.91</v>
      </c>
      <c r="E32" s="38"/>
      <c r="F32" s="38"/>
      <c r="G32" s="38"/>
      <c r="H32" s="38"/>
      <c r="I32" s="38"/>
      <c r="J32" s="38"/>
      <c r="K32" s="38"/>
      <c r="L32" s="38"/>
      <c r="M32" s="38"/>
      <c r="N32" s="34"/>
      <c r="O32" s="39" t="n">
        <f aca="false">SUM(B32:N32)</f>
        <v>17108212.66</v>
      </c>
      <c r="P32" s="33"/>
      <c r="Q32" s="72" t="n">
        <f aca="false">+SUM(B32:D32)</f>
        <v>17108212.66</v>
      </c>
      <c r="R32" s="34" t="n">
        <f aca="false">+SUM(E32:G32)</f>
        <v>0</v>
      </c>
      <c r="S32" s="34" t="n">
        <f aca="false">+SUM(H32:J32)</f>
        <v>0</v>
      </c>
      <c r="T32" s="34" t="n">
        <f aca="false">+SUM(K32:M32)</f>
        <v>0</v>
      </c>
      <c r="U32" s="34"/>
      <c r="V32" s="39" t="n">
        <f aca="false">SUM(Q32:U32)</f>
        <v>17108212.66</v>
      </c>
    </row>
    <row r="33" customFormat="false" ht="12.75" hidden="false" customHeight="false" outlineLevel="0" collapsed="false">
      <c r="A33" s="13" t="s">
        <v>44</v>
      </c>
      <c r="B33" s="70" t="n">
        <f aca="false">B8+B16+B13</f>
        <v>-2376983.026</v>
      </c>
      <c r="C33" s="70" t="n">
        <f aca="false">C8+C16+C13</f>
        <v>298089</v>
      </c>
      <c r="D33" s="70" t="n">
        <f aca="false">D8+D16</f>
        <v>1317588</v>
      </c>
      <c r="E33" s="70" t="n">
        <f aca="false">+E7+E8+E15</f>
        <v>1862913.57</v>
      </c>
      <c r="F33" s="70" t="n">
        <f aca="false">+F7+F8+F15</f>
        <v>6920920.17</v>
      </c>
      <c r="G33" s="70" t="n">
        <f aca="false">+G7+G8+G15</f>
        <v>-1619659.9470777</v>
      </c>
      <c r="H33" s="70" t="n">
        <f aca="false">+H7+H8+H15</f>
        <v>-8225761.20219726</v>
      </c>
      <c r="I33" s="70" t="n">
        <f aca="false">+I9</f>
        <v>699140</v>
      </c>
      <c r="J33" s="70" t="n">
        <f aca="false">+J9</f>
        <v>3765245</v>
      </c>
      <c r="K33" s="70" t="n">
        <f aca="false">+K9+K14+K8</f>
        <v>1600781</v>
      </c>
      <c r="L33" s="70" t="n">
        <f aca="false">+L9+L14+L8</f>
        <v>-3549058.55</v>
      </c>
      <c r="M33" s="70" t="n">
        <f aca="false">+M9+M14+M8</f>
        <v>15088547</v>
      </c>
      <c r="N33" s="34"/>
      <c r="O33" s="39" t="n">
        <f aca="false">SUM(B33:N33)</f>
        <v>15781761.014725</v>
      </c>
      <c r="P33" s="33"/>
      <c r="Q33" s="72" t="n">
        <f aca="false">+SUM(B33:D33)</f>
        <v>-761306.026</v>
      </c>
      <c r="R33" s="34" t="n">
        <f aca="false">+SUM(E33:G33)</f>
        <v>7164173.7929223</v>
      </c>
      <c r="S33" s="34" t="n">
        <f aca="false">+SUM(H33:J33)</f>
        <v>-3761376.20219726</v>
      </c>
      <c r="T33" s="34" t="n">
        <f aca="false">+SUM(K33:M33)</f>
        <v>13140269.45</v>
      </c>
      <c r="U33" s="34"/>
      <c r="V33" s="39" t="n">
        <f aca="false">SUM(Q33:U33)</f>
        <v>15781761.014725</v>
      </c>
    </row>
    <row r="34" customFormat="false" ht="12.75" hidden="false" customHeight="false" outlineLevel="0" collapsed="false">
      <c r="A34" s="13" t="s">
        <v>45</v>
      </c>
      <c r="B34" s="34" t="n">
        <f aca="false">+B9</f>
        <v>0</v>
      </c>
      <c r="C34" s="34" t="n">
        <f aca="false">+C9</f>
        <v>0</v>
      </c>
      <c r="D34" s="34" t="n">
        <f aca="false">+D9</f>
        <v>0</v>
      </c>
      <c r="E34" s="71" t="n">
        <f aca="false">+E9</f>
        <v>10580</v>
      </c>
      <c r="F34" s="71" t="n">
        <f aca="false">+F9</f>
        <v>1399907</v>
      </c>
      <c r="G34" s="71" t="n">
        <f aca="false">+G9</f>
        <v>-2336264</v>
      </c>
      <c r="H34" s="71" t="n">
        <f aca="false">+H9</f>
        <v>-757517</v>
      </c>
      <c r="I34" s="71" t="n">
        <f aca="false">+I7+I15</f>
        <v>8223621.68328565</v>
      </c>
      <c r="J34" s="71" t="n">
        <f aca="false">+J7+J15</f>
        <v>-274842.0547</v>
      </c>
      <c r="K34" s="71" t="n">
        <f aca="false">+K7+K15</f>
        <v>-5249477.8905</v>
      </c>
      <c r="L34" s="71" t="n">
        <f aca="false">+L7+L15</f>
        <v>-12465197</v>
      </c>
      <c r="M34" s="71" t="n">
        <f aca="false">+M7+M15</f>
        <v>3848518</v>
      </c>
      <c r="N34" s="34"/>
      <c r="O34" s="39" t="n">
        <f aca="false">SUM(B34:N34)</f>
        <v>-7600671.26191435</v>
      </c>
      <c r="P34" s="33"/>
      <c r="Q34" s="72" t="n">
        <f aca="false">+SUM(B34:D34)</f>
        <v>0</v>
      </c>
      <c r="R34" s="34" t="n">
        <f aca="false">+SUM(E34:G34)</f>
        <v>-925777</v>
      </c>
      <c r="S34" s="34" t="n">
        <f aca="false">+SUM(H34:J34)</f>
        <v>7191262.62858565</v>
      </c>
      <c r="T34" s="34" t="n">
        <f aca="false">+SUM(K34:M34)</f>
        <v>-13866156.8905</v>
      </c>
      <c r="U34" s="34"/>
      <c r="V34" s="39" t="n">
        <f aca="false">SUM(Q34:U34)</f>
        <v>-7600671.26191435</v>
      </c>
    </row>
    <row r="35" customFormat="false" ht="12.75" hidden="false" customHeight="false" outlineLevel="0" collapsed="false">
      <c r="A35" s="13" t="s">
        <v>46</v>
      </c>
      <c r="B35" s="74" t="n">
        <f aca="false">+B10+B17</f>
        <v>90178</v>
      </c>
      <c r="C35" s="74" t="n">
        <f aca="false">+C10+C17</f>
        <v>1743001</v>
      </c>
      <c r="D35" s="74" t="n">
        <f aca="false">+D10+D17</f>
        <v>-530276</v>
      </c>
      <c r="E35" s="74" t="n">
        <f aca="false">+E10+E17</f>
        <v>1121445</v>
      </c>
      <c r="F35" s="74" t="n">
        <f aca="false">+F10+F17</f>
        <v>7132767</v>
      </c>
      <c r="G35" s="74" t="n">
        <f aca="false">+G10+G17</f>
        <v>3448950</v>
      </c>
      <c r="H35" s="74" t="n">
        <f aca="false">+H10+H17</f>
        <v>-424439</v>
      </c>
      <c r="I35" s="74" t="n">
        <f aca="false">+I10+I17</f>
        <v>-2357315.1</v>
      </c>
      <c r="J35" s="74" t="n">
        <f aca="false">+J10+J17</f>
        <v>-5878826</v>
      </c>
      <c r="K35" s="74" t="n">
        <f aca="false">+K10+K17</f>
        <v>-1851768</v>
      </c>
      <c r="L35" s="74" t="n">
        <f aca="false">+L10+L17</f>
        <v>1684192</v>
      </c>
      <c r="M35" s="74" t="n">
        <f aca="false">+M10+M17</f>
        <v>2395879</v>
      </c>
      <c r="N35" s="34"/>
      <c r="O35" s="39" t="n">
        <f aca="false">SUM(B35:N35)</f>
        <v>6573787.9</v>
      </c>
      <c r="P35" s="33"/>
      <c r="Q35" s="72" t="n">
        <f aca="false">+SUM(B35:D35)</f>
        <v>1302903</v>
      </c>
      <c r="R35" s="34" t="n">
        <f aca="false">+SUM(E35:G35)</f>
        <v>11703162</v>
      </c>
      <c r="S35" s="34" t="n">
        <f aca="false">+SUM(H35:J35)</f>
        <v>-8660580.1</v>
      </c>
      <c r="T35" s="34" t="n">
        <f aca="false">+SUM(K35:M35)</f>
        <v>2228303</v>
      </c>
      <c r="U35" s="34"/>
      <c r="V35" s="39" t="n">
        <f aca="false">SUM(Q35:U35)</f>
        <v>6573787.9</v>
      </c>
    </row>
    <row r="36" customFormat="false" ht="12.75" hidden="false" customHeight="false" outlineLevel="0" collapsed="false">
      <c r="A36" s="13" t="s">
        <v>47</v>
      </c>
      <c r="B36" s="77" t="n">
        <f aca="false">+B12</f>
        <v>-2394049.05</v>
      </c>
      <c r="C36" s="77" t="n">
        <f aca="false">+C12</f>
        <v>1003024.035</v>
      </c>
      <c r="D36" s="77" t="n">
        <f aca="false">+D12</f>
        <v>1148012.12000001</v>
      </c>
      <c r="E36" s="77" t="n">
        <f aca="false">+E12</f>
        <v>1032002.7868234</v>
      </c>
      <c r="F36" s="77" t="n">
        <f aca="false">+F12</f>
        <v>3103620.10133547</v>
      </c>
      <c r="G36" s="77" t="n">
        <f aca="false">+G12+G19</f>
        <v>1922894.85321429</v>
      </c>
      <c r="H36" s="77" t="n">
        <f aca="false">+H12</f>
        <v>1735271.88778667</v>
      </c>
      <c r="I36" s="77" t="n">
        <f aca="false">+I12</f>
        <v>2006235.7729768</v>
      </c>
      <c r="J36" s="77" t="n">
        <f aca="false">+J12</f>
        <v>747086.635079905</v>
      </c>
      <c r="K36" s="77" t="n">
        <f aca="false">+K12</f>
        <v>1123313.02688876</v>
      </c>
      <c r="L36" s="77" t="n">
        <f aca="false">+L12</f>
        <v>1181936.95647706</v>
      </c>
      <c r="M36" s="77" t="n">
        <f aca="false">+M12</f>
        <v>-249771.611396589</v>
      </c>
      <c r="N36" s="34"/>
      <c r="O36" s="39" t="n">
        <f aca="false">SUM(B36:N36)</f>
        <v>12359577.5141858</v>
      </c>
      <c r="P36" s="33"/>
      <c r="Q36" s="72" t="n">
        <f aca="false">+SUM(B36:D36)</f>
        <v>-243012.894999991</v>
      </c>
      <c r="R36" s="34" t="n">
        <f aca="false">+SUM(E36:G36)</f>
        <v>6058517.74137315</v>
      </c>
      <c r="S36" s="34" t="n">
        <f aca="false">+SUM(H36:J36)</f>
        <v>4488594.29584337</v>
      </c>
      <c r="T36" s="34" t="n">
        <f aca="false">+SUM(K36:M36)</f>
        <v>2055478.37196924</v>
      </c>
      <c r="U36" s="34"/>
      <c r="V36" s="39" t="n">
        <f aca="false">SUM(Q36:U36)</f>
        <v>12359577.5141858</v>
      </c>
    </row>
    <row r="37" customFormat="false" ht="12.75" hidden="false" customHeight="false" outlineLevel="0" collapsed="false">
      <c r="A37" s="13" t="s">
        <v>48</v>
      </c>
      <c r="B37" s="34"/>
      <c r="C37" s="34"/>
      <c r="D37" s="79" t="n">
        <f aca="false">+D13</f>
        <v>-29000</v>
      </c>
      <c r="E37" s="79" t="n">
        <f aca="false">+E13</f>
        <v>74853</v>
      </c>
      <c r="F37" s="79" t="n">
        <f aca="false">+F13</f>
        <v>109143</v>
      </c>
      <c r="G37" s="79" t="n">
        <f aca="false">+G13</f>
        <v>468781</v>
      </c>
      <c r="H37" s="79" t="n">
        <f aca="false">+H13</f>
        <v>436855</v>
      </c>
      <c r="I37" s="79" t="n">
        <f aca="false">+I13</f>
        <v>486009</v>
      </c>
      <c r="J37" s="79" t="n">
        <f aca="false">+J13</f>
        <v>998940.805199992</v>
      </c>
      <c r="K37" s="79" t="n">
        <f aca="false">+K13</f>
        <v>789989.328989997</v>
      </c>
      <c r="L37" s="79" t="n">
        <f aca="false">+L13</f>
        <v>526651.068407999</v>
      </c>
      <c r="M37" s="79" t="n">
        <f aca="false">+M13</f>
        <v>366706.64493</v>
      </c>
      <c r="N37" s="34"/>
      <c r="O37" s="39" t="n">
        <f aca="false">SUM(B37:N37)</f>
        <v>4228928.84752799</v>
      </c>
      <c r="P37" s="33"/>
      <c r="Q37" s="72" t="n">
        <f aca="false">+SUM(B37:D37)</f>
        <v>-29000</v>
      </c>
      <c r="R37" s="34" t="n">
        <f aca="false">+SUM(E37:G37)</f>
        <v>652777</v>
      </c>
      <c r="S37" s="34" t="n">
        <f aca="false">+SUM(H37:J37)</f>
        <v>1921804.80519999</v>
      </c>
      <c r="T37" s="34" t="n">
        <f aca="false">+SUM(K37:M37)</f>
        <v>1683347.042328</v>
      </c>
      <c r="U37" s="34"/>
      <c r="V37" s="39" t="n">
        <f aca="false">SUM(Q37:U37)</f>
        <v>4228928.84752799</v>
      </c>
    </row>
    <row r="38" customFormat="false" ht="12.75" hidden="false" customHeight="false" outlineLevel="0" collapsed="false">
      <c r="A38" s="13" t="s">
        <v>49</v>
      </c>
      <c r="B38" s="80" t="n">
        <f aca="false">+B18</f>
        <v>358277</v>
      </c>
      <c r="C38" s="80" t="n">
        <f aca="false">+C18</f>
        <v>266440</v>
      </c>
      <c r="D38" s="80" t="n">
        <f aca="false">+D18</f>
        <v>1843071</v>
      </c>
      <c r="E38" s="80" t="n">
        <f aca="false">+E18</f>
        <v>2133297</v>
      </c>
      <c r="F38" s="80" t="n">
        <f aca="false">+F18</f>
        <v>1874547</v>
      </c>
      <c r="G38" s="80" t="n">
        <f aca="false">+G18</f>
        <v>-1473330</v>
      </c>
      <c r="H38" s="80" t="n">
        <f aca="false">+H18</f>
        <v>-614813</v>
      </c>
      <c r="I38" s="80" t="n">
        <f aca="false">+I18</f>
        <v>-1486229</v>
      </c>
      <c r="J38" s="80" t="n">
        <f aca="false">+J18</f>
        <v>2182015</v>
      </c>
      <c r="K38" s="80" t="n">
        <f aca="false">+K18</f>
        <v>-206945</v>
      </c>
      <c r="L38" s="80" t="n">
        <f aca="false">+L18</f>
        <v>72673</v>
      </c>
      <c r="M38" s="80" t="n">
        <f aca="false">+M18</f>
        <v>0</v>
      </c>
      <c r="N38" s="34"/>
      <c r="O38" s="39" t="n">
        <f aca="false">SUM(B38:N38)</f>
        <v>4949003</v>
      </c>
      <c r="P38" s="33"/>
      <c r="Q38" s="72" t="n">
        <f aca="false">+SUM(B38:D38)</f>
        <v>2467788</v>
      </c>
      <c r="R38" s="34" t="n">
        <f aca="false">+SUM(E38:G38)</f>
        <v>2534514</v>
      </c>
      <c r="S38" s="34" t="n">
        <f aca="false">+SUM(H38:J38)</f>
        <v>80973</v>
      </c>
      <c r="T38" s="34" t="n">
        <f aca="false">+SUM(K38:M38)</f>
        <v>-134272</v>
      </c>
      <c r="U38" s="34"/>
      <c r="V38" s="39" t="n">
        <f aca="false">SUM(Q38:U38)</f>
        <v>4949003</v>
      </c>
    </row>
    <row r="39" customFormat="false" ht="13.5" hidden="false" customHeight="false" outlineLevel="0" collapsed="false">
      <c r="A39" s="40" t="s">
        <v>16</v>
      </c>
      <c r="B39" s="41" t="n">
        <f aca="false">SUM(B33:B38)</f>
        <v>-4322577.076</v>
      </c>
      <c r="C39" s="41" t="n">
        <f aca="false">SUM(C33:C38)</f>
        <v>3310554.035</v>
      </c>
      <c r="D39" s="41" t="n">
        <f aca="false">SUM(D33:D38)</f>
        <v>3749395.12000001</v>
      </c>
      <c r="E39" s="41" t="n">
        <f aca="false">SUM(E33:E38)</f>
        <v>6235091.3568234</v>
      </c>
      <c r="F39" s="41" t="n">
        <f aca="false">SUM(F33:F38)</f>
        <v>20540904.2713355</v>
      </c>
      <c r="G39" s="41" t="n">
        <f aca="false">SUM(G33:G38)</f>
        <v>411371.906136581</v>
      </c>
      <c r="H39" s="41" t="n">
        <f aca="false">SUM(H33:H38)</f>
        <v>-7850403.3144106</v>
      </c>
      <c r="I39" s="41" t="n">
        <f aca="false">SUM(I33:I38)</f>
        <v>7571462.35626245</v>
      </c>
      <c r="J39" s="41" t="n">
        <f aca="false">SUM(J33:J38)</f>
        <v>1539619.3855799</v>
      </c>
      <c r="K39" s="41" t="n">
        <f aca="false">SUM(K33:K38)</f>
        <v>-3794107.53462124</v>
      </c>
      <c r="L39" s="41" t="n">
        <f aca="false">SUM(L33:L38)</f>
        <v>-12548802.5251149</v>
      </c>
      <c r="M39" s="41" t="n">
        <f aca="false">SUM(M33:M38)</f>
        <v>21449879.0335334</v>
      </c>
      <c r="N39" s="42"/>
      <c r="O39" s="43" t="n">
        <f aca="false">SUM(O32:O38)</f>
        <v>53400599.6745244</v>
      </c>
      <c r="P39" s="33"/>
      <c r="Q39" s="81" t="n">
        <f aca="false">SUM(Q32:Q38)</f>
        <v>19845584.739</v>
      </c>
      <c r="R39" s="41" t="n">
        <f aca="false">SUM(R33:R38)</f>
        <v>27187367.5342954</v>
      </c>
      <c r="S39" s="41" t="n">
        <f aca="false">SUM(S33:S38)</f>
        <v>1260678.42743175</v>
      </c>
      <c r="T39" s="41" t="n">
        <f aca="false">SUM(T33:T38)</f>
        <v>5106968.97379723</v>
      </c>
      <c r="U39" s="42"/>
      <c r="V39" s="43" t="n">
        <f aca="false">SUM(V32:V38)</f>
        <v>53400599.6745244</v>
      </c>
    </row>
    <row r="40" customFormat="false" ht="12.75" hidden="true" customHeight="false" outlineLevel="0" collapsed="false">
      <c r="A40" s="0" t="s">
        <v>41</v>
      </c>
      <c r="B40" s="33" t="n">
        <f aca="false">+B39-B20</f>
        <v>-4667207</v>
      </c>
      <c r="C40" s="33" t="n">
        <f aca="false">+C39-C20</f>
        <v>-8472177.75</v>
      </c>
      <c r="D40" s="33" t="n">
        <f aca="false">+D39-D20</f>
        <v>-3968827.91</v>
      </c>
      <c r="E40" s="33" t="n">
        <f aca="false">+E39-E20</f>
        <v>0</v>
      </c>
      <c r="F40" s="33" t="n">
        <f aca="false">+F39-F20</f>
        <v>0</v>
      </c>
      <c r="G40" s="33" t="n">
        <f aca="false">+G39-G20</f>
        <v>0</v>
      </c>
      <c r="H40" s="33" t="n">
        <f aca="false">+H39-H20</f>
        <v>0</v>
      </c>
      <c r="I40" s="33" t="n">
        <f aca="false">+I39-I20</f>
        <v>0</v>
      </c>
      <c r="J40" s="33" t="n">
        <f aca="false">+J39-J20</f>
        <v>0</v>
      </c>
      <c r="K40" s="33" t="n">
        <f aca="false">+K39-K20</f>
        <v>0</v>
      </c>
      <c r="L40" s="33" t="n">
        <f aca="false">+L39-L20</f>
        <v>0</v>
      </c>
      <c r="M40" s="33" t="n">
        <f aca="false">+M39-M20</f>
        <v>0</v>
      </c>
      <c r="N40" s="33"/>
      <c r="O40" s="33"/>
      <c r="P40" s="33"/>
      <c r="Q40" s="33" t="n">
        <f aca="false">+Q39-Q20</f>
        <v>0</v>
      </c>
      <c r="R40" s="33" t="n">
        <f aca="false">+R39-R20</f>
        <v>0</v>
      </c>
      <c r="S40" s="33" t="n">
        <f aca="false">+S39-S20</f>
        <v>0</v>
      </c>
      <c r="T40" s="33" t="n">
        <f aca="false">+T39-T20</f>
        <v>0</v>
      </c>
      <c r="U40" s="33"/>
      <c r="V40" s="33"/>
    </row>
    <row r="41" customFormat="false" ht="12.75" hidden="false" customHeight="false" outlineLevel="0" collapsed="false">
      <c r="O41" s="44" t="n">
        <f aca="false">+O39-O28</f>
        <v>0</v>
      </c>
      <c r="U41" s="15"/>
    </row>
    <row r="42" customFormat="false" ht="12.75" hidden="false" customHeight="false" outlineLevel="0" collapsed="false">
      <c r="U42" s="15"/>
    </row>
    <row r="43" customFormat="false" ht="12.75" hidden="false" customHeight="false" outlineLevel="0" collapsed="false">
      <c r="U43" s="15"/>
    </row>
    <row r="44" customFormat="false" ht="12.75" hidden="false" customHeight="false" outlineLevel="0" collapsed="false">
      <c r="U44" s="15"/>
    </row>
    <row r="45" customFormat="false" ht="12.75" hidden="false" customHeight="false" outlineLevel="0" collapsed="false">
      <c r="U45" s="15"/>
    </row>
    <row r="46" customFormat="false" ht="12.75" hidden="false" customHeight="false" outlineLevel="0" collapsed="false">
      <c r="U46" s="15"/>
    </row>
    <row r="47" customFormat="false" ht="12.75" hidden="false" customHeight="false" outlineLevel="0" collapsed="false">
      <c r="U47" s="15"/>
    </row>
    <row r="48" customFormat="false" ht="12.75" hidden="false" customHeight="false" outlineLevel="0" collapsed="false">
      <c r="U48" s="15"/>
    </row>
    <row r="49" customFormat="false" ht="12.75" hidden="false" customHeight="false" outlineLevel="0" collapsed="false">
      <c r="U49" s="15"/>
    </row>
    <row r="50" customFormat="false" ht="12.75" hidden="false" customHeight="false" outlineLevel="0" collapsed="false">
      <c r="U50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9.56"/>
    <col collapsed="false" customWidth="true" hidden="false" outlineLevel="0" max="2" min="2" style="44" width="11.85"/>
    <col collapsed="false" customWidth="true" hidden="false" outlineLevel="0" max="4" min="3" style="44" width="10.28"/>
    <col collapsed="false" customWidth="true" hidden="false" outlineLevel="0" max="5" min="5" style="44" width="12.28"/>
    <col collapsed="false" customWidth="true" hidden="false" outlineLevel="0" max="6" min="6" style="44" width="1.13"/>
    <col collapsed="false" customWidth="false" hidden="false" outlineLevel="0" max="7" min="7" style="44" width="9.14"/>
    <col collapsed="false" customWidth="true" hidden="false" outlineLevel="0" max="8" min="8" style="44" width="11.28"/>
    <col collapsed="false" customWidth="false" hidden="false" outlineLevel="0" max="257" min="9" style="44" width="9.14"/>
  </cols>
  <sheetData>
    <row r="1" customFormat="false" ht="15.75" hidden="false" customHeight="false" outlineLevel="0" collapsed="false">
      <c r="A1" s="92" t="s">
        <v>52</v>
      </c>
    </row>
    <row r="2" customFormat="false" ht="12.75" hidden="false" customHeight="false" outlineLevel="0" collapsed="false">
      <c r="B2" s="93" t="s">
        <v>53</v>
      </c>
      <c r="C2" s="93" t="s">
        <v>54</v>
      </c>
      <c r="D2" s="93" t="s">
        <v>55</v>
      </c>
      <c r="E2" s="93" t="s">
        <v>56</v>
      </c>
      <c r="G2" s="93" t="s">
        <v>32</v>
      </c>
      <c r="H2" s="93" t="s">
        <v>57</v>
      </c>
    </row>
    <row r="3" customFormat="false" ht="6.75" hidden="false" customHeight="true" outlineLevel="0" collapsed="false">
      <c r="B3" s="94"/>
      <c r="C3" s="94"/>
      <c r="D3" s="94"/>
      <c r="E3" s="94"/>
    </row>
    <row r="4" customFormat="false" ht="12.75" hidden="false" customHeight="false" outlineLevel="0" collapsed="false">
      <c r="A4" s="44" t="s">
        <v>58</v>
      </c>
      <c r="B4" s="44" t="n">
        <v>2290855</v>
      </c>
      <c r="C4" s="44" t="n">
        <v>2288744</v>
      </c>
      <c r="D4" s="44" t="n">
        <v>1392731</v>
      </c>
      <c r="E4" s="44" t="n">
        <f aca="false">SUM(B4:D4)</f>
        <v>5972330</v>
      </c>
    </row>
    <row r="6" customFormat="false" ht="12.75" hidden="false" customHeight="false" outlineLevel="0" collapsed="false">
      <c r="B6" s="95" t="n">
        <f aca="false">SUM(B4)</f>
        <v>2290855</v>
      </c>
      <c r="C6" s="95" t="n">
        <f aca="false">SUM(C4)</f>
        <v>2288744</v>
      </c>
      <c r="D6" s="95" t="n">
        <f aca="false">SUM(D4)</f>
        <v>1392731</v>
      </c>
      <c r="E6" s="95" t="n">
        <f aca="false">SUM(E4)</f>
        <v>5972330</v>
      </c>
      <c r="G6" s="95" t="n">
        <f aca="false">-3000+62780+32415</f>
        <v>92195</v>
      </c>
      <c r="H6" s="95" t="n">
        <f aca="false">+E6-G6</f>
        <v>5880135</v>
      </c>
    </row>
    <row r="8" customFormat="false" ht="12.75" hidden="false" customHeight="false" outlineLevel="0" collapsed="false">
      <c r="A8" s="96"/>
    </row>
    <row r="10" customFormat="false" ht="12.75" hidden="false" customHeight="false" outlineLevel="0" collapsed="false">
      <c r="A10" s="44" t="s">
        <v>59</v>
      </c>
    </row>
    <row r="11" customFormat="false" ht="12.75" hidden="false" customHeight="false" outlineLevel="0" collapsed="false">
      <c r="A11" s="44" t="s">
        <v>60</v>
      </c>
      <c r="B11" s="44" t="n">
        <v>26625000</v>
      </c>
      <c r="E11" s="44" t="n">
        <f aca="false">SUM(B11:D11)</f>
        <v>26625000</v>
      </c>
    </row>
    <row r="12" customFormat="false" ht="12.75" hidden="false" customHeight="false" outlineLevel="0" collapsed="false">
      <c r="A12" s="44" t="s">
        <v>61</v>
      </c>
      <c r="B12" s="44" t="n">
        <v>-16598410</v>
      </c>
      <c r="D12" s="44" t="n">
        <v>25854</v>
      </c>
      <c r="E12" s="44" t="n">
        <f aca="false">SUM(B12:D12)</f>
        <v>-16572556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2000-10-27T18:07:45Z</dcterms:created>
  <dc:creator>kreeve1</dc:creator>
  <dc:description/>
  <dc:language>en-US</dc:language>
  <cp:lastModifiedBy>rrodri2</cp:lastModifiedBy>
  <cp:lastPrinted>2000-12-08T15:00:44Z</cp:lastPrinted>
  <cp:revision>0</cp:revision>
  <dc:subject/>
  <dc:title/>
</cp:coreProperties>
</file>