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Volume Stats" sheetId="1" state="visible" r:id="rId3"/>
    <sheet name="Summary Bal. Sheet" sheetId="2" state="visible" r:id="rId4"/>
    <sheet name="Summary Bal. Sheet (2)" sheetId="3" state="visible" r:id="rId5"/>
    <sheet name="Summary Expense Info" sheetId="4" state="visible" r:id="rId6"/>
  </sheets>
  <externalReferences>
    <externalReference r:id="rId7"/>
  </externalReferences>
  <definedNames>
    <definedName function="false" hidden="false" localSheetId="1" name="_xlnm.Print_Area" vbProcedure="false">'Summary Bal. Sheet'!$A$1:$Z$98</definedName>
    <definedName function="false" hidden="false" localSheetId="1" name="_xlnm.Print_Titles" vbProcedure="false">'Summary Bal. Sheet'!$1:$3</definedName>
    <definedName function="false" hidden="false" localSheetId="2" name="_xlnm.Print_Area" vbProcedure="false">'Summary Bal. Sheet (2)'!$A$1:$X$50</definedName>
    <definedName function="false" hidden="false" localSheetId="3" name="_xlnm.Print_Area" vbProcedure="false">'Summary Expense Info'!$B$4:$W$54</definedName>
    <definedName function="false" hidden="false" localSheetId="0" name="_xlnm.Print_Area" vbProcedure="false">'Summary Volume Stats'!$A$1:$W$55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<sst xmlns="http://schemas.openxmlformats.org/spreadsheetml/2006/main" count="287" uniqueCount="174">
  <si>
    <t xml:space="preserve">ENRON NORTH AMERICA - ENERGY OPERATIONS</t>
  </si>
  <si>
    <t xml:space="preserve">TRANSACTION COUNTS AND VOLUMETRIC INFORMATION FOR THE YEAR 2000</t>
  </si>
  <si>
    <r>
      <rPr>
        <b val="true"/>
        <u val="single"/>
        <sz val="11"/>
        <rFont val="Times New Roman"/>
        <family val="1"/>
      </rPr>
      <t xml:space="preserve">New Deals</t>
    </r>
    <r>
      <rPr>
        <b val="true"/>
        <u val="single"/>
        <vertAlign val="superscript"/>
        <sz val="8"/>
        <rFont val="Times New Roman"/>
        <family val="1"/>
      </rPr>
      <t xml:space="preserve"> </t>
    </r>
    <r>
      <rPr>
        <b val="true"/>
        <sz val="11"/>
        <color rgb="FF008000"/>
        <rFont val="Times New Roman"/>
        <family val="1"/>
      </rPr>
      <t xml:space="preserve">(1)</t>
    </r>
  </si>
  <si>
    <t xml:space="preserve">% Increase</t>
  </si>
  <si>
    <t xml:space="preserve">Feb</t>
  </si>
  <si>
    <t xml:space="preserve">New Deals</t>
  </si>
  <si>
    <t xml:space="preserve">Active Deals</t>
  </si>
  <si>
    <t xml:space="preserve">Mar</t>
  </si>
  <si>
    <t xml:space="preserve">Apr</t>
  </si>
  <si>
    <t xml:space="preserve">Natural Gas - Houston</t>
  </si>
  <si>
    <t xml:space="preserve">Natural Gas - Calgary</t>
  </si>
  <si>
    <t xml:space="preserve">Power</t>
  </si>
  <si>
    <r>
      <rPr>
        <sz val="10"/>
        <rFont val="Times New Roman"/>
        <family val="0"/>
      </rPr>
      <t xml:space="preserve">Financial </t>
    </r>
    <r>
      <rPr>
        <vertAlign val="superscript"/>
        <sz val="10"/>
        <rFont val="Times New Roman"/>
        <family val="1"/>
      </rPr>
      <t xml:space="preserve">(a)</t>
    </r>
  </si>
  <si>
    <t xml:space="preserve">Total</t>
  </si>
  <si>
    <r>
      <rPr>
        <b val="true"/>
        <u val="single"/>
        <sz val="11"/>
        <rFont val="Times New Roman"/>
        <family val="1"/>
      </rPr>
      <t xml:space="preserve">Active Deals </t>
    </r>
    <r>
      <rPr>
        <b val="true"/>
        <sz val="11"/>
        <color rgb="FF008000"/>
        <rFont val="Times New Roman"/>
        <family val="1"/>
      </rPr>
      <t xml:space="preserve">(2)</t>
    </r>
  </si>
  <si>
    <t xml:space="preserve">Total Physical Sales Volumes (in millions) </t>
  </si>
  <si>
    <t xml:space="preserve">Unit of</t>
  </si>
  <si>
    <t xml:space="preserve">Measure</t>
  </si>
  <si>
    <t xml:space="preserve">MMBtu / day</t>
  </si>
  <si>
    <t xml:space="preserve">     Total Natural Gas</t>
  </si>
  <si>
    <t xml:space="preserve">MwHrs / day</t>
  </si>
  <si>
    <t xml:space="preserve">Coal </t>
  </si>
  <si>
    <t xml:space="preserve">Ton / day</t>
  </si>
  <si>
    <t xml:space="preserve">Pulp and Paper</t>
  </si>
  <si>
    <t xml:space="preserve">MT / day</t>
  </si>
  <si>
    <r>
      <rPr>
        <b val="true"/>
        <sz val="8"/>
        <color rgb="FF008000"/>
        <rFont val="Times New Roman"/>
        <family val="1"/>
      </rPr>
      <t xml:space="preserve">(1)</t>
    </r>
    <r>
      <rPr>
        <sz val="8"/>
        <color rgb="FF008000"/>
        <rFont val="Times New Roman"/>
        <family val="1"/>
      </rPr>
      <t xml:space="preserve"> </t>
    </r>
    <r>
      <rPr>
        <sz val="8"/>
        <rFont val="Times New Roman"/>
        <family val="1"/>
      </rPr>
      <t xml:space="preserve">New Deals represent all trades that are initiated during the month, which will result in a confirmation being sent to the counterparty.</t>
    </r>
  </si>
  <si>
    <r>
      <rPr>
        <b val="true"/>
        <sz val="8"/>
        <color rgb="FF008000"/>
        <rFont val="Times New Roman"/>
        <family val="1"/>
      </rPr>
      <t xml:space="preserve">(2)</t>
    </r>
    <r>
      <rPr>
        <sz val="8"/>
        <color rgb="FF008000"/>
        <rFont val="Times New Roman"/>
        <family val="1"/>
      </rPr>
      <t xml:space="preserve"> </t>
    </r>
    <r>
      <rPr>
        <sz val="8"/>
        <rFont val="Times New Roman"/>
        <family val="1"/>
      </rPr>
      <t xml:space="preserve">Active Deals represent all liquidated trades which will result in a settlement (ie. Invoice or payment) during the month.</t>
    </r>
  </si>
  <si>
    <t xml:space="preserve">(a)  Financial Deals include Gas, Liquids, FX / Int, Weather and Pulp &amp; Paper.</t>
  </si>
  <si>
    <t xml:space="preserve">GENERAL LEDGER BALANCES AS OF JUNE 30, 2000</t>
  </si>
  <si>
    <t xml:space="preserve">ALL AMOUNTS IN MILLIONS</t>
  </si>
  <si>
    <t xml:space="preserve">A/R Balances as of June 30, 2000</t>
  </si>
  <si>
    <t xml:space="preserve">A/P Balances as of June 30, 2000</t>
  </si>
  <si>
    <t xml:space="preserve">Total </t>
  </si>
  <si>
    <t xml:space="preserve">Current </t>
  </si>
  <si>
    <t xml:space="preserve">1 - 30 Days</t>
  </si>
  <si>
    <t xml:space="preserve">31 - 60 Days</t>
  </si>
  <si>
    <t xml:space="preserve">61 - 90 Days</t>
  </si>
  <si>
    <t xml:space="preserve">Over 90 Days</t>
  </si>
  <si>
    <t xml:space="preserve">June 2000 Collection Rate %</t>
  </si>
  <si>
    <t xml:space="preserve">Current Month</t>
  </si>
  <si>
    <t xml:space="preserve">Greater Than 31 Days</t>
  </si>
  <si>
    <t xml:space="preserve">Natural Gas - Houston A/R</t>
  </si>
  <si>
    <t xml:space="preserve">Natural Gas - Houston A/P</t>
  </si>
  <si>
    <r>
      <rPr>
        <sz val="10"/>
        <rFont val="Times New Roman"/>
        <family val="0"/>
      </rPr>
      <t xml:space="preserve">Power </t>
    </r>
    <r>
      <rPr>
        <vertAlign val="superscript"/>
        <sz val="10"/>
        <rFont val="Times New Roman"/>
        <family val="1"/>
      </rPr>
      <t xml:space="preserve">(a)</t>
    </r>
  </si>
  <si>
    <r>
      <rPr>
        <sz val="10"/>
        <rFont val="Times New Roman"/>
        <family val="0"/>
      </rPr>
      <t xml:space="preserve">Power A/R </t>
    </r>
    <r>
      <rPr>
        <vertAlign val="superscript"/>
        <sz val="10"/>
        <rFont val="Times New Roman"/>
        <family val="1"/>
      </rPr>
      <t xml:space="preserve">(a)</t>
    </r>
  </si>
  <si>
    <r>
      <rPr>
        <sz val="10"/>
        <rFont val="Times New Roman"/>
        <family val="0"/>
      </rPr>
      <t xml:space="preserve">Power A/P </t>
    </r>
    <r>
      <rPr>
        <vertAlign val="superscript"/>
        <sz val="10"/>
        <rFont val="Times New Roman"/>
        <family val="1"/>
      </rPr>
      <t xml:space="preserve">(a)</t>
    </r>
  </si>
  <si>
    <r>
      <rPr>
        <sz val="10"/>
        <rFont val="Times New Roman"/>
        <family val="0"/>
      </rPr>
      <t xml:space="preserve">Financial</t>
    </r>
    <r>
      <rPr>
        <vertAlign val="superscript"/>
        <sz val="10"/>
        <rFont val="Times New Roman"/>
        <family val="1"/>
      </rPr>
      <t xml:space="preserve"> (b)</t>
    </r>
  </si>
  <si>
    <t xml:space="preserve">Coal</t>
  </si>
  <si>
    <r>
      <rPr>
        <sz val="10"/>
        <rFont val="Times New Roman"/>
        <family val="0"/>
      </rPr>
      <t xml:space="preserve">Pulp and Paper </t>
    </r>
    <r>
      <rPr>
        <vertAlign val="superscript"/>
        <sz val="10"/>
        <rFont val="Times New Roman"/>
        <family val="1"/>
      </rPr>
      <t xml:space="preserve">(c)</t>
    </r>
  </si>
  <si>
    <t xml:space="preserve">Interest Rate / FX</t>
  </si>
  <si>
    <t xml:space="preserve">Non ENA Intercompany</t>
  </si>
  <si>
    <t xml:space="preserve">NOTES:</t>
  </si>
  <si>
    <t xml:space="preserve">The "Over 90 Days" balance for Natural Gas consists of the following: $4.7 million from North American Energy</t>
  </si>
  <si>
    <t xml:space="preserve">Conservation Inc. which is in bankruptcy, $7.9 million which is currently being actively pursued for collection and</t>
  </si>
  <si>
    <t xml:space="preserve">$12.1 million of accounts that are currently being reconciled with counterparties in order to collect outstanding balances.</t>
  </si>
  <si>
    <t xml:space="preserve">The "Over 90 Days" balance for Power consists of the following:  $9.3 million from Tennessee Valley Authority which</t>
  </si>
  <si>
    <t xml:space="preserve">is in litigation, $1.5 million that will be cleared after net-out entries between A/R and A/P are recorded in the July</t>
  </si>
  <si>
    <t xml:space="preserve">general ledger and $.2 million which is being actively pursued for collection.</t>
  </si>
  <si>
    <t xml:space="preserve">Interest Rate / FX consists of balances that will be cleared after net-out entries between A/R and A/P are recorded in the</t>
  </si>
  <si>
    <t xml:space="preserve">July general ledger.</t>
  </si>
  <si>
    <t xml:space="preserve">Gross Revenues</t>
  </si>
  <si>
    <t xml:space="preserve">April</t>
  </si>
  <si>
    <t xml:space="preserve">May</t>
  </si>
  <si>
    <r>
      <rPr>
        <sz val="10"/>
        <rFont val="Times New Roman"/>
        <family val="0"/>
      </rPr>
      <t xml:space="preserve">Financial </t>
    </r>
    <r>
      <rPr>
        <vertAlign val="superscript"/>
        <sz val="10"/>
        <rFont val="Times New Roman"/>
        <family val="1"/>
      </rPr>
      <t xml:space="preserve">(b)</t>
    </r>
  </si>
  <si>
    <r>
      <rPr>
        <sz val="10"/>
        <rFont val="Times New Roman"/>
        <family val="0"/>
      </rPr>
      <t xml:space="preserve">Pulp and Paper</t>
    </r>
    <r>
      <rPr>
        <vertAlign val="superscript"/>
        <sz val="10"/>
        <rFont val="Times New Roman"/>
        <family val="1"/>
      </rPr>
      <t xml:space="preserve"> (c)</t>
    </r>
  </si>
  <si>
    <t xml:space="preserve">Flash to Actual Adjustment</t>
  </si>
  <si>
    <t xml:space="preserve">Adj as a % of May Gross Revenue</t>
  </si>
  <si>
    <t xml:space="preserve">Imbalances</t>
  </si>
  <si>
    <t xml:space="preserve">March 2000</t>
  </si>
  <si>
    <t xml:space="preserve">April 2000</t>
  </si>
  <si>
    <t xml:space="preserve">May 2000</t>
  </si>
  <si>
    <t xml:space="preserve">Unaccounted For Balances</t>
  </si>
  <si>
    <t xml:space="preserve">Imbalance Receivable</t>
  </si>
  <si>
    <t xml:space="preserve">Imbalance Payable</t>
  </si>
  <si>
    <t xml:space="preserve">Net Imbalance Rec/(Pay)</t>
  </si>
  <si>
    <t xml:space="preserve">   Off-System</t>
  </si>
  <si>
    <t xml:space="preserve">   On-System</t>
  </si>
  <si>
    <t xml:space="preserve">Totals</t>
  </si>
  <si>
    <t xml:space="preserve">FLASH-TO-ACTUAL ADJUSTMENTS</t>
  </si>
  <si>
    <t xml:space="preserve">DETAIL OF GROSS REVENUES BY COMMODITY</t>
  </si>
  <si>
    <r>
      <rPr>
        <b val="true"/>
        <sz val="10"/>
        <rFont val="Times New Roman"/>
        <family val="1"/>
      </rPr>
      <t xml:space="preserve">Gas </t>
    </r>
    <r>
      <rPr>
        <b val="true"/>
        <vertAlign val="superscript"/>
        <sz val="10"/>
        <rFont val="Times New Roman"/>
        <family val="1"/>
      </rPr>
      <t xml:space="preserve">(d)</t>
    </r>
  </si>
  <si>
    <r>
      <rPr>
        <b val="true"/>
        <sz val="10"/>
        <rFont val="Times New Roman"/>
        <family val="1"/>
      </rPr>
      <t xml:space="preserve">Power </t>
    </r>
    <r>
      <rPr>
        <b val="true"/>
        <vertAlign val="superscript"/>
        <sz val="10"/>
        <rFont val="Times New Roman"/>
        <family val="1"/>
      </rPr>
      <t xml:space="preserve">(e)</t>
    </r>
  </si>
  <si>
    <t xml:space="preserve">Gross Revenues June</t>
  </si>
  <si>
    <t xml:space="preserve">Flash to Actual Inc./(Loss) Adjustment</t>
  </si>
  <si>
    <t xml:space="preserve">Adj as % of Gross Revenues</t>
  </si>
  <si>
    <t xml:space="preserve">January</t>
  </si>
  <si>
    <t xml:space="preserve">February</t>
  </si>
  <si>
    <t xml:space="preserve">March</t>
  </si>
  <si>
    <t xml:space="preserve">June</t>
  </si>
  <si>
    <t xml:space="preserve">VOLUMETRIC IMBALANCES AND UNACCOUNTED FOR</t>
  </si>
  <si>
    <t xml:space="preserve">AMOUNTS IN  MMBtu's</t>
  </si>
  <si>
    <t xml:space="preserve">Unaccounted For</t>
  </si>
  <si>
    <t xml:space="preserve">Rec./(Pay.) per 3rd Party Pipeline Statement</t>
  </si>
  <si>
    <t xml:space="preserve">Rec./(Pay.) per General Ledger</t>
  </si>
  <si>
    <t xml:space="preserve">Favorable/ (Unfavorable) Difference to General Ledger</t>
  </si>
  <si>
    <t xml:space="preserve"> Asset / (Liability)</t>
  </si>
  <si>
    <t xml:space="preserve">Natural Gas Houston</t>
  </si>
  <si>
    <t xml:space="preserve">Off-System </t>
  </si>
  <si>
    <t xml:space="preserve">On-System </t>
  </si>
  <si>
    <t xml:space="preserve">Totals in MMBtu's</t>
  </si>
  <si>
    <t xml:space="preserve">(a) Includes SO2 activity</t>
  </si>
  <si>
    <t xml:space="preserve">(b) Includes Activity for Gas, Weather and Pulp and Paper.  Revenue represents the absolute dollar value of the receivables and payables recorded during the month.</t>
  </si>
  <si>
    <t xml:space="preserve">(c) Physical transactions only.</t>
  </si>
  <si>
    <t xml:space="preserve">(d) Flash-to-Actual adjustments for Natural Gas - Houston are recorded on a two-month lag along with adjustments from any previous production months.</t>
  </si>
  <si>
    <t xml:space="preserve">(e) Flash-to-Actual adjustments for Power are recorded on a one-month lag.</t>
  </si>
  <si>
    <t xml:space="preserve">TOT_OPS_EXPENSES</t>
  </si>
  <si>
    <t xml:space="preserve">ACTUAL</t>
  </si>
  <si>
    <t xml:space="preserve">PLAN2000</t>
  </si>
  <si>
    <t xml:space="preserve">M.MTD</t>
  </si>
  <si>
    <t xml:space="preserve">M.YTD</t>
  </si>
  <si>
    <t xml:space="preserve">ena</t>
  </si>
  <si>
    <t xml:space="preserve">TOTAL_HEADCOUNT</t>
  </si>
  <si>
    <t xml:space="preserve">YTD BUDGET COMPARISON</t>
  </si>
  <si>
    <t xml:space="preserve">AS OF JUNE 2000</t>
  </si>
  <si>
    <t xml:space="preserve">YTD EXPENSES AS OF JUNE 2000</t>
  </si>
  <si>
    <t xml:space="preserve">APRIL HEADCOUNT</t>
  </si>
  <si>
    <t xml:space="preserve">Group</t>
  </si>
  <si>
    <t xml:space="preserve">Owner</t>
  </si>
  <si>
    <t xml:space="preserve">Actual</t>
  </si>
  <si>
    <t xml:space="preserve">Plan</t>
  </si>
  <si>
    <t xml:space="preserve">Actual Greater than / (Less than)  Plan</t>
  </si>
  <si>
    <t xml:space="preserve">Adj Plan</t>
  </si>
  <si>
    <t xml:space="preserve">Actual Greater than / (Less than) Adj Plan</t>
  </si>
  <si>
    <t xml:space="preserve">Support Groups</t>
  </si>
  <si>
    <t xml:space="preserve">Natural Gas Operations</t>
  </si>
  <si>
    <t xml:space="preserve">Price</t>
  </si>
  <si>
    <t xml:space="preserve">LOGISTICS</t>
  </si>
  <si>
    <t xml:space="preserve"> </t>
  </si>
  <si>
    <t xml:space="preserve">Logistics</t>
  </si>
  <si>
    <t xml:space="preserve">Superty</t>
  </si>
  <si>
    <t xml:space="preserve">NAT_GAS</t>
  </si>
  <si>
    <t xml:space="preserve">Natural Gas</t>
  </si>
  <si>
    <t xml:space="preserve">TX_NAT_GAS</t>
  </si>
  <si>
    <t xml:space="preserve">Gas Assets Operations</t>
  </si>
  <si>
    <t xml:space="preserve">Herod</t>
  </si>
  <si>
    <t xml:space="preserve">PWR</t>
  </si>
  <si>
    <t xml:space="preserve">Power Operations</t>
  </si>
  <si>
    <t xml:space="preserve">Albrecht / Reeves</t>
  </si>
  <si>
    <t xml:space="preserve">FINANC</t>
  </si>
  <si>
    <t xml:space="preserve">Risk Mgmt &amp; Controls</t>
  </si>
  <si>
    <t xml:space="preserve">Moscoso / Perez</t>
  </si>
  <si>
    <t xml:space="preserve">MERCH_ASSET</t>
  </si>
  <si>
    <t xml:space="preserve">Merchant Assets</t>
  </si>
  <si>
    <t xml:space="preserve">Hall</t>
  </si>
  <si>
    <t xml:space="preserve">EQUITIES</t>
  </si>
  <si>
    <t xml:space="preserve">Financial Products Operations</t>
  </si>
  <si>
    <t xml:space="preserve">Glover</t>
  </si>
  <si>
    <t xml:space="preserve">EMRG_PRDTS</t>
  </si>
  <si>
    <t xml:space="preserve">Emerging Products Operations</t>
  </si>
  <si>
    <t xml:space="preserve">Earnest / Hall</t>
  </si>
  <si>
    <t xml:space="preserve">ENRON_ONLINE</t>
  </si>
  <si>
    <t xml:space="preserve">EOL Product Controls</t>
  </si>
  <si>
    <t xml:space="preserve">Thomas</t>
  </si>
  <si>
    <t xml:space="preserve">GBL_GRP</t>
  </si>
  <si>
    <t xml:space="preserve">Global Data Group</t>
  </si>
  <si>
    <t xml:space="preserve">Solmonson</t>
  </si>
  <si>
    <t xml:space="preserve">0120236.TOTAL</t>
  </si>
  <si>
    <t xml:space="preserve">Global Facilities on Co 012</t>
  </si>
  <si>
    <t xml:space="preserve">ENT_ACT</t>
  </si>
  <si>
    <t xml:space="preserve">Strategic Operations</t>
  </si>
  <si>
    <t xml:space="preserve">4442788.TOTAL</t>
  </si>
  <si>
    <r>
      <rPr>
        <sz val="10"/>
        <rFont val="Times New Roman"/>
        <family val="0"/>
      </rPr>
      <t xml:space="preserve">Energy Ops Calgary </t>
    </r>
    <r>
      <rPr>
        <vertAlign val="superscript"/>
        <sz val="10"/>
        <rFont val="Times New Roman"/>
        <family val="1"/>
      </rPr>
      <t xml:space="preserve">(a)</t>
    </r>
  </si>
  <si>
    <t xml:space="preserve">Hedstrom</t>
  </si>
  <si>
    <t xml:space="preserve">ENG_OP_MGT</t>
  </si>
  <si>
    <t xml:space="preserve">Energy Ops Mgmt</t>
  </si>
  <si>
    <t xml:space="preserve">Beck</t>
  </si>
  <si>
    <t xml:space="preserve">CAP_WO_RC</t>
  </si>
  <si>
    <t xml:space="preserve">Capital WO RC's</t>
  </si>
  <si>
    <t xml:space="preserve">Management and Controls</t>
  </si>
  <si>
    <t xml:space="preserve">4131805.TOTAL</t>
  </si>
  <si>
    <t xml:space="preserve">Less:  Non-ENA Billings</t>
  </si>
  <si>
    <t xml:space="preserve">Total Energy Operations Expenses within ENA</t>
  </si>
  <si>
    <t xml:space="preserve">check:</t>
  </si>
  <si>
    <t xml:space="preserve">ENGY_OPS_W_ONLINETRD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</si>
</sst>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_(\$* #,##0.00_);_(\$* \(#,##0.00\);_(\$* \-??_);_(@_)"/>
    <numFmt numFmtId="166" formatCode="[$-409]mmm\-yy"/>
    <numFmt numFmtId="167" formatCode="_(* #,##0.00_);_(* \(#,##0.00\);_(* \-??_);_(@_)"/>
    <numFmt numFmtId="168" formatCode="_(* #,##0_);_(* \(#,##0\);_(* \-??_);_(@_)"/>
    <numFmt numFmtId="169" formatCode="0%"/>
    <numFmt numFmtId="170" formatCode="_(* #,##0_);_(* \(#,##0\);_(* \-_);_(@_)"/>
    <numFmt numFmtId="171" formatCode="_(* #,##0.0_);_(* \(#,##0.0\);_(* \-??_);_(@_)"/>
    <numFmt numFmtId="172" formatCode="\$#,##0.0_);&quot;($&quot;#,##0.0\)"/>
    <numFmt numFmtId="173" formatCode="\$#,##0.0"/>
    <numFmt numFmtId="174" formatCode="0_);\(0\)"/>
    <numFmt numFmtId="175" formatCode="0.0%"/>
    <numFmt numFmtId="176" formatCode="#,##0.0_);\(#,##0.0\)"/>
    <numFmt numFmtId="177" formatCode="_(* #,##0.0_);_(* \(#,##0.0\);_(* \-_);_(@_)"/>
    <numFmt numFmtId="178" formatCode="0.000%"/>
    <numFmt numFmtId="179" formatCode="\$#,##0.00_);&quot;($&quot;#,##0.00\)"/>
    <numFmt numFmtId="180" formatCode="[$-409]#,##0.00_);\(#,##0.00\)"/>
    <numFmt numFmtId="181" formatCode="_(\$* #,##0_);_(\$* \(#,##0\);_(\$* \-_);_(@_)"/>
    <numFmt numFmtId="182" formatCode="_(\$* #,##0.0_);_(\$* \(#,##0.0\);_(\$* \-??_);_(@_)"/>
    <numFmt numFmtId="183" formatCode="0.00%"/>
    <numFmt numFmtId="184" formatCode="[$-409]m/d/yyyy"/>
    <numFmt numFmtId="185" formatCode="[$-409]#,##0_);[RED]\(#,##0\)"/>
    <numFmt numFmtId="186" formatCode="_(\$* #,##0_);_(\$* \(#,##0\);_(\$* \-??_);_(@_)"/>
  </numFmts>
  <fonts count="30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b val="true"/>
      <u val="single"/>
      <sz val="11"/>
      <name val="Times New Roman"/>
      <family val="1"/>
    </font>
    <font>
      <b val="true"/>
      <u val="single"/>
      <vertAlign val="superscript"/>
      <sz val="8"/>
      <name val="Times New Roman"/>
      <family val="1"/>
    </font>
    <font>
      <b val="true"/>
      <sz val="11"/>
      <color rgb="FF00800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vertAlign val="superscript"/>
      <sz val="10"/>
      <name val="Times New Roman"/>
      <family val="1"/>
    </font>
    <font>
      <b val="true"/>
      <sz val="8"/>
      <color rgb="FF008000"/>
      <name val="Times New Roman"/>
      <family val="1"/>
    </font>
    <font>
      <sz val="8"/>
      <color rgb="FF008000"/>
      <name val="Times New Roman"/>
      <family val="1"/>
    </font>
    <font>
      <sz val="8"/>
      <name val="Times New Roman"/>
      <family val="1"/>
    </font>
    <font>
      <sz val="2.5"/>
      <color rgb="FF000000"/>
      <name val="Times New Roman"/>
      <family val="2"/>
    </font>
    <font>
      <b val="true"/>
      <sz val="9"/>
      <color rgb="FF000000"/>
      <name val="Times New Roman"/>
      <family val="2"/>
    </font>
    <font>
      <sz val="8"/>
      <color rgb="FF000000"/>
      <name val="Times New Roman"/>
      <family val="2"/>
    </font>
    <font>
      <sz val="10"/>
      <name val="Times New Roman"/>
      <family val="1"/>
    </font>
    <font>
      <b val="true"/>
      <sz val="10"/>
      <color rgb="FF3366FF"/>
      <name val="Times New Roman"/>
      <family val="1"/>
    </font>
    <font>
      <b val="true"/>
      <sz val="8"/>
      <color rgb="FF000000"/>
      <name val="Times New Roman"/>
      <family val="2"/>
    </font>
    <font>
      <sz val="9.25"/>
      <color rgb="FF000000"/>
      <name val="Times New Roman"/>
      <family val="2"/>
    </font>
    <font>
      <sz val="8.5"/>
      <color rgb="FF000000"/>
      <name val="Times New Roman"/>
      <family val="2"/>
    </font>
    <font>
      <b val="true"/>
      <sz val="8.5"/>
      <color rgb="FF000000"/>
      <name val="Times New Roman"/>
      <family val="2"/>
    </font>
    <font>
      <sz val="9"/>
      <color rgb="FF000000"/>
      <name val="Times New Roman"/>
      <family val="2"/>
    </font>
    <font>
      <b val="true"/>
      <vertAlign val="superscript"/>
      <sz val="10"/>
      <name val="Times New Roman"/>
      <family val="1"/>
    </font>
    <font>
      <sz val="12"/>
      <name val="Times New Roman"/>
      <family val="1"/>
    </font>
    <font>
      <sz val="7"/>
      <color rgb="FF000000"/>
      <name val="Times New Roman"/>
      <family val="2"/>
    </font>
    <font>
      <sz val="10"/>
      <name val="Arial"/>
      <family val="2"/>
    </font>
    <font>
      <sz val="9"/>
      <name val="Times New Roman"/>
      <family val="1"/>
    </font>
    <font>
      <sz val="10.75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5" fontId="4" fillId="0" borderId="1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3" shrinkToFit="false"/>
      <protection locked="true" hidden="false"/>
    </xf>
    <xf numFmtId="171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4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7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9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2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June Monthly Headcount Comparison - Budget vs Actual" xfId="20"/>
    <cellStyle name="Normal_Monthly Headcount Comparison - Budget vs Actual" xfId="21"/>
    <cellStyle name="Normal_stats" xfId="22"/>
    <cellStyle name="Normal_Summmary-Cousino" xfId="23"/>
    <cellStyle name="Normal_Updated COAL_JUNE_2000" xfId="24"/>
    <cellStyle name="Normal_Updated P&amp;P file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250" strike="noStrike" u="none">
                <a:solidFill>
                  <a:srgbClr val="000000"/>
                </a:solidFill>
                <a:uFillTx/>
                <a:latin typeface="Times New Roman"/>
              </a:rPr>
              <a:t>#REF!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</c:ser>
        <c:firstSliceAng val="0"/>
      </c:pieChart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25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solidFill>
                  <a:srgbClr val="000000"/>
                </a:solidFill>
                <a:uFillTx/>
                <a:latin typeface="Times New Roman"/>
              </a:rPr>
              <a:t>June 2000 YTD Expenses Variance to Plan</a:t>
            </a:r>
          </a:p>
        </c:rich>
      </c:tx>
      <c:layout>
        <c:manualLayout>
          <c:xMode val="edge"/>
          <c:yMode val="edge"/>
          <c:x val="0.250629247420086"/>
          <c:y val="0.059281215264912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1613390385099"/>
          <c:y val="0.159194763492652"/>
          <c:w val="0.679650138434432"/>
          <c:h val="0.8165987402741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Expense Info'!$G$9</c:f>
              <c:strCache>
                <c:ptCount val="1"/>
                <c:pt idx="0">
                  <c:v>Actual Greater than / (Less than)  Plan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0066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solidFill>
                <a:srgbClr val="cccc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invertIfNegative val="0"/>
            <c:spPr>
              <a:solidFill>
                <a:srgbClr val="000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9"/>
            <c:invertIfNegative val="0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8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9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'Summary Expense Info'!$C$11:$C$28</c:f>
              <c:strCache>
                <c:ptCount val="10"/>
                <c:pt idx="0">
                  <c:v>Natural Gas Operations</c:v>
                </c:pt>
                <c:pt idx="1">
                  <c:v>Gas Assets Operations</c:v>
                </c:pt>
                <c:pt idx="2">
                  <c:v>Power Operations</c:v>
                </c:pt>
                <c:pt idx="3">
                  <c:v>Merchant Assets</c:v>
                </c:pt>
                <c:pt idx="4">
                  <c:v>Financial Products Operations</c:v>
                </c:pt>
                <c:pt idx="5">
                  <c:v>Emerging Products Operations</c:v>
                </c:pt>
                <c:pt idx="6">
                  <c:v>EOL Product Controls</c:v>
                </c:pt>
                <c:pt idx="7">
                  <c:v>Global Data Group</c:v>
                </c:pt>
                <c:pt idx="8">
                  <c:v>Energy Ops Calgary (a)</c:v>
                </c:pt>
                <c:pt idx="9">
                  <c:v>Management and Controls</c:v>
                </c:pt>
              </c:strCache>
            </c:strRef>
          </c:cat>
          <c:val>
            <c:numRef>
              <c:f>'Summary Expense Info'!$G$11:$G$28</c:f>
              <c:numCache>
                <c:formatCode>_(\$* #,##0_);_(\$* \(#,##0\);_(\$* \-??_);_(@_)</c:formatCode>
                <c:ptCount val="10"/>
                <c:pt idx="0">
                  <c:v>306128.809</c:v>
                </c:pt>
                <c:pt idx="1">
                  <c:v>128692.333679167</c:v>
                </c:pt>
                <c:pt idx="2">
                  <c:v>-92726.7250000001</c:v>
                </c:pt>
                <c:pt idx="3">
                  <c:v>-248813</c:v>
                </c:pt>
                <c:pt idx="4">
                  <c:v>-166820</c:v>
                </c:pt>
                <c:pt idx="5">
                  <c:v>-372707.016166667</c:v>
                </c:pt>
                <c:pt idx="6">
                  <c:v>-257305.25</c:v>
                </c:pt>
                <c:pt idx="7">
                  <c:v>-269084.61895</c:v>
                </c:pt>
                <c:pt idx="8">
                  <c:v>59078</c:v>
                </c:pt>
                <c:pt idx="9">
                  <c:v>-690786.135</c:v>
                </c:pt>
              </c:numCache>
            </c:numRef>
          </c:val>
        </c:ser>
        <c:gapWidth val="150"/>
        <c:overlap val="0"/>
        <c:axId val="16916862"/>
        <c:axId val="24330879"/>
      </c:barChart>
      <c:catAx>
        <c:axId val="1691686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 rot="-27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4330879"/>
        <c:auto val="1"/>
        <c:lblAlgn val="ctr"/>
        <c:lblOffset val="100"/>
        <c:noMultiLvlLbl val="0"/>
      </c:catAx>
      <c:valAx>
        <c:axId val="24330879"/>
        <c:scaling>
          <c:orientation val="minMax"/>
          <c:max val="320000"/>
          <c:min val="-7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\$* #,##0_);_(\$* \(#,##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6916862"/>
        <c:crossesAt val="1"/>
        <c:crossBetween val="midCat"/>
        <c:majorUnit val="1000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02177196073496"/>
          <c:y val="0.23119673953316"/>
          <c:w val="0.257488044299018"/>
          <c:h val="0.6230702729405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solidFill>
                  <a:srgbClr val="000000"/>
                </a:solidFill>
                <a:uFillTx/>
                <a:latin typeface="Times New Roman"/>
              </a:rPr>
              <a:t>YTD Expenses as of June 2000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555118439776"/>
          <c:y val="0.355034946932436"/>
          <c:w val="0.294969448397087"/>
          <c:h val="0.476443178876521"/>
        </c:manualLayout>
      </c:layout>
      <c:pieChart>
        <c:varyColors val="1"/>
        <c:ser>
          <c:idx val="0"/>
          <c:order val="0"/>
          <c:tx>
            <c:strRef>
              <c:f>'Summary Expense Info'!$C$8:$G$8</c:f>
              <c:strCache>
                <c:ptCount val="1"/>
                <c:pt idx="0">
                  <c:v>YTD EXPENSES AS OF JUNE 2000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spPr>
              <a:solidFill>
                <a:srgbClr val="0066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spPr>
              <a:solidFill>
                <a:srgbClr val="cccc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spPr>
              <a:solidFill>
                <a:srgbClr val="000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9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6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7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8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9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'Summary Expense Info'!$C$11:$C$28</c:f>
              <c:strCache>
                <c:ptCount val="10"/>
                <c:pt idx="0">
                  <c:v>Natural Gas Operations</c:v>
                </c:pt>
                <c:pt idx="1">
                  <c:v>Gas Assets Operations</c:v>
                </c:pt>
                <c:pt idx="2">
                  <c:v>Power Operations</c:v>
                </c:pt>
                <c:pt idx="3">
                  <c:v>Merchant Assets</c:v>
                </c:pt>
                <c:pt idx="4">
                  <c:v>Financial Products Operations</c:v>
                </c:pt>
                <c:pt idx="5">
                  <c:v>Emerging Products Operations</c:v>
                </c:pt>
                <c:pt idx="6">
                  <c:v>EOL Product Controls</c:v>
                </c:pt>
                <c:pt idx="7">
                  <c:v>Global Data Group</c:v>
                </c:pt>
                <c:pt idx="8">
                  <c:v>Energy Ops Calgary (a)</c:v>
                </c:pt>
                <c:pt idx="9">
                  <c:v>Management and Controls</c:v>
                </c:pt>
              </c:strCache>
            </c:strRef>
          </c:cat>
          <c:val>
            <c:numRef>
              <c:f>'Summary Expense Info'!$E$11:$E$28</c:f>
              <c:numCache>
                <c:formatCode>_(\$* #,##0_);_(\$* \(#,##0\);_(\$* \-??_);_(@_)</c:formatCode>
                <c:ptCount val="10"/>
                <c:pt idx="0">
                  <c:v>8210339</c:v>
                </c:pt>
                <c:pt idx="1">
                  <c:v>2791515</c:v>
                </c:pt>
                <c:pt idx="2">
                  <c:v>1557534</c:v>
                </c:pt>
                <c:pt idx="3">
                  <c:v>364321</c:v>
                </c:pt>
                <c:pt idx="4">
                  <c:v>780759</c:v>
                </c:pt>
                <c:pt idx="5">
                  <c:v>542084</c:v>
                </c:pt>
                <c:pt idx="6">
                  <c:v>748398</c:v>
                </c:pt>
                <c:pt idx="7">
                  <c:v>1555988</c:v>
                </c:pt>
                <c:pt idx="8">
                  <c:v>618678</c:v>
                </c:pt>
                <c:pt idx="9">
                  <c:v>3585832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21051309952289"/>
          <c:y val="0.224307533005436"/>
          <c:w val="0.386791663179041"/>
          <c:h val="0.639269997411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solidFill>
                  <a:srgbClr val="000000"/>
                </a:solidFill>
                <a:uFillTx/>
                <a:latin typeface="Times New Roman"/>
              </a:rPr>
              <a:t>Energy Operations 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2965931863727"/>
          <c:y val="0.169692478695813"/>
          <c:w val="0.729959919839679"/>
          <c:h val="0.798567370631098"/>
        </c:manualLayout>
      </c:layout>
      <c:lineChart>
        <c:grouping val="standard"/>
        <c:varyColors val="0"/>
        <c:ser>
          <c:idx val="0"/>
          <c:order val="0"/>
          <c:tx>
            <c:strRef>
              <c:f>'[1]YTD HC'!$H$33</c:f>
              <c:strCache>
                <c:ptCount val="1"/>
                <c:pt idx="0">
                  <c:v>Adjusted Plan (b)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HC'!$D$34:$D$39</c:f>
              <c:strCache>
                <c:ptCount val="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</c:strCache>
            </c:strRef>
          </c:cat>
          <c:val>
            <c:numRef>
              <c:f>'[1]YTD HC'!$H$34:$H$39</c:f>
              <c:numCache>
                <c:formatCode>General</c:formatCode>
                <c:ptCount val="6"/>
                <c:pt idx="0">
                  <c:v>432.2</c:v>
                </c:pt>
                <c:pt idx="1">
                  <c:v>430.95</c:v>
                </c:pt>
                <c:pt idx="2">
                  <c:v>433.2</c:v>
                </c:pt>
                <c:pt idx="3">
                  <c:v>429</c:v>
                </c:pt>
                <c:pt idx="4">
                  <c:v>435</c:v>
                </c:pt>
                <c:pt idx="5">
                  <c:v>442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'[1]YTD HC'!$I$33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HC'!$D$34:$D$39</c:f>
              <c:strCache>
                <c:ptCount val="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</c:strCache>
            </c:strRef>
          </c:cat>
          <c:val>
            <c:numRef>
              <c:f>'[1]YTD HC'!$I$34:$I$39</c:f>
              <c:numCache>
                <c:formatCode>General</c:formatCode>
                <c:ptCount val="6"/>
                <c:pt idx="0">
                  <c:v>418</c:v>
                </c:pt>
                <c:pt idx="1">
                  <c:v>417</c:v>
                </c:pt>
                <c:pt idx="2">
                  <c:v>410</c:v>
                </c:pt>
                <c:pt idx="3">
                  <c:v>419</c:v>
                </c:pt>
                <c:pt idx="4">
                  <c:v>429</c:v>
                </c:pt>
                <c:pt idx="5">
                  <c:v>440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8244530"/>
        <c:axId val="91052327"/>
      </c:lineChart>
      <c:catAx>
        <c:axId val="1824453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1052327"/>
        <c:crossesAt val="0"/>
        <c:auto val="1"/>
        <c:lblAlgn val="ctr"/>
        <c:lblOffset val="100"/>
        <c:noMultiLvlLbl val="0"/>
      </c:catAx>
      <c:valAx>
        <c:axId val="910523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824453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9689378757515"/>
          <c:y val="0.44164505372360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solidFill>
                  <a:srgbClr val="000000"/>
                </a:solidFill>
                <a:uFillTx/>
                <a:latin typeface="Times New Roman"/>
              </a:rPr>
              <a:t>New Deals By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'Summary Volume Stats'!$B$26</c:f>
              <c:strCache>
                <c:ptCount val="1"/>
                <c:pt idx="0">
                  <c:v>Natural Gas - Houston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'Summary Volume Stats'!$D$24:$I$24</c:f>
              <c:strCache>
                <c:ptCount val="6"/>
                <c:pt idx="0">
                  <c:v>Jan-00</c:v>
                </c:pt>
                <c:pt idx="1">
                  <c:v>Feb-00</c:v>
                </c:pt>
                <c:pt idx="2">
                  <c:v>Mar-00</c:v>
                </c:pt>
                <c:pt idx="3">
                  <c:v>Apr-00</c:v>
                </c:pt>
                <c:pt idx="4">
                  <c:v>May-00</c:v>
                </c:pt>
                <c:pt idx="5">
                  <c:v>Jun-00</c:v>
                </c:pt>
              </c:strCache>
            </c:strRef>
          </c:cat>
          <c:val>
            <c:numRef>
              <c:f>'Summary Volume Stats'!$D$26:$I$26</c:f>
              <c:numCache>
                <c:formatCode>_(* #,##0_);_(* \(#,##0\);_(* \-??_);_(@_)</c:formatCode>
                <c:ptCount val="6"/>
                <c:pt idx="0">
                  <c:v>8698</c:v>
                </c:pt>
                <c:pt idx="1">
                  <c:v>10541</c:v>
                </c:pt>
                <c:pt idx="2">
                  <c:v>16886</c:v>
                </c:pt>
                <c:pt idx="3">
                  <c:v>14536</c:v>
                </c:pt>
                <c:pt idx="4">
                  <c:v>15918</c:v>
                </c:pt>
                <c:pt idx="5">
                  <c:v>16455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'Summary Volume Stats'!$B$27</c:f>
              <c:strCache>
                <c:ptCount val="1"/>
                <c:pt idx="0">
                  <c:v>Natural Gas - Calgary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'Summary Volume Stats'!$D$24:$I$24</c:f>
              <c:strCache>
                <c:ptCount val="6"/>
                <c:pt idx="0">
                  <c:v>Jan-00</c:v>
                </c:pt>
                <c:pt idx="1">
                  <c:v>Feb-00</c:v>
                </c:pt>
                <c:pt idx="2">
                  <c:v>Mar-00</c:v>
                </c:pt>
                <c:pt idx="3">
                  <c:v>Apr-00</c:v>
                </c:pt>
                <c:pt idx="4">
                  <c:v>May-00</c:v>
                </c:pt>
                <c:pt idx="5">
                  <c:v>Jun-00</c:v>
                </c:pt>
              </c:strCache>
            </c:strRef>
          </c:cat>
          <c:val>
            <c:numRef>
              <c:f>'Summary Volume Stats'!$D$27:$I$27</c:f>
              <c:numCache>
                <c:formatCode>_(* #,##0_);_(* \(#,##0\);_(* \-??_);_(@_)</c:formatCode>
                <c:ptCount val="6"/>
                <c:pt idx="0">
                  <c:v>3264</c:v>
                </c:pt>
                <c:pt idx="1">
                  <c:v>3731</c:v>
                </c:pt>
                <c:pt idx="2">
                  <c:v>4386</c:v>
                </c:pt>
                <c:pt idx="3">
                  <c:v>3507</c:v>
                </c:pt>
                <c:pt idx="4">
                  <c:v>5329</c:v>
                </c:pt>
                <c:pt idx="5">
                  <c:v>4863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'Summary Volume Stats'!$B$28</c:f>
              <c:strCache>
                <c:ptCount val="1"/>
                <c:pt idx="0">
                  <c:v>Power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'Summary Volume Stats'!$D$24:$I$24</c:f>
              <c:strCache>
                <c:ptCount val="6"/>
                <c:pt idx="0">
                  <c:v>Jan-00</c:v>
                </c:pt>
                <c:pt idx="1">
                  <c:v>Feb-00</c:v>
                </c:pt>
                <c:pt idx="2">
                  <c:v>Mar-00</c:v>
                </c:pt>
                <c:pt idx="3">
                  <c:v>Apr-00</c:v>
                </c:pt>
                <c:pt idx="4">
                  <c:v>May-00</c:v>
                </c:pt>
                <c:pt idx="5">
                  <c:v>Jun-00</c:v>
                </c:pt>
              </c:strCache>
            </c:strRef>
          </c:cat>
          <c:val>
            <c:numRef>
              <c:f>'Summary Volume Stats'!$D$28:$I$28</c:f>
              <c:numCache>
                <c:formatCode>_(* #,##0_);_(* \(#,##0\);_(* \-??_);_(@_)</c:formatCode>
                <c:ptCount val="6"/>
                <c:pt idx="0">
                  <c:v>12413</c:v>
                </c:pt>
                <c:pt idx="1">
                  <c:v>12595</c:v>
                </c:pt>
                <c:pt idx="2">
                  <c:v>15886</c:v>
                </c:pt>
                <c:pt idx="3">
                  <c:v>15208</c:v>
                </c:pt>
                <c:pt idx="4">
                  <c:v>16350</c:v>
                </c:pt>
                <c:pt idx="5">
                  <c:v>15453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'Summary Volume Stats'!$B$29</c:f>
              <c:strCache>
                <c:ptCount val="1"/>
                <c:pt idx="0">
                  <c:v>Financial (a)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'Summary Volume Stats'!$D$24:$I$24</c:f>
              <c:strCache>
                <c:ptCount val="6"/>
                <c:pt idx="0">
                  <c:v>Jan-00</c:v>
                </c:pt>
                <c:pt idx="1">
                  <c:v>Feb-00</c:v>
                </c:pt>
                <c:pt idx="2">
                  <c:v>Mar-00</c:v>
                </c:pt>
                <c:pt idx="3">
                  <c:v>Apr-00</c:v>
                </c:pt>
                <c:pt idx="4">
                  <c:v>May-00</c:v>
                </c:pt>
                <c:pt idx="5">
                  <c:v>Jun-00</c:v>
                </c:pt>
              </c:strCache>
            </c:strRef>
          </c:cat>
          <c:val>
            <c:numRef>
              <c:f>'Summary Volume Stats'!$D$29:$I$29</c:f>
              <c:numCache>
                <c:formatCode>_(* #,##0_);_(* \(#,##0\);_(* \-??_);_(@_)</c:formatCode>
                <c:ptCount val="6"/>
                <c:pt idx="0">
                  <c:v>8846</c:v>
                </c:pt>
                <c:pt idx="1">
                  <c:v>10406</c:v>
                </c:pt>
                <c:pt idx="2">
                  <c:v>14613</c:v>
                </c:pt>
                <c:pt idx="3">
                  <c:v>12550</c:v>
                </c:pt>
                <c:pt idx="4">
                  <c:v>22084</c:v>
                </c:pt>
                <c:pt idx="5">
                  <c:v>28888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8203398"/>
        <c:axId val="64073823"/>
      </c:lineChart>
      <c:catAx>
        <c:axId val="48203398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4073823"/>
        <c:crossesAt val="0"/>
        <c:auto val="1"/>
        <c:lblAlgn val="ctr"/>
        <c:lblOffset val="100"/>
        <c:noMultiLvlLbl val="0"/>
      </c:catAx>
      <c:valAx>
        <c:axId val="640738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820339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solidFill>
                  <a:srgbClr val="000000"/>
                </a:solidFill>
                <a:uFillTx/>
                <a:latin typeface="Times New Roman"/>
              </a:rPr>
              <a:t>Active Deals By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2166634841831"/>
          <c:y val="0.193544154310458"/>
          <c:w val="0.720959837056839"/>
          <c:h val="0.747408476577877"/>
        </c:manualLayout>
      </c:layout>
      <c:lineChart>
        <c:grouping val="standard"/>
        <c:varyColors val="0"/>
        <c:ser>
          <c:idx val="0"/>
          <c:order val="0"/>
          <c:tx>
            <c:strRef>
              <c:f>'Summary Volume Stats'!$B$35</c:f>
              <c:strCache>
                <c:ptCount val="1"/>
                <c:pt idx="0">
                  <c:v>Natural Gas - Houston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'Summary Volume Stats'!$D$33:$I$33</c:f>
              <c:strCache>
                <c:ptCount val="6"/>
                <c:pt idx="0">
                  <c:v>Jan-00</c:v>
                </c:pt>
                <c:pt idx="1">
                  <c:v>Feb-00</c:v>
                </c:pt>
                <c:pt idx="2">
                  <c:v>Mar-00</c:v>
                </c:pt>
                <c:pt idx="3">
                  <c:v>Apr-00</c:v>
                </c:pt>
                <c:pt idx="4">
                  <c:v>May-00</c:v>
                </c:pt>
                <c:pt idx="5">
                  <c:v>Jun-00</c:v>
                </c:pt>
              </c:strCache>
            </c:strRef>
          </c:cat>
          <c:val>
            <c:numRef>
              <c:f>'Summary Volume Stats'!$D$35:$I$35</c:f>
              <c:numCache>
                <c:formatCode>_(* #,##0_);_(* \(#,##0\);_(* \-??_);_(@_)</c:formatCode>
                <c:ptCount val="6"/>
                <c:pt idx="0">
                  <c:v>12808</c:v>
                </c:pt>
                <c:pt idx="1">
                  <c:v>15431</c:v>
                </c:pt>
                <c:pt idx="2">
                  <c:v>15300</c:v>
                </c:pt>
                <c:pt idx="3">
                  <c:v>16154</c:v>
                </c:pt>
                <c:pt idx="4">
                  <c:v>15394</c:v>
                </c:pt>
                <c:pt idx="5">
                  <c:v>15460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'Summary Volume Stats'!$B$36</c:f>
              <c:strCache>
                <c:ptCount val="1"/>
                <c:pt idx="0">
                  <c:v>Natural Gas - Calgary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'Summary Volume Stats'!$D$33:$I$33</c:f>
              <c:strCache>
                <c:ptCount val="6"/>
                <c:pt idx="0">
                  <c:v>Jan-00</c:v>
                </c:pt>
                <c:pt idx="1">
                  <c:v>Feb-00</c:v>
                </c:pt>
                <c:pt idx="2">
                  <c:v>Mar-00</c:v>
                </c:pt>
                <c:pt idx="3">
                  <c:v>Apr-00</c:v>
                </c:pt>
                <c:pt idx="4">
                  <c:v>May-00</c:v>
                </c:pt>
                <c:pt idx="5">
                  <c:v>Jun-00</c:v>
                </c:pt>
              </c:strCache>
            </c:strRef>
          </c:cat>
          <c:val>
            <c:numRef>
              <c:f>'Summary Volume Stats'!$D$36:$I$36</c:f>
              <c:numCache>
                <c:formatCode>_(* #,##0_);_(* \(#,##0\);_(* \-??_);_(@_)</c:formatCode>
                <c:ptCount val="6"/>
                <c:pt idx="0">
                  <c:v>4087</c:v>
                </c:pt>
                <c:pt idx="1">
                  <c:v>4767</c:v>
                </c:pt>
                <c:pt idx="2">
                  <c:v>4411</c:v>
                </c:pt>
                <c:pt idx="3">
                  <c:v>4624</c:v>
                </c:pt>
                <c:pt idx="4">
                  <c:v>5532</c:v>
                </c:pt>
                <c:pt idx="5">
                  <c:v>5341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'Summary Volume Stats'!$B$37</c:f>
              <c:strCache>
                <c:ptCount val="1"/>
                <c:pt idx="0">
                  <c:v>Power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'Summary Volume Stats'!$D$33:$I$33</c:f>
              <c:strCache>
                <c:ptCount val="6"/>
                <c:pt idx="0">
                  <c:v>Jan-00</c:v>
                </c:pt>
                <c:pt idx="1">
                  <c:v>Feb-00</c:v>
                </c:pt>
                <c:pt idx="2">
                  <c:v>Mar-00</c:v>
                </c:pt>
                <c:pt idx="3">
                  <c:v>Apr-00</c:v>
                </c:pt>
                <c:pt idx="4">
                  <c:v>May-00</c:v>
                </c:pt>
                <c:pt idx="5">
                  <c:v>Jun-00</c:v>
                </c:pt>
              </c:strCache>
            </c:strRef>
          </c:cat>
          <c:val>
            <c:numRef>
              <c:f>'Summary Volume Stats'!$D$37:$I$37</c:f>
              <c:numCache>
                <c:formatCode>_(* #,##0_);_(* \(#,##0\);_(* \-??_);_(@_)</c:formatCode>
                <c:ptCount val="6"/>
                <c:pt idx="0">
                  <c:v>11788</c:v>
                </c:pt>
                <c:pt idx="1">
                  <c:v>10536</c:v>
                </c:pt>
                <c:pt idx="2">
                  <c:v>13715</c:v>
                </c:pt>
                <c:pt idx="3">
                  <c:v>14000</c:v>
                </c:pt>
                <c:pt idx="4">
                  <c:v>18028</c:v>
                </c:pt>
                <c:pt idx="5">
                  <c:v>16712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'Summary Volume Stats'!$B$38</c:f>
              <c:strCache>
                <c:ptCount val="1"/>
                <c:pt idx="0">
                  <c:v>Financial (a)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'Summary Volume Stats'!$D$33:$I$33</c:f>
              <c:strCache>
                <c:ptCount val="6"/>
                <c:pt idx="0">
                  <c:v>Jan-00</c:v>
                </c:pt>
                <c:pt idx="1">
                  <c:v>Feb-00</c:v>
                </c:pt>
                <c:pt idx="2">
                  <c:v>Mar-00</c:v>
                </c:pt>
                <c:pt idx="3">
                  <c:v>Apr-00</c:v>
                </c:pt>
                <c:pt idx="4">
                  <c:v>May-00</c:v>
                </c:pt>
                <c:pt idx="5">
                  <c:v>Jun-00</c:v>
                </c:pt>
              </c:strCache>
            </c:strRef>
          </c:cat>
          <c:val>
            <c:numRef>
              <c:f>'Summary Volume Stats'!$D$38:$I$38</c:f>
              <c:numCache>
                <c:formatCode>_(* #,##0_);_(* \(#,##0\);_(* \-??_);_(@_)</c:formatCode>
                <c:ptCount val="6"/>
                <c:pt idx="0">
                  <c:v>13469</c:v>
                </c:pt>
                <c:pt idx="1">
                  <c:v>16360</c:v>
                </c:pt>
                <c:pt idx="2">
                  <c:v>17948</c:v>
                </c:pt>
                <c:pt idx="3">
                  <c:v>16663</c:v>
                </c:pt>
                <c:pt idx="4">
                  <c:v>18199</c:v>
                </c:pt>
                <c:pt idx="5">
                  <c:v>21573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1952872"/>
        <c:axId val="34222568"/>
      </c:lineChart>
      <c:catAx>
        <c:axId val="21952872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4222568"/>
        <c:crossesAt val="0"/>
        <c:auto val="1"/>
        <c:lblAlgn val="ctr"/>
        <c:lblOffset val="100"/>
        <c:noMultiLvlLbl val="0"/>
      </c:catAx>
      <c:valAx>
        <c:axId val="342225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195287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07911654254981"/>
          <c:y val="0.355202729300617"/>
          <c:w val="0.235758385844313"/>
          <c:h val="0.20364781524734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Times New Roman"/>
              </a:rPr>
              <a:t>Total ENA A/R Balances as of June 30, 2000</a:t>
            </a:r>
          </a:p>
        </c:rich>
      </c:tx>
      <c:layout>
        <c:manualLayout>
          <c:xMode val="edge"/>
          <c:yMode val="edge"/>
          <c:x val="0.111778846153846"/>
          <c:y val="0.035637612709317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9078525641026"/>
          <c:y val="0.249749534850437"/>
          <c:w val="0.395733173076923"/>
          <c:h val="0.499355946758265"/>
        </c:manualLayout>
      </c:layout>
      <c:pieChart>
        <c:varyColors val="1"/>
        <c:ser>
          <c:idx val="0"/>
          <c:order val="0"/>
          <c:tx>
            <c:strRef>
              <c:f>'Summary Bal. Sheet'!$D$4:$L$4</c:f>
              <c:strCache>
                <c:ptCount val="1"/>
                <c:pt idx="0">
                  <c:v>A/R Balances as of June 30, 2000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00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'Summary Bal. Sheet'!$F$5,'Summary Bal. Sheet'!$H$5,'Summary Bal. Sheet'!$J$5,'Summary Bal. Sheet'!$L$5,'Summary Bal. Sheet'!$N$5</c:f>
              <c:strCache>
                <c:ptCount val="5"/>
                <c:pt idx="0">
                  <c:v>Current </c:v>
                </c:pt>
                <c:pt idx="1">
                  <c:v>1 - 30 Days</c:v>
                </c:pt>
                <c:pt idx="2">
                  <c:v>31 - 60 Days</c:v>
                </c:pt>
                <c:pt idx="3">
                  <c:v>61 - 90 Days</c:v>
                </c:pt>
                <c:pt idx="4">
                  <c:v>Over 90 Days</c:v>
                </c:pt>
              </c:strCache>
            </c:strRef>
          </c:cat>
          <c:val>
            <c:numRef>
              <c:f>'Summary Bal. Sheet'!$F$15,'Summary Bal. Sheet'!$H$15,'Summary Bal. Sheet'!$J$15,'Summary Bal. Sheet'!$L$15,'Summary Bal. Sheet'!$N$15</c:f>
              <c:numCache>
                <c:formatCode>\$#,##0.0_);"($"#,##0.0\)</c:formatCode>
                <c:ptCount val="5"/>
                <c:pt idx="0">
                  <c:v>2177.85499136</c:v>
                </c:pt>
                <c:pt idx="1">
                  <c:v>107.01702176</c:v>
                </c:pt>
                <c:pt idx="2">
                  <c:v>11.18567279</c:v>
                </c:pt>
                <c:pt idx="3">
                  <c:v>11.93726335</c:v>
                </c:pt>
                <c:pt idx="4">
                  <c:v>36.20567726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-0.153645833333333"/>
          <c:y val="0.785458709031058"/>
          <c:w val="0.833934294871795"/>
          <c:h val="0.1060541004723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Times New Roman"/>
              </a:rPr>
              <a:t>A/R Balances as of June 30, 2000 - Houston Gas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9847657372808"/>
          <c:y val="0.190811411633939"/>
          <c:w val="0.492023569991377"/>
          <c:h val="0.8091885883660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'Summary Bal. Sheet'!$F$5</c:f>
              <c:strCache>
                <c:ptCount val="1"/>
                <c:pt idx="0">
                  <c:v>Current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'Summary Bal. Sheet'!$B$7</c:f>
              <c:strCache>
                <c:ptCount val="1"/>
                <c:pt idx="0">
                  <c:v>Natural Gas - Houston</c:v>
                </c:pt>
              </c:strCache>
            </c:strRef>
          </c:cat>
          <c:val>
            <c:numRef>
              <c:f>'Summary Bal. Sheet'!$F$7</c:f>
              <c:numCache>
                <c:formatCode>\$#,##0.0_);"($"#,##0.0\)</c:formatCode>
                <c:ptCount val="1"/>
                <c:pt idx="0">
                  <c:v>2052.62703987</c:v>
                </c:pt>
              </c:numCache>
            </c:numRef>
          </c:val>
        </c:ser>
        <c:ser>
          <c:idx val="1"/>
          <c:order val="1"/>
          <c:tx>
            <c:strRef>
              <c:f>'Summary Bal. Sheet'!$H$5</c:f>
              <c:strCache>
                <c:ptCount val="1"/>
                <c:pt idx="0">
                  <c:v>1 - 30 Days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'Summary Bal. Sheet'!$B$7</c:f>
              <c:strCache>
                <c:ptCount val="1"/>
                <c:pt idx="0">
                  <c:v>Natural Gas - Houston</c:v>
                </c:pt>
              </c:strCache>
            </c:strRef>
          </c:cat>
          <c:val>
            <c:numRef>
              <c:f>'Summary Bal. Sheet'!$H$7</c:f>
              <c:numCache>
                <c:formatCode>\$#,##0.0_);"($"#,##0.0\)</c:formatCode>
                <c:ptCount val="1"/>
                <c:pt idx="0">
                  <c:v>91.01688937</c:v>
                </c:pt>
              </c:numCache>
            </c:numRef>
          </c:val>
        </c:ser>
        <c:ser>
          <c:idx val="2"/>
          <c:order val="2"/>
          <c:tx>
            <c:strRef>
              <c:f>'Summary Bal. Sheet'!$J$5</c:f>
              <c:strCache>
                <c:ptCount val="1"/>
                <c:pt idx="0">
                  <c:v>31 - 60 Days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'Summary Bal. Sheet'!$B$7</c:f>
              <c:strCache>
                <c:ptCount val="1"/>
                <c:pt idx="0">
                  <c:v>Natural Gas - Houston</c:v>
                </c:pt>
              </c:strCache>
            </c:strRef>
          </c:cat>
          <c:val>
            <c:numRef>
              <c:f>'Summary Bal. Sheet'!$J$7</c:f>
              <c:numCache>
                <c:formatCode>\$#,##0.0_);"($"#,##0.0\)</c:formatCode>
                <c:ptCount val="1"/>
                <c:pt idx="0">
                  <c:v>12.743778</c:v>
                </c:pt>
              </c:numCache>
            </c:numRef>
          </c:val>
        </c:ser>
        <c:ser>
          <c:idx val="3"/>
          <c:order val="3"/>
          <c:tx>
            <c:strRef>
              <c:f>'Summary Bal. Sheet'!$L$5</c:f>
              <c:strCache>
                <c:ptCount val="1"/>
                <c:pt idx="0">
                  <c:v>61 - 90 Days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'Summary Bal. Sheet'!$B$7</c:f>
              <c:strCache>
                <c:ptCount val="1"/>
                <c:pt idx="0">
                  <c:v>Natural Gas - Houston</c:v>
                </c:pt>
              </c:strCache>
            </c:strRef>
          </c:cat>
          <c:val>
            <c:numRef>
              <c:f>'Summary Bal. Sheet'!$L$7</c:f>
              <c:numCache>
                <c:formatCode>\$#,##0.0_);"($"#,##0.0\)</c:formatCode>
                <c:ptCount val="1"/>
                <c:pt idx="0">
                  <c:v>10.6970192</c:v>
                </c:pt>
              </c:numCache>
            </c:numRef>
          </c:val>
        </c:ser>
        <c:ser>
          <c:idx val="4"/>
          <c:order val="4"/>
          <c:tx>
            <c:strRef>
              <c:f>'Summary Bal. Sheet'!$N$5</c:f>
              <c:strCache>
                <c:ptCount val="1"/>
                <c:pt idx="0">
                  <c:v>Over 90 Days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'Summary Bal. Sheet'!$B$7</c:f>
              <c:strCache>
                <c:ptCount val="1"/>
                <c:pt idx="0">
                  <c:v>Natural Gas - Houston</c:v>
                </c:pt>
              </c:strCache>
            </c:strRef>
          </c:cat>
          <c:val>
            <c:numRef>
              <c:f>'Summary Bal. Sheet'!$N$7</c:f>
              <c:numCache>
                <c:formatCode>\$#,##0.0_);"($"#,##0.0\)</c:formatCode>
                <c:ptCount val="1"/>
                <c:pt idx="0">
                  <c:v>24.69408291</c:v>
                </c:pt>
              </c:numCache>
            </c:numRef>
          </c:val>
        </c:ser>
        <c:gapWidth val="150"/>
        <c:overlap val="100"/>
        <c:axId val="77320422"/>
        <c:axId val="3812606"/>
      </c:barChart>
      <c:catAx>
        <c:axId val="7732042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812606"/>
        <c:crossesAt val="0"/>
        <c:auto val="1"/>
        <c:lblAlgn val="ctr"/>
        <c:lblOffset val="100"/>
        <c:noMultiLvlLbl val="0"/>
      </c:catAx>
      <c:valAx>
        <c:axId val="3812606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\$* #,##0_);_(\$* \(#,##0\);_(\$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732042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55935613682093"/>
          <c:y val="0.304186735828085"/>
          <c:w val="0.167289450991664"/>
          <c:h val="0.38335185871310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50" strike="noStrike" u="none">
                <a:solidFill>
                  <a:srgbClr val="000000"/>
                </a:solidFill>
                <a:uFillTx/>
                <a:latin typeface="Times New Roman"/>
              </a:rPr>
              <a:t>A/R Balances as of June 30, 2000 - All Others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1289030452198"/>
          <c:y val="0.217364455971347"/>
          <c:w val="0.658558949857632"/>
          <c:h val="0.7826355440286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'Summary Bal. Sheet'!$F$5</c:f>
              <c:strCache>
                <c:ptCount val="1"/>
                <c:pt idx="0">
                  <c:v>Current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'Summary Bal. Sheet'!$B$8:$B$14</c:f>
              <c:strCache>
                <c:ptCount val="7"/>
                <c:pt idx="0">
                  <c:v>Natural Gas - Calgary</c:v>
                </c:pt>
                <c:pt idx="1">
                  <c:v>Power (a)</c:v>
                </c:pt>
                <c:pt idx="2">
                  <c:v>Financial (b)</c:v>
                </c:pt>
                <c:pt idx="3">
                  <c:v>Coal</c:v>
                </c:pt>
                <c:pt idx="4">
                  <c:v>Pulp and Paper (c)</c:v>
                </c:pt>
                <c:pt idx="5">
                  <c:v>Interest Rate / FX</c:v>
                </c:pt>
                <c:pt idx="6">
                  <c:v>Non ENA Intercompany</c:v>
                </c:pt>
              </c:strCache>
            </c:strRef>
          </c:cat>
          <c:val>
            <c:numRef>
              <c:f>'Summary Bal. Sheet'!$F$8:$F$14</c:f>
              <c:numCache>
                <c:formatCode>#,##0.0_);\(#,##0.0\)</c:formatCode>
                <c:ptCount val="7"/>
                <c:pt idx="0">
                  <c:v>5.84458989</c:v>
                </c:pt>
                <c:pt idx="1">
                  <c:v>23.5815712</c:v>
                </c:pt>
                <c:pt idx="2">
                  <c:v>7.41208812</c:v>
                </c:pt>
                <c:pt idx="3">
                  <c:v>14.19127438</c:v>
                </c:pt>
                <c:pt idx="4">
                  <c:v>4.104638</c:v>
                </c:pt>
                <c:pt idx="5">
                  <c:v>19.98458253</c:v>
                </c:pt>
                <c:pt idx="6">
                  <c:v>50.10920737</c:v>
                </c:pt>
              </c:numCache>
            </c:numRef>
          </c:val>
        </c:ser>
        <c:ser>
          <c:idx val="1"/>
          <c:order val="1"/>
          <c:tx>
            <c:strRef>
              <c:f>'Summary Bal. Sheet'!$H$5</c:f>
              <c:strCache>
                <c:ptCount val="1"/>
                <c:pt idx="0">
                  <c:v>1 - 30 Days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'Summary Bal. Sheet'!$B$8:$B$14</c:f>
              <c:strCache>
                <c:ptCount val="7"/>
                <c:pt idx="0">
                  <c:v>Natural Gas - Calgary</c:v>
                </c:pt>
                <c:pt idx="1">
                  <c:v>Power (a)</c:v>
                </c:pt>
                <c:pt idx="2">
                  <c:v>Financial (b)</c:v>
                </c:pt>
                <c:pt idx="3">
                  <c:v>Coal</c:v>
                </c:pt>
                <c:pt idx="4">
                  <c:v>Pulp and Paper (c)</c:v>
                </c:pt>
                <c:pt idx="5">
                  <c:v>Interest Rate / FX</c:v>
                </c:pt>
                <c:pt idx="6">
                  <c:v>Non ENA Intercompany</c:v>
                </c:pt>
              </c:strCache>
            </c:strRef>
          </c:cat>
          <c:val>
            <c:numRef>
              <c:f>'Summary Bal. Sheet'!$H$8:$H$14</c:f>
              <c:numCache>
                <c:formatCode>#,##0.0_);\(#,##0.0\)</c:formatCode>
                <c:ptCount val="7"/>
                <c:pt idx="0">
                  <c:v>0</c:v>
                </c:pt>
                <c:pt idx="1">
                  <c:v>0.299085189999998</c:v>
                </c:pt>
                <c:pt idx="2">
                  <c:v>9.96553086</c:v>
                </c:pt>
                <c:pt idx="3">
                  <c:v>4.2026916</c:v>
                </c:pt>
                <c:pt idx="4">
                  <c:v>-0.235347</c:v>
                </c:pt>
                <c:pt idx="5">
                  <c:v>1.76817174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'Summary Bal. Sheet'!$J$5</c:f>
              <c:strCache>
                <c:ptCount val="1"/>
                <c:pt idx="0">
                  <c:v>31 - 60 Days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'Summary Bal. Sheet'!$B$8:$B$14</c:f>
              <c:strCache>
                <c:ptCount val="7"/>
                <c:pt idx="0">
                  <c:v>Natural Gas - Calgary</c:v>
                </c:pt>
                <c:pt idx="1">
                  <c:v>Power (a)</c:v>
                </c:pt>
                <c:pt idx="2">
                  <c:v>Financial (b)</c:v>
                </c:pt>
                <c:pt idx="3">
                  <c:v>Coal</c:v>
                </c:pt>
                <c:pt idx="4">
                  <c:v>Pulp and Paper (c)</c:v>
                </c:pt>
                <c:pt idx="5">
                  <c:v>Interest Rate / FX</c:v>
                </c:pt>
                <c:pt idx="6">
                  <c:v>Non ENA Intercompany</c:v>
                </c:pt>
              </c:strCache>
            </c:strRef>
          </c:cat>
          <c:val>
            <c:numRef>
              <c:f>'Summary Bal. Sheet'!$J$8:$J$14</c:f>
              <c:numCache>
                <c:formatCode>#,##0.0_);\(#,##0.0\)</c:formatCode>
                <c:ptCount val="7"/>
                <c:pt idx="0">
                  <c:v>0</c:v>
                </c:pt>
                <c:pt idx="1">
                  <c:v>0.20369773</c:v>
                </c:pt>
                <c:pt idx="2">
                  <c:v>0.52884503</c:v>
                </c:pt>
                <c:pt idx="3">
                  <c:v>1.95984471</c:v>
                </c:pt>
                <c:pt idx="4">
                  <c:v>-0.014018</c:v>
                </c:pt>
                <c:pt idx="5">
                  <c:v>-4.23647468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'Summary Bal. Sheet'!$L$5</c:f>
              <c:strCache>
                <c:ptCount val="1"/>
                <c:pt idx="0">
                  <c:v>61 - 90 Days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'Summary Bal. Sheet'!$B$8:$B$14</c:f>
              <c:strCache>
                <c:ptCount val="7"/>
                <c:pt idx="0">
                  <c:v>Natural Gas - Calgary</c:v>
                </c:pt>
                <c:pt idx="1">
                  <c:v>Power (a)</c:v>
                </c:pt>
                <c:pt idx="2">
                  <c:v>Financial (b)</c:v>
                </c:pt>
                <c:pt idx="3">
                  <c:v>Coal</c:v>
                </c:pt>
                <c:pt idx="4">
                  <c:v>Pulp and Paper (c)</c:v>
                </c:pt>
                <c:pt idx="5">
                  <c:v>Interest Rate / FX</c:v>
                </c:pt>
                <c:pt idx="6">
                  <c:v>Non ENA Intercompany</c:v>
                </c:pt>
              </c:strCache>
            </c:strRef>
          </c:cat>
          <c:val>
            <c:numRef>
              <c:f>'Summary Bal. Sheet'!$L$8:$L$14</c:f>
              <c:numCache>
                <c:formatCode>#,##0.0_);\(#,##0.0\)</c:formatCode>
                <c:ptCount val="7"/>
                <c:pt idx="0">
                  <c:v>0</c:v>
                </c:pt>
                <c:pt idx="1">
                  <c:v>0.28488649</c:v>
                </c:pt>
                <c:pt idx="2">
                  <c:v>1.15837497</c:v>
                </c:pt>
                <c:pt idx="3">
                  <c:v>-0.03678331</c:v>
                </c:pt>
                <c:pt idx="4">
                  <c:v>-0.166234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4"/>
          <c:order val="4"/>
          <c:tx>
            <c:strRef>
              <c:f>'Summary Bal. Sheet'!$N$5</c:f>
              <c:strCache>
                <c:ptCount val="1"/>
                <c:pt idx="0">
                  <c:v>Over 90 Days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'Summary Bal. Sheet'!$B$8:$B$14</c:f>
              <c:strCache>
                <c:ptCount val="7"/>
                <c:pt idx="0">
                  <c:v>Natural Gas - Calgary</c:v>
                </c:pt>
                <c:pt idx="1">
                  <c:v>Power (a)</c:v>
                </c:pt>
                <c:pt idx="2">
                  <c:v>Financial (b)</c:v>
                </c:pt>
                <c:pt idx="3">
                  <c:v>Coal</c:v>
                </c:pt>
                <c:pt idx="4">
                  <c:v>Pulp and Paper (c)</c:v>
                </c:pt>
                <c:pt idx="5">
                  <c:v>Interest Rate / FX</c:v>
                </c:pt>
                <c:pt idx="6">
                  <c:v>Non ENA Intercompany</c:v>
                </c:pt>
              </c:strCache>
            </c:strRef>
          </c:cat>
          <c:val>
            <c:numRef>
              <c:f>'Summary Bal. Sheet'!$N$8:$N$14</c:f>
              <c:numCache>
                <c:formatCode>#,##0.0_);\(#,##0.0\)</c:formatCode>
                <c:ptCount val="7"/>
                <c:pt idx="0">
                  <c:v>0</c:v>
                </c:pt>
                <c:pt idx="1">
                  <c:v>10.99975432</c:v>
                </c:pt>
                <c:pt idx="2">
                  <c:v>-0.03204248</c:v>
                </c:pt>
                <c:pt idx="3">
                  <c:v>-0.05372977</c:v>
                </c:pt>
                <c:pt idx="4">
                  <c:v>0.429537</c:v>
                </c:pt>
                <c:pt idx="5">
                  <c:v>0.16807528</c:v>
                </c:pt>
                <c:pt idx="6">
                  <c:v>0</c:v>
                </c:pt>
              </c:numCache>
            </c:numRef>
          </c:val>
        </c:ser>
        <c:gapWidth val="150"/>
        <c:overlap val="100"/>
        <c:axId val="30379110"/>
        <c:axId val="86453757"/>
      </c:barChart>
      <c:catAx>
        <c:axId val="303791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6453757"/>
        <c:crossesAt val="-20"/>
        <c:auto val="1"/>
        <c:lblAlgn val="ctr"/>
        <c:lblOffset val="100"/>
        <c:noMultiLvlLbl val="0"/>
      </c:catAx>
      <c:valAx>
        <c:axId val="864537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\$* #,##0_);_(\$* \(#,##0\);_(\$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037911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9619709473481"/>
          <c:y val="0.275287143386439"/>
          <c:w val="0.114087157955697"/>
          <c:h val="0.3267876991478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Times New Roman"/>
              </a:rPr>
              <a:t>Gross Revenues June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417949557812"/>
          <c:y val="0.254480922803904"/>
          <c:w val="0.420351566764931"/>
          <c:h val="0.607275953859805"/>
        </c:manualLayout>
      </c:layout>
      <c:pieChart>
        <c:varyColors val="1"/>
        <c:ser>
          <c:idx val="0"/>
          <c:order val="0"/>
          <c:tx>
            <c:strRef>
              <c:f>'Summary Bal. Sheet (2)'!$D$7:$D$8</c:f>
              <c:strCache>
                <c:ptCount val="1"/>
                <c:pt idx="0">
                  <c:v>Gross Revenues June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spPr>
              <a:solidFill>
                <a:srgbClr val="0066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spPr>
              <a:solidFill>
                <a:srgbClr val="cccc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.0%" sourceLinked="1"/>
            <c:dLbl>
              <c:idx val="0"/>
              <c:numFmt formatCode="0.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numFmt formatCode="0.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numFmt formatCode="0.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numFmt formatCode="0.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numFmt formatCode="0.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numFmt formatCode="0.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6"/>
              <c:numFmt formatCode="0.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7"/>
              <c:numFmt formatCode="0.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'Summary Bal. Sheet (2)'!$B$9:$B$16</c:f>
              <c:strCache>
                <c:ptCount val="8"/>
                <c:pt idx="0">
                  <c:v>Natural Gas - Houston</c:v>
                </c:pt>
                <c:pt idx="1">
                  <c:v>Natural Gas - Calgary</c:v>
                </c:pt>
                <c:pt idx="2">
                  <c:v>Power (a)</c:v>
                </c:pt>
                <c:pt idx="3">
                  <c:v>Financial (b)</c:v>
                </c:pt>
                <c:pt idx="4">
                  <c:v>Coal</c:v>
                </c:pt>
                <c:pt idx="5">
                  <c:v>Pulp and Paper (c)</c:v>
                </c:pt>
                <c:pt idx="6">
                  <c:v>Interest Rate / FX</c:v>
                </c:pt>
                <c:pt idx="7">
                  <c:v>Non ENA Intercompany</c:v>
                </c:pt>
              </c:strCache>
            </c:strRef>
          </c:cat>
          <c:val>
            <c:numRef>
              <c:f>'Summary Bal. Sheet (2)'!$D$9:$D$16</c:f>
              <c:numCache>
                <c:formatCode>\$#,##0.0_);"($"#,##0.0\)</c:formatCode>
                <c:ptCount val="8"/>
                <c:pt idx="0">
                  <c:v>2352.20274763</c:v>
                </c:pt>
                <c:pt idx="1">
                  <c:v>515.80006414</c:v>
                </c:pt>
                <c:pt idx="2">
                  <c:v>1938.02031746</c:v>
                </c:pt>
                <c:pt idx="3">
                  <c:v>1073.722815</c:v>
                </c:pt>
                <c:pt idx="4">
                  <c:v>17.56902071</c:v>
                </c:pt>
                <c:pt idx="5">
                  <c:v>2.786403</c:v>
                </c:pt>
                <c:pt idx="6">
                  <c:v>342.04739691</c:v>
                </c:pt>
                <c:pt idx="7">
                  <c:v>41.39140139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713178294573644"/>
          <c:y val="0.250576752440106"/>
          <c:w val="0.323506933071296"/>
          <c:h val="0.63850931677018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7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50" strike="noStrike" u="none">
                <a:solidFill>
                  <a:srgbClr val="000000"/>
                </a:solidFill>
                <a:uFillTx/>
                <a:latin typeface="Times New Roman"/>
              </a:rPr>
              <a:t>Off-System Imbalances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3962293428505"/>
          <c:y val="0.186054089279896"/>
          <c:w val="0.658856389169059"/>
          <c:h val="0.761974584555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Bal. Sheet (2)'!$D$24</c:f>
              <c:strCache>
                <c:ptCount val="1"/>
                <c:pt idx="0">
                  <c:v>Rec./(Pay.) per 3rd Party Pipeline Statement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'Summary Bal. Sheet (2)'!$H$55:$J$55</c:f>
              <c:multiLvlStrCache>
                <c:ptCount val="1"/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</c:multiLvlStrCache>
            </c:multiLvlStrRef>
          </c:cat>
          <c:val>
            <c:numRef>
              <c:f>'Summary Bal. Sheet (2)'!$D$26,'Summary Bal. Sheet (2)'!$J$26,'Summary Bal. Sheet (2)'!$P$26</c:f>
              <c:numCache>
                <c:formatCode>_(* #,##0.0_);_(* \(#,##0.0\);_(* \-??_);_(@_)</c:formatCode>
                <c:ptCount val="3"/>
                <c:pt idx="0">
                  <c:v>12.13684</c:v>
                </c:pt>
                <c:pt idx="1">
                  <c:v>6.866079</c:v>
                </c:pt>
                <c:pt idx="2">
                  <c:v>-1.435884</c:v>
                </c:pt>
              </c:numCache>
            </c:numRef>
          </c:val>
        </c:ser>
        <c:ser>
          <c:idx val="1"/>
          <c:order val="1"/>
          <c:tx>
            <c:strRef>
              <c:f>'Summary Bal. Sheet (2)'!$F$24</c:f>
              <c:strCache>
                <c:ptCount val="1"/>
                <c:pt idx="0">
                  <c:v>Rec./(Pay.) per General Ledger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'Summary Bal. Sheet (2)'!$H$55:$J$55</c:f>
              <c:multiLvlStrCache>
                <c:ptCount val="1"/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</c:multiLvlStrCache>
            </c:multiLvlStrRef>
          </c:cat>
          <c:val>
            <c:numRef>
              <c:f>'Summary Bal. Sheet (2)'!$F$26,'Summary Bal. Sheet (2)'!$L$26,'Summary Bal. Sheet (2)'!$R$26</c:f>
              <c:numCache>
                <c:formatCode>_(* #,##0.0_);_(* \(#,##0.0\);_(* \-??_);_(@_)</c:formatCode>
                <c:ptCount val="3"/>
                <c:pt idx="0">
                  <c:v>-1.775558</c:v>
                </c:pt>
                <c:pt idx="1">
                  <c:v>-3.114862</c:v>
                </c:pt>
                <c:pt idx="2">
                  <c:v>1.443429</c:v>
                </c:pt>
              </c:numCache>
            </c:numRef>
          </c:val>
        </c:ser>
        <c:gapWidth val="150"/>
        <c:overlap val="0"/>
        <c:axId val="44611975"/>
        <c:axId val="48890533"/>
      </c:barChart>
      <c:catAx>
        <c:axId val="44611975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8890533"/>
        <c:crossesAt val="0"/>
        <c:auto val="1"/>
        <c:lblAlgn val="ctr"/>
        <c:lblOffset val="100"/>
        <c:noMultiLvlLbl val="0"/>
      </c:catAx>
      <c:valAx>
        <c:axId val="488905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(in 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_);_(* \(#,##0.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461197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81201024129102"/>
          <c:y val="0.388888888888889"/>
          <c:w val="0.268213205058577"/>
          <c:h val="0.31606386445096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Times New Roman"/>
              </a:rPr>
              <a:t>On-System Imbalances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01006846556585"/>
          <c:y val="0.162504107788367"/>
          <c:w val="0.656222311719694"/>
          <c:h val="0.76717055537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Bal. Sheet (2)'!$D$24</c:f>
              <c:strCache>
                <c:ptCount val="1"/>
                <c:pt idx="0">
                  <c:v>Rec./(Pay.) per 3rd Party Pipeline Statement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'Summary Bal. Sheet (2)'!$H$55:$J$55</c:f>
              <c:multiLvlStrCache>
                <c:ptCount val="1"/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</c:multiLvlStrCache>
            </c:multiLvlStrRef>
          </c:cat>
          <c:val>
            <c:numRef>
              <c:f>'Summary Bal. Sheet (2)'!$D$27,'Summary Bal. Sheet (2)'!$J$27,'Summary Bal. Sheet (2)'!$P$27</c:f>
              <c:numCache>
                <c:formatCode>_(* #,##0.0_);_(* \(#,##0.0\);_(* \-??_);_(@_)</c:formatCode>
                <c:ptCount val="3"/>
                <c:pt idx="0">
                  <c:v>8.225788</c:v>
                </c:pt>
                <c:pt idx="1">
                  <c:v>8.563077</c:v>
                </c:pt>
                <c:pt idx="2">
                  <c:v>-0.585888</c:v>
                </c:pt>
              </c:numCache>
            </c:numRef>
          </c:val>
        </c:ser>
        <c:ser>
          <c:idx val="1"/>
          <c:order val="1"/>
          <c:tx>
            <c:strRef>
              <c:f>'Summary Bal. Sheet (2)'!$F$24</c:f>
              <c:strCache>
                <c:ptCount val="1"/>
                <c:pt idx="0">
                  <c:v>Rec./(Pay.) per General Ledger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'Summary Bal. Sheet (2)'!$H$55:$J$55</c:f>
              <c:multiLvlStrCache>
                <c:ptCount val="1"/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</c:multiLvlStrCache>
            </c:multiLvlStrRef>
          </c:cat>
          <c:val>
            <c:numRef>
              <c:f>'Summary Bal. Sheet (2)'!$F$27,'Summary Bal. Sheet (2)'!$L$27,'Summary Bal. Sheet (2)'!$R$27</c:f>
              <c:numCache>
                <c:formatCode>_(* #,##0.0_);_(* \(#,##0.0\);_(* \-??_);_(@_)</c:formatCode>
                <c:ptCount val="3"/>
                <c:pt idx="0">
                  <c:v>6.140064</c:v>
                </c:pt>
                <c:pt idx="1">
                  <c:v>5.008476</c:v>
                </c:pt>
                <c:pt idx="2">
                  <c:v>-2.14517</c:v>
                </c:pt>
              </c:numCache>
            </c:numRef>
          </c:val>
        </c:ser>
        <c:gapWidth val="150"/>
        <c:overlap val="0"/>
        <c:axId val="33347280"/>
        <c:axId val="64793661"/>
      </c:barChart>
      <c:catAx>
        <c:axId val="33347280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4793661"/>
        <c:crossesAt val="0"/>
        <c:auto val="1"/>
        <c:lblAlgn val="ctr"/>
        <c:lblOffset val="100"/>
        <c:noMultiLvlLbl val="0"/>
      </c:catAx>
      <c:valAx>
        <c:axId val="647936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(in millions)</a:t>
                </a:r>
              </a:p>
            </c:rich>
          </c:tx>
          <c:layout>
            <c:manualLayout>
              <c:xMode val="edge"/>
              <c:yMode val="edge"/>
              <c:x val="0.0201369311316955"/>
              <c:y val="0.0686822214919487"/>
            </c:manualLayout>
          </c:layout>
          <c:overlay val="0"/>
          <c:spPr>
            <a:noFill/>
            <a:ln w="0">
              <a:noFill/>
            </a:ln>
          </c:spPr>
        </c:title>
        <c:numFmt formatCode="_(* #,##0.0_);_(* \(#,##0.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334728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67498993153443"/>
          <c:y val="0.324186657903385"/>
          <c:w val="0.26709625453081"/>
          <c:h val="0.39993427538613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Relationship Id="rId3" Type="http://schemas.openxmlformats.org/officeDocument/2006/relationships/chart" Target="../charts/chart1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24</xdr:col>
      <xdr:colOff>143640</xdr:colOff>
      <xdr:row>3</xdr:row>
      <xdr:rowOff>0</xdr:rowOff>
    </xdr:from>
    <xdr:to>
      <xdr:col>28</xdr:col>
      <xdr:colOff>462600</xdr:colOff>
      <xdr:row>3</xdr:row>
      <xdr:rowOff>162000</xdr:rowOff>
    </xdr:to>
    <xdr:graphicFrame>
      <xdr:nvGraphicFramePr>
        <xdr:cNvPr id="0" name="Chart 1"/>
        <xdr:cNvGraphicFramePr/>
      </xdr:nvGraphicFramePr>
      <xdr:xfrm>
        <a:off x="12776400" y="485640"/>
        <a:ext cx="2617560" cy="162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10080</xdr:colOff>
      <xdr:row>3</xdr:row>
      <xdr:rowOff>9720</xdr:rowOff>
    </xdr:from>
    <xdr:to>
      <xdr:col>7</xdr:col>
      <xdr:colOff>434520</xdr:colOff>
      <xdr:row>19</xdr:row>
      <xdr:rowOff>152280</xdr:rowOff>
    </xdr:to>
    <xdr:graphicFrame>
      <xdr:nvGraphicFramePr>
        <xdr:cNvPr id="1" name="Chart 2"/>
        <xdr:cNvGraphicFramePr/>
      </xdr:nvGraphicFramePr>
      <xdr:xfrm>
        <a:off x="104760" y="495360"/>
        <a:ext cx="6271920" cy="273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634320</xdr:colOff>
      <xdr:row>3</xdr:row>
      <xdr:rowOff>0</xdr:rowOff>
    </xdr:from>
    <xdr:to>
      <xdr:col>14</xdr:col>
      <xdr:colOff>739800</xdr:colOff>
      <xdr:row>19</xdr:row>
      <xdr:rowOff>152280</xdr:rowOff>
    </xdr:to>
    <xdr:graphicFrame>
      <xdr:nvGraphicFramePr>
        <xdr:cNvPr id="2" name="Chart 3"/>
        <xdr:cNvGraphicFramePr/>
      </xdr:nvGraphicFramePr>
      <xdr:xfrm>
        <a:off x="6576480" y="485640"/>
        <a:ext cx="56556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10080</xdr:colOff>
      <xdr:row>35</xdr:row>
      <xdr:rowOff>9360</xdr:rowOff>
    </xdr:from>
    <xdr:to>
      <xdr:col>7</xdr:col>
      <xdr:colOff>74520</xdr:colOff>
      <xdr:row>50</xdr:row>
      <xdr:rowOff>95400</xdr:rowOff>
    </xdr:to>
    <xdr:graphicFrame>
      <xdr:nvGraphicFramePr>
        <xdr:cNvPr id="3" name="Chart 1"/>
        <xdr:cNvGraphicFramePr/>
      </xdr:nvGraphicFramePr>
      <xdr:xfrm>
        <a:off x="104760" y="6134040"/>
        <a:ext cx="3593880" cy="2514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32040</xdr:colOff>
      <xdr:row>16</xdr:row>
      <xdr:rowOff>0</xdr:rowOff>
    </xdr:from>
    <xdr:to>
      <xdr:col>9</xdr:col>
      <xdr:colOff>339480</xdr:colOff>
      <xdr:row>33</xdr:row>
      <xdr:rowOff>162000</xdr:rowOff>
    </xdr:to>
    <xdr:graphicFrame>
      <xdr:nvGraphicFramePr>
        <xdr:cNvPr id="4" name="Chart 2"/>
        <xdr:cNvGraphicFramePr/>
      </xdr:nvGraphicFramePr>
      <xdr:xfrm>
        <a:off x="126720" y="3048120"/>
        <a:ext cx="5009400" cy="2914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507240</xdr:colOff>
      <xdr:row>16</xdr:row>
      <xdr:rowOff>0</xdr:rowOff>
    </xdr:from>
    <xdr:to>
      <xdr:col>25</xdr:col>
      <xdr:colOff>360360</xdr:colOff>
      <xdr:row>33</xdr:row>
      <xdr:rowOff>162000</xdr:rowOff>
    </xdr:to>
    <xdr:graphicFrame>
      <xdr:nvGraphicFramePr>
        <xdr:cNvPr id="5" name="Chart 3"/>
        <xdr:cNvGraphicFramePr/>
      </xdr:nvGraphicFramePr>
      <xdr:xfrm>
        <a:off x="5303880" y="3048120"/>
        <a:ext cx="7459200" cy="2914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179640</xdr:colOff>
      <xdr:row>6</xdr:row>
      <xdr:rowOff>315000</xdr:rowOff>
    </xdr:from>
    <xdr:to>
      <xdr:col>11</xdr:col>
      <xdr:colOff>666720</xdr:colOff>
      <xdr:row>16</xdr:row>
      <xdr:rowOff>171720</xdr:rowOff>
    </xdr:to>
    <xdr:graphicFrame>
      <xdr:nvGraphicFramePr>
        <xdr:cNvPr id="6" name="Chart 6"/>
        <xdr:cNvGraphicFramePr/>
      </xdr:nvGraphicFramePr>
      <xdr:xfrm>
        <a:off x="3128040" y="1248480"/>
        <a:ext cx="3296880" cy="2028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941400</xdr:colOff>
      <xdr:row>30</xdr:row>
      <xdr:rowOff>9720</xdr:rowOff>
    </xdr:from>
    <xdr:to>
      <xdr:col>9</xdr:col>
      <xdr:colOff>857520</xdr:colOff>
      <xdr:row>43</xdr:row>
      <xdr:rowOff>28440</xdr:rowOff>
    </xdr:to>
    <xdr:graphicFrame>
      <xdr:nvGraphicFramePr>
        <xdr:cNvPr id="7" name="Chart 7"/>
        <xdr:cNvGraphicFramePr/>
      </xdr:nvGraphicFramePr>
      <xdr:xfrm>
        <a:off x="1036080" y="5724720"/>
        <a:ext cx="4639680" cy="2209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380520</xdr:colOff>
      <xdr:row>30</xdr:row>
      <xdr:rowOff>9720</xdr:rowOff>
    </xdr:from>
    <xdr:to>
      <xdr:col>19</xdr:col>
      <xdr:colOff>993960</xdr:colOff>
      <xdr:row>43</xdr:row>
      <xdr:rowOff>9720</xdr:rowOff>
    </xdr:to>
    <xdr:graphicFrame>
      <xdr:nvGraphicFramePr>
        <xdr:cNvPr id="8" name="Chart 8"/>
        <xdr:cNvGraphicFramePr/>
      </xdr:nvGraphicFramePr>
      <xdr:xfrm>
        <a:off x="6138720" y="5724720"/>
        <a:ext cx="4469040" cy="2190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33</xdr:row>
      <xdr:rowOff>0</xdr:rowOff>
    </xdr:from>
    <xdr:to>
      <xdr:col>7</xdr:col>
      <xdr:colOff>720</xdr:colOff>
      <xdr:row>50</xdr:row>
      <xdr:rowOff>162000</xdr:rowOff>
    </xdr:to>
    <xdr:graphicFrame>
      <xdr:nvGraphicFramePr>
        <xdr:cNvPr id="9" name="Chart 1"/>
        <xdr:cNvGraphicFramePr/>
      </xdr:nvGraphicFramePr>
      <xdr:xfrm>
        <a:off x="574560" y="4457880"/>
        <a:ext cx="5720760" cy="2914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0</xdr:colOff>
      <xdr:row>8</xdr:row>
      <xdr:rowOff>123840</xdr:rowOff>
    </xdr:from>
    <xdr:to>
      <xdr:col>22</xdr:col>
      <xdr:colOff>277920</xdr:colOff>
      <xdr:row>30</xdr:row>
      <xdr:rowOff>171360</xdr:rowOff>
    </xdr:to>
    <xdr:graphicFrame>
      <xdr:nvGraphicFramePr>
        <xdr:cNvPr id="10" name="Chart 3"/>
        <xdr:cNvGraphicFramePr/>
      </xdr:nvGraphicFramePr>
      <xdr:xfrm>
        <a:off x="6696000" y="1343160"/>
        <a:ext cx="4300560" cy="2781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390960</xdr:colOff>
      <xdr:row>33</xdr:row>
      <xdr:rowOff>0</xdr:rowOff>
    </xdr:from>
    <xdr:to>
      <xdr:col>22</xdr:col>
      <xdr:colOff>277920</xdr:colOff>
      <xdr:row>50</xdr:row>
      <xdr:rowOff>162000</xdr:rowOff>
    </xdr:to>
    <xdr:graphicFrame>
      <xdr:nvGraphicFramePr>
        <xdr:cNvPr id="11" name="Chart 4"/>
        <xdr:cNvGraphicFramePr/>
      </xdr:nvGraphicFramePr>
      <xdr:xfrm>
        <a:off x="6685560" y="4457880"/>
        <a:ext cx="4311000" cy="2914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June%20YTD%20Budget%20Comp%20for%20Sally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ariance Explanation"/>
      <sheetName val="Summary For Sally"/>
      <sheetName val="Summary Volume Stats"/>
      <sheetName val="Summary Bal. Sheet"/>
      <sheetName val="Summary Bal. Sheet (2)"/>
      <sheetName val="Summary Expense Info"/>
      <sheetName val="Gas AR and AP"/>
      <sheetName val="Gas Revenue Support"/>
      <sheetName val="Gas Vols, Imbal &amp; UA4"/>
      <sheetName val="Gas P&amp;L &amp; FTA"/>
      <sheetName val="Pwr Volumes &amp; Imbal"/>
      <sheetName val="Pwr AR and AP"/>
      <sheetName val="Pwr P&amp;L &amp; FTA"/>
      <sheetName val="Pwr Revenue Support"/>
      <sheetName val="fin-stats00"/>
      <sheetName val="Coal"/>
      <sheetName val="Pulp &amp; Paper"/>
      <sheetName val="Canada"/>
      <sheetName val="April HC"/>
      <sheetName val="May HC"/>
      <sheetName val="Jun HC"/>
      <sheetName val="Capital HC"/>
      <sheetName val="YTD HC"/>
    </sheetNames>
    <sheetDataSet>
      <sheetData sheetId="0"/>
      <sheetData sheetId="1"/>
      <sheetData sheetId="2"/>
      <sheetData sheetId="3"/>
      <sheetData sheetId="4"/>
      <sheetData sheetId="5"/>
      <sheetData sheetId="6">
        <row r="180">
          <cell r="B180">
            <v>1537887079.87</v>
          </cell>
        </row>
      </sheetData>
      <sheetData sheetId="7">
        <row r="47">
          <cell r="J47">
            <v>9207203268.66</v>
          </cell>
        </row>
      </sheetData>
      <sheetData sheetId="8"/>
      <sheetData sheetId="9"/>
      <sheetData sheetId="10">
        <row r="9">
          <cell r="G9">
            <v>34999672</v>
          </cell>
        </row>
      </sheetData>
      <sheetData sheetId="11"/>
      <sheetData sheetId="12"/>
      <sheetData sheetId="13">
        <row r="9">
          <cell r="J9">
            <v>3802548563.3</v>
          </cell>
        </row>
      </sheetData>
      <sheetData sheetId="14"/>
      <sheetData sheetId="15"/>
      <sheetData sheetId="16"/>
      <sheetData sheetId="17"/>
      <sheetData sheetId="18">
        <row r="20">
          <cell r="I20">
            <v>61</v>
          </cell>
          <cell r="J20">
            <v>61</v>
          </cell>
        </row>
        <row r="34">
          <cell r="I34">
            <v>106</v>
          </cell>
          <cell r="J34">
            <v>118</v>
          </cell>
        </row>
        <row r="48">
          <cell r="I48">
            <v>60</v>
          </cell>
          <cell r="J48">
            <v>65</v>
          </cell>
        </row>
        <row r="57">
          <cell r="I57">
            <v>39</v>
          </cell>
          <cell r="J57">
            <v>43</v>
          </cell>
        </row>
        <row r="60">
          <cell r="I60">
            <v>17</v>
          </cell>
          <cell r="J60">
            <v>16</v>
          </cell>
        </row>
        <row r="63">
          <cell r="I63">
            <v>8</v>
          </cell>
          <cell r="J63">
            <v>6</v>
          </cell>
        </row>
        <row r="70">
          <cell r="I70">
            <v>20</v>
          </cell>
          <cell r="J70">
            <v>10</v>
          </cell>
        </row>
        <row r="75">
          <cell r="I75">
            <v>9</v>
          </cell>
          <cell r="J75">
            <v>8</v>
          </cell>
        </row>
        <row r="86">
          <cell r="I86">
            <v>4</v>
          </cell>
          <cell r="J86">
            <v>3</v>
          </cell>
        </row>
        <row r="94">
          <cell r="I94">
            <v>3</v>
          </cell>
          <cell r="J94">
            <v>0</v>
          </cell>
        </row>
        <row r="99">
          <cell r="I99">
            <v>2</v>
          </cell>
          <cell r="J99">
            <v>3</v>
          </cell>
        </row>
        <row r="100">
          <cell r="I100">
            <v>2</v>
          </cell>
          <cell r="J100">
            <v>3</v>
          </cell>
        </row>
        <row r="108">
          <cell r="F108">
            <v>0</v>
          </cell>
        </row>
        <row r="108">
          <cell r="I108">
            <v>0</v>
          </cell>
        </row>
        <row r="109">
          <cell r="F109">
            <v>7</v>
          </cell>
        </row>
        <row r="109">
          <cell r="I109">
            <v>7</v>
          </cell>
          <cell r="J109">
            <v>9</v>
          </cell>
        </row>
        <row r="110">
          <cell r="F110">
            <v>0</v>
          </cell>
        </row>
        <row r="110">
          <cell r="I110">
            <v>0</v>
          </cell>
          <cell r="J110">
            <v>0</v>
          </cell>
        </row>
        <row r="111">
          <cell r="F111">
            <v>2.95</v>
          </cell>
        </row>
        <row r="111">
          <cell r="I111">
            <v>2.95</v>
          </cell>
          <cell r="J111">
            <v>0</v>
          </cell>
        </row>
        <row r="112">
          <cell r="F112">
            <v>2.95</v>
          </cell>
        </row>
        <row r="112">
          <cell r="I112">
            <v>2.95</v>
          </cell>
          <cell r="J112">
            <v>0</v>
          </cell>
        </row>
        <row r="113">
          <cell r="F113">
            <v>1</v>
          </cell>
        </row>
        <row r="113">
          <cell r="I113">
            <v>1</v>
          </cell>
          <cell r="J113">
            <v>0</v>
          </cell>
        </row>
        <row r="114">
          <cell r="F114">
            <v>1.2</v>
          </cell>
        </row>
        <row r="114">
          <cell r="I114">
            <v>1.2</v>
          </cell>
          <cell r="J114">
            <v>0</v>
          </cell>
        </row>
        <row r="115">
          <cell r="F115">
            <v>5</v>
          </cell>
        </row>
        <row r="115">
          <cell r="I115">
            <v>5</v>
          </cell>
          <cell r="J115">
            <v>0</v>
          </cell>
        </row>
        <row r="116">
          <cell r="F116">
            <v>0</v>
          </cell>
        </row>
        <row r="116">
          <cell r="I116">
            <v>0</v>
          </cell>
          <cell r="J116">
            <v>0</v>
          </cell>
        </row>
        <row r="117">
          <cell r="F117">
            <v>0</v>
          </cell>
        </row>
        <row r="117">
          <cell r="I117">
            <v>0</v>
          </cell>
          <cell r="J117">
            <v>0</v>
          </cell>
        </row>
        <row r="118">
          <cell r="F118">
            <v>0</v>
          </cell>
        </row>
        <row r="118">
          <cell r="I118">
            <v>0</v>
          </cell>
          <cell r="J118">
            <v>0</v>
          </cell>
        </row>
        <row r="119">
          <cell r="F119">
            <v>0</v>
          </cell>
        </row>
        <row r="119">
          <cell r="I119">
            <v>0</v>
          </cell>
          <cell r="J119">
            <v>0</v>
          </cell>
        </row>
        <row r="121">
          <cell r="F121">
            <v>0</v>
          </cell>
        </row>
        <row r="121">
          <cell r="I121">
            <v>0</v>
          </cell>
          <cell r="J121">
            <v>0</v>
          </cell>
        </row>
        <row r="122">
          <cell r="F122">
            <v>0</v>
          </cell>
        </row>
        <row r="122">
          <cell r="I122">
            <v>0</v>
          </cell>
          <cell r="J122">
            <v>0</v>
          </cell>
        </row>
        <row r="131">
          <cell r="I131">
            <v>9</v>
          </cell>
          <cell r="J131">
            <v>13</v>
          </cell>
        </row>
      </sheetData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9"/>
    <col collapsed="false" customWidth="true" hidden="false" outlineLevel="0" max="2" min="2" style="0" width="27.49"/>
    <col collapsed="false" customWidth="true" hidden="false" outlineLevel="0" max="3" min="3" style="0" width="13.99"/>
    <col collapsed="false" customWidth="true" hidden="false" outlineLevel="0" max="4" min="4" style="0" width="11.65"/>
    <col collapsed="false" customWidth="true" hidden="false" outlineLevel="0" max="5" min="5" style="0" width="13.15"/>
    <col collapsed="false" customWidth="true" hidden="false" outlineLevel="0" max="6" min="6" style="0" width="13.49"/>
    <col collapsed="false" customWidth="true" hidden="false" outlineLevel="0" max="7" min="7" style="0" width="12.32"/>
    <col collapsed="false" customWidth="true" hidden="false" outlineLevel="0" max="8" min="8" style="0" width="13.82"/>
    <col collapsed="false" customWidth="true" hidden="false" outlineLevel="0" max="9" min="9" style="0" width="12.15"/>
    <col collapsed="false" customWidth="true" hidden="false" outlineLevel="0" max="10" min="10" style="0" width="11.65"/>
    <col collapsed="false" customWidth="true" hidden="false" outlineLevel="0" max="11" min="11" style="0" width="13.32"/>
    <col collapsed="false" customWidth="true" hidden="false" outlineLevel="0" max="12" min="12" style="0" width="11.82"/>
    <col collapsed="false" customWidth="true" hidden="false" outlineLevel="0" max="13" min="13" style="0" width="11.49"/>
    <col collapsed="false" customWidth="true" hidden="false" outlineLevel="0" max="14" min="14" style="0" width="13.15"/>
    <col collapsed="false" customWidth="true" hidden="false" outlineLevel="0" max="15" min="15" style="0" width="11.65"/>
    <col collapsed="false" customWidth="true" hidden="false" outlineLevel="0" max="16" min="16" style="0" width="1.82"/>
    <col collapsed="false" customWidth="true" hidden="true" outlineLevel="0" max="17" min="17" style="0" width="13.49"/>
    <col collapsed="false" customWidth="true" hidden="true" outlineLevel="0" max="18" min="18" style="0" width="0.82"/>
    <col collapsed="false" customWidth="true" hidden="true" outlineLevel="0" max="19" min="19" style="0" width="13.15"/>
    <col collapsed="false" customWidth="true" hidden="true" outlineLevel="0" max="20" min="20" style="0" width="11.49"/>
    <col collapsed="false" customWidth="false" hidden="true" outlineLevel="0" max="23" min="21" style="0" width="9.05"/>
    <col collapsed="false" customWidth="true" hidden="false" outlineLevel="0" max="24" min="24" style="0" width="4.4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/>
    </row>
    <row r="4" customFormat="false" ht="12.75" hidden="false" customHeight="false" outlineLevel="0" collapsed="false"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customFormat="false" ht="12.75" hidden="false" customHeight="false" outlineLevel="0" collapsed="false"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customFormat="false" ht="12.75" hidden="false" customHeight="false" outlineLevel="0" collapsed="false"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customFormat="false" ht="12.75" hidden="false" customHeight="false" outlineLevel="0" collapsed="false"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customFormat="false" ht="12.75" hidden="false" customHeight="false" outlineLevel="0" collapsed="false"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customFormat="false" ht="12.75" hidden="false" customHeight="false" outlineLevel="0" collapsed="false"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customFormat="false" ht="12.75" hidden="false" customHeight="false" outlineLevel="0" collapsed="false"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customFormat="false" ht="12.75" hidden="false" customHeight="false" outlineLevel="0" collapsed="false"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customFormat="false" ht="12.75" hidden="false" customHeight="false" outlineLevel="0" collapsed="false"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customFormat="false" ht="12.75" hidden="false" customHeight="false" outlineLevel="0" collapsed="false"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customFormat="false" ht="12.75" hidden="false" customHeight="false" outlineLevel="0" collapsed="false"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customFormat="false" ht="12.75" hidden="false" customHeight="false" outlineLevel="0" collapsed="false"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customFormat="false" ht="12.75" hidden="false" customHeight="false" outlineLevel="0" collapsed="false"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customFormat="false" ht="12.75" hidden="false" customHeight="false" outlineLevel="0" collapsed="false"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customFormat="false" ht="12.75" hidden="false" customHeight="false" outlineLevel="0" collapsed="false"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customFormat="false" ht="12.75" hidden="false" customHeight="false" outlineLevel="0" collapsed="false"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customFormat="false" ht="12.75" hidden="false" customHeight="false" outlineLevel="0" collapsed="false"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customFormat="false" ht="12.75" hidden="false" customHeight="false" outlineLevel="0" collapsed="false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customFormat="false" ht="12.75" hidden="false" customHeight="false" outlineLevel="0" collapsed="false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customFormat="false" ht="14.25" hidden="false" customHeight="false" outlineLevel="0" collapsed="false">
      <c r="B23" s="3" t="s">
        <v>2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5"/>
      <c r="Q23" s="5" t="s">
        <v>3</v>
      </c>
      <c r="R23" s="5"/>
      <c r="S23" s="5"/>
      <c r="T23" s="2"/>
      <c r="AA23" s="0" t="s">
        <v>4</v>
      </c>
    </row>
    <row r="24" customFormat="false" ht="12.75" hidden="false" customHeight="false" outlineLevel="0" collapsed="false">
      <c r="D24" s="6" t="n">
        <v>36526</v>
      </c>
      <c r="E24" s="6" t="n">
        <v>36557</v>
      </c>
      <c r="F24" s="6" t="n">
        <v>36586</v>
      </c>
      <c r="G24" s="6" t="n">
        <v>36617</v>
      </c>
      <c r="H24" s="6" t="n">
        <v>36647</v>
      </c>
      <c r="I24" s="6" t="n">
        <v>36678</v>
      </c>
      <c r="J24" s="6" t="n">
        <v>36708</v>
      </c>
      <c r="K24" s="6" t="n">
        <v>36739</v>
      </c>
      <c r="L24" s="6" t="n">
        <v>36770</v>
      </c>
      <c r="M24" s="6" t="n">
        <v>36800</v>
      </c>
      <c r="N24" s="6" t="n">
        <v>36831</v>
      </c>
      <c r="O24" s="6" t="n">
        <v>36861</v>
      </c>
      <c r="P24" s="7"/>
      <c r="Q24" s="8" t="s">
        <v>5</v>
      </c>
      <c r="R24" s="8"/>
      <c r="S24" s="8" t="s">
        <v>6</v>
      </c>
      <c r="T24" s="2"/>
      <c r="AA24" s="0" t="s">
        <v>7</v>
      </c>
    </row>
    <row r="25" customFormat="false" ht="12.75" hidden="false" customHeight="false" outlineLevel="0" collapsed="false">
      <c r="D25" s="2"/>
      <c r="E25" s="2"/>
      <c r="F25" s="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AA25" s="0" t="s">
        <v>8</v>
      </c>
    </row>
    <row r="26" customFormat="false" ht="12.75" hidden="false" customHeight="false" outlineLevel="0" collapsed="false">
      <c r="B26" s="0" t="s">
        <v>9</v>
      </c>
      <c r="D26" s="10" t="n">
        <v>8698</v>
      </c>
      <c r="E26" s="10" t="n">
        <v>10541</v>
      </c>
      <c r="F26" s="10" t="n">
        <v>16886</v>
      </c>
      <c r="G26" s="10" t="n">
        <v>14536</v>
      </c>
      <c r="H26" s="10" t="n">
        <v>15918</v>
      </c>
      <c r="I26" s="10" t="n">
        <v>16455</v>
      </c>
      <c r="J26" s="10"/>
      <c r="K26" s="10"/>
      <c r="L26" s="10"/>
      <c r="M26" s="10"/>
      <c r="N26" s="10"/>
      <c r="O26" s="10"/>
      <c r="P26" s="10"/>
      <c r="Q26" s="11" t="n">
        <f aca="false">+J26/D26</f>
        <v>0</v>
      </c>
      <c r="R26" s="11"/>
      <c r="S26" s="11" t="n">
        <f aca="false">+K26/E26</f>
        <v>0</v>
      </c>
      <c r="T26" s="2"/>
    </row>
    <row r="27" customFormat="false" ht="12.75" hidden="false" customHeight="false" outlineLevel="0" collapsed="false">
      <c r="B27" s="0" t="s">
        <v>10</v>
      </c>
      <c r="D27" s="10" t="n">
        <v>3264</v>
      </c>
      <c r="E27" s="10" t="n">
        <v>3731</v>
      </c>
      <c r="F27" s="10" t="n">
        <v>4386</v>
      </c>
      <c r="G27" s="10" t="n">
        <v>3507</v>
      </c>
      <c r="H27" s="10" t="n">
        <v>5329</v>
      </c>
      <c r="I27" s="10" t="n">
        <v>4863</v>
      </c>
      <c r="J27" s="10"/>
      <c r="K27" s="10"/>
      <c r="L27" s="10"/>
      <c r="M27" s="10"/>
      <c r="N27" s="10"/>
      <c r="O27" s="10"/>
      <c r="P27" s="10"/>
      <c r="Q27" s="11"/>
      <c r="R27" s="11"/>
      <c r="S27" s="11"/>
      <c r="T27" s="2"/>
    </row>
    <row r="28" customFormat="false" ht="12.75" hidden="false" customHeight="false" outlineLevel="0" collapsed="false">
      <c r="B28" s="0" t="s">
        <v>11</v>
      </c>
      <c r="D28" s="10" t="n">
        <v>12413</v>
      </c>
      <c r="E28" s="10" t="n">
        <v>12595</v>
      </c>
      <c r="F28" s="10" t="n">
        <v>15886</v>
      </c>
      <c r="G28" s="10" t="n">
        <v>15208</v>
      </c>
      <c r="H28" s="10" t="n">
        <v>16350</v>
      </c>
      <c r="I28" s="10" t="n">
        <v>15453</v>
      </c>
      <c r="J28" s="10"/>
      <c r="K28" s="10"/>
      <c r="L28" s="10"/>
      <c r="M28" s="10"/>
      <c r="N28" s="10"/>
      <c r="O28" s="10"/>
      <c r="P28" s="10"/>
      <c r="Q28" s="11" t="n">
        <f aca="false">+J28/D28</f>
        <v>0</v>
      </c>
      <c r="R28" s="11"/>
      <c r="S28" s="11" t="n">
        <f aca="false">+K28/E28</f>
        <v>0</v>
      </c>
      <c r="T28" s="2"/>
    </row>
    <row r="29" customFormat="false" ht="15.75" hidden="false" customHeight="false" outlineLevel="0" collapsed="false">
      <c r="B29" s="0" t="s">
        <v>12</v>
      </c>
      <c r="D29" s="10" t="n">
        <v>8846</v>
      </c>
      <c r="E29" s="10" t="n">
        <v>10406</v>
      </c>
      <c r="F29" s="10" t="n">
        <v>14613</v>
      </c>
      <c r="G29" s="10" t="n">
        <v>12550</v>
      </c>
      <c r="H29" s="10" t="n">
        <v>22084</v>
      </c>
      <c r="I29" s="10" t="n">
        <v>28888</v>
      </c>
      <c r="J29" s="10"/>
      <c r="K29" s="10"/>
      <c r="L29" s="10"/>
      <c r="M29" s="10"/>
      <c r="N29" s="10"/>
      <c r="O29" s="10"/>
      <c r="P29" s="10"/>
      <c r="Q29" s="11" t="n">
        <f aca="false">+J29/D29</f>
        <v>0</v>
      </c>
      <c r="R29" s="11"/>
      <c r="S29" s="11" t="n">
        <f aca="false">+K29/E29</f>
        <v>0</v>
      </c>
      <c r="T29" s="2"/>
    </row>
    <row r="30" customFormat="false" ht="13.5" hidden="false" customHeight="false" outlineLevel="0" collapsed="false">
      <c r="B30" s="12" t="s">
        <v>13</v>
      </c>
      <c r="D30" s="13" t="n">
        <f aca="false">SUM(D26:D29)</f>
        <v>33221</v>
      </c>
      <c r="E30" s="13" t="n">
        <f aca="false">SUM(E26:E29)</f>
        <v>37273</v>
      </c>
      <c r="F30" s="14" t="n">
        <f aca="false">SUM(F26:F29)</f>
        <v>51771</v>
      </c>
      <c r="G30" s="13" t="n">
        <f aca="false">SUM(G26:G29)</f>
        <v>45801</v>
      </c>
      <c r="H30" s="13" t="n">
        <f aca="false">SUM(H26:H29)</f>
        <v>59681</v>
      </c>
      <c r="I30" s="14" t="n">
        <f aca="false">SUM(I26:I29)</f>
        <v>65659</v>
      </c>
      <c r="J30" s="13" t="n">
        <f aca="false">SUM(J26:J29)</f>
        <v>0</v>
      </c>
      <c r="K30" s="13" t="n">
        <f aca="false">SUM(K26:K29)</f>
        <v>0</v>
      </c>
      <c r="L30" s="14" t="n">
        <f aca="false">SUM(L26:L29)</f>
        <v>0</v>
      </c>
      <c r="M30" s="13" t="n">
        <f aca="false">SUM(M26:M29)</f>
        <v>0</v>
      </c>
      <c r="N30" s="13" t="n">
        <f aca="false">SUM(N26:N29)</f>
        <v>0</v>
      </c>
      <c r="O30" s="14" t="n">
        <f aca="false">SUM(O26:O29)</f>
        <v>0</v>
      </c>
      <c r="P30" s="10"/>
      <c r="Q30" s="15" t="n">
        <f aca="false">+J30/D30</f>
        <v>0</v>
      </c>
      <c r="R30" s="15"/>
      <c r="S30" s="15" t="n">
        <f aca="false">+K30/E30</f>
        <v>0</v>
      </c>
    </row>
    <row r="31" customFormat="false" ht="13.5" hidden="false" customHeight="false" outlineLevel="0" collapsed="false">
      <c r="G31" s="16"/>
      <c r="H31" s="16"/>
      <c r="I31" s="16"/>
      <c r="M31" s="16"/>
      <c r="N31" s="16"/>
      <c r="O31" s="16"/>
      <c r="P31" s="16"/>
    </row>
    <row r="32" customFormat="false" ht="14.25" hidden="false" customHeight="false" outlineLevel="0" collapsed="false">
      <c r="B32" s="3" t="s">
        <v>14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5"/>
      <c r="Q32" s="5" t="s">
        <v>3</v>
      </c>
      <c r="R32" s="5"/>
      <c r="S32" s="5"/>
      <c r="T32" s="2"/>
      <c r="AA32" s="0" t="s">
        <v>4</v>
      </c>
    </row>
    <row r="33" customFormat="false" ht="12.75" hidden="false" customHeight="false" outlineLevel="0" collapsed="false">
      <c r="D33" s="6" t="n">
        <v>36526</v>
      </c>
      <c r="E33" s="6" t="n">
        <v>36557</v>
      </c>
      <c r="F33" s="6" t="n">
        <v>36586</v>
      </c>
      <c r="G33" s="6" t="n">
        <v>36617</v>
      </c>
      <c r="H33" s="6" t="n">
        <v>36647</v>
      </c>
      <c r="I33" s="6" t="n">
        <v>36678</v>
      </c>
      <c r="J33" s="6" t="n">
        <v>36708</v>
      </c>
      <c r="K33" s="6" t="n">
        <v>36739</v>
      </c>
      <c r="L33" s="6" t="n">
        <v>36770</v>
      </c>
      <c r="M33" s="6" t="n">
        <v>36800</v>
      </c>
      <c r="N33" s="6" t="n">
        <v>36831</v>
      </c>
      <c r="O33" s="6" t="n">
        <v>36861</v>
      </c>
      <c r="P33" s="7"/>
      <c r="Q33" s="8" t="s">
        <v>5</v>
      </c>
      <c r="R33" s="8"/>
      <c r="S33" s="8" t="s">
        <v>6</v>
      </c>
      <c r="T33" s="2"/>
      <c r="AA33" s="0" t="s">
        <v>7</v>
      </c>
    </row>
    <row r="34" customFormat="false" ht="12.75" hidden="false" customHeight="false" outlineLevel="0" collapsed="false">
      <c r="D34" s="2"/>
      <c r="E34" s="2"/>
      <c r="F34" s="9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AA34" s="0" t="s">
        <v>8</v>
      </c>
    </row>
    <row r="35" customFormat="false" ht="12.75" hidden="false" customHeight="false" outlineLevel="0" collapsed="false">
      <c r="B35" s="0" t="s">
        <v>9</v>
      </c>
      <c r="D35" s="10" t="n">
        <v>12808</v>
      </c>
      <c r="E35" s="10" t="n">
        <v>15431</v>
      </c>
      <c r="F35" s="10" t="n">
        <v>15300</v>
      </c>
      <c r="G35" s="10" t="n">
        <v>16154</v>
      </c>
      <c r="H35" s="10" t="n">
        <v>15394</v>
      </c>
      <c r="I35" s="10" t="n">
        <v>15460</v>
      </c>
      <c r="J35" s="10"/>
      <c r="K35" s="10"/>
      <c r="L35" s="10"/>
      <c r="M35" s="10"/>
      <c r="N35" s="10"/>
      <c r="O35" s="10"/>
      <c r="P35" s="10"/>
      <c r="Q35" s="11" t="n">
        <f aca="false">+J35/D35</f>
        <v>0</v>
      </c>
      <c r="R35" s="11"/>
      <c r="S35" s="11" t="n">
        <f aca="false">+K35/E35</f>
        <v>0</v>
      </c>
      <c r="T35" s="2"/>
    </row>
    <row r="36" customFormat="false" ht="12.75" hidden="false" customHeight="false" outlineLevel="0" collapsed="false">
      <c r="B36" s="0" t="s">
        <v>10</v>
      </c>
      <c r="D36" s="10" t="n">
        <v>4087</v>
      </c>
      <c r="E36" s="10" t="n">
        <v>4767</v>
      </c>
      <c r="F36" s="10" t="n">
        <v>4411</v>
      </c>
      <c r="G36" s="10" t="n">
        <v>4624</v>
      </c>
      <c r="H36" s="10" t="n">
        <v>5532</v>
      </c>
      <c r="I36" s="10" t="n">
        <v>5341</v>
      </c>
      <c r="J36" s="10"/>
      <c r="K36" s="10"/>
      <c r="L36" s="10"/>
      <c r="M36" s="10"/>
      <c r="N36" s="10"/>
      <c r="O36" s="10"/>
      <c r="P36" s="10"/>
      <c r="Q36" s="11"/>
      <c r="R36" s="11"/>
      <c r="S36" s="11"/>
      <c r="T36" s="2"/>
    </row>
    <row r="37" customFormat="false" ht="12.75" hidden="false" customHeight="false" outlineLevel="0" collapsed="false">
      <c r="B37" s="0" t="s">
        <v>11</v>
      </c>
      <c r="D37" s="10" t="n">
        <v>11788</v>
      </c>
      <c r="E37" s="10" t="n">
        <v>10536</v>
      </c>
      <c r="F37" s="10" t="n">
        <v>13715</v>
      </c>
      <c r="G37" s="10" t="n">
        <v>14000</v>
      </c>
      <c r="H37" s="10" t="n">
        <v>18028</v>
      </c>
      <c r="I37" s="10" t="n">
        <v>16712</v>
      </c>
      <c r="J37" s="10"/>
      <c r="K37" s="10"/>
      <c r="L37" s="10"/>
      <c r="M37" s="10"/>
      <c r="N37" s="10"/>
      <c r="O37" s="10"/>
      <c r="P37" s="10"/>
      <c r="Q37" s="11" t="n">
        <f aca="false">+J37/D37</f>
        <v>0</v>
      </c>
      <c r="R37" s="11"/>
      <c r="S37" s="11" t="n">
        <f aca="false">+K37/E37</f>
        <v>0</v>
      </c>
      <c r="T37" s="2"/>
    </row>
    <row r="38" customFormat="false" ht="15.75" hidden="false" customHeight="false" outlineLevel="0" collapsed="false">
      <c r="B38" s="0" t="s">
        <v>12</v>
      </c>
      <c r="D38" s="10" t="n">
        <v>13469</v>
      </c>
      <c r="E38" s="10" t="n">
        <v>16360</v>
      </c>
      <c r="F38" s="10" t="n">
        <v>17948</v>
      </c>
      <c r="G38" s="10" t="n">
        <v>16663</v>
      </c>
      <c r="H38" s="10" t="n">
        <v>18199</v>
      </c>
      <c r="I38" s="10" t="n">
        <v>21573</v>
      </c>
      <c r="J38" s="10"/>
      <c r="K38" s="10"/>
      <c r="L38" s="10"/>
      <c r="M38" s="10"/>
      <c r="N38" s="10"/>
      <c r="O38" s="10"/>
      <c r="P38" s="10"/>
      <c r="Q38" s="11" t="n">
        <f aca="false">+J38/D38</f>
        <v>0</v>
      </c>
      <c r="R38" s="11"/>
      <c r="S38" s="11" t="n">
        <f aca="false">+K38/E38</f>
        <v>0</v>
      </c>
      <c r="T38" s="2"/>
    </row>
    <row r="39" customFormat="false" ht="13.5" hidden="false" customHeight="false" outlineLevel="0" collapsed="false">
      <c r="B39" s="12" t="s">
        <v>13</v>
      </c>
      <c r="D39" s="13" t="n">
        <f aca="false">SUM(D35:D38)</f>
        <v>42152</v>
      </c>
      <c r="E39" s="13" t="n">
        <f aca="false">SUM(E35:E38)</f>
        <v>47094</v>
      </c>
      <c r="F39" s="14" t="n">
        <f aca="false">SUM(F35:F38)</f>
        <v>51374</v>
      </c>
      <c r="G39" s="13" t="n">
        <f aca="false">SUM(G35:G38)</f>
        <v>51441</v>
      </c>
      <c r="H39" s="13" t="n">
        <f aca="false">SUM(H35:H38)</f>
        <v>57153</v>
      </c>
      <c r="I39" s="14" t="n">
        <f aca="false">SUM(I35:I38)</f>
        <v>59086</v>
      </c>
      <c r="J39" s="13" t="n">
        <f aca="false">SUM(J35:J38)</f>
        <v>0</v>
      </c>
      <c r="K39" s="13" t="n">
        <f aca="false">SUM(K35:K38)</f>
        <v>0</v>
      </c>
      <c r="L39" s="14" t="n">
        <f aca="false">SUM(L35:L38)</f>
        <v>0</v>
      </c>
      <c r="M39" s="13" t="n">
        <f aca="false">SUM(M35:M38)</f>
        <v>0</v>
      </c>
      <c r="N39" s="13" t="n">
        <f aca="false">SUM(N35:N38)</f>
        <v>0</v>
      </c>
      <c r="O39" s="14" t="n">
        <f aca="false">SUM(O35:O38)</f>
        <v>0</v>
      </c>
      <c r="P39" s="10"/>
      <c r="Q39" s="15" t="n">
        <f aca="false">+J39/D39</f>
        <v>0</v>
      </c>
      <c r="R39" s="15"/>
      <c r="S39" s="15" t="n">
        <f aca="false">+K39/E39</f>
        <v>0</v>
      </c>
    </row>
    <row r="40" customFormat="false" ht="13.5" hidden="false" customHeight="false" outlineLevel="0" collapsed="false">
      <c r="G40" s="16"/>
      <c r="H40" s="16"/>
      <c r="I40" s="16"/>
      <c r="M40" s="16"/>
      <c r="N40" s="16"/>
      <c r="O40" s="16"/>
      <c r="P40" s="16"/>
    </row>
    <row r="41" customFormat="false" ht="14.25" hidden="false" customHeight="false" outlineLevel="0" collapsed="false">
      <c r="B41" s="3" t="s">
        <v>15</v>
      </c>
      <c r="G41" s="16"/>
      <c r="H41" s="16"/>
      <c r="I41" s="16"/>
      <c r="M41" s="16"/>
      <c r="N41" s="16"/>
      <c r="O41" s="16"/>
      <c r="P41" s="16"/>
    </row>
    <row r="42" customFormat="false" ht="12.75" hidden="false" customHeight="false" outlineLevel="0" collapsed="false">
      <c r="C42" s="17" t="s">
        <v>16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5"/>
      <c r="Q42" s="5" t="s">
        <v>3</v>
      </c>
      <c r="R42" s="5"/>
      <c r="S42" s="5"/>
      <c r="T42" s="2"/>
      <c r="AA42" s="0" t="s">
        <v>4</v>
      </c>
    </row>
    <row r="43" customFormat="false" ht="12.75" hidden="false" customHeight="false" outlineLevel="0" collapsed="false">
      <c r="C43" s="18" t="s">
        <v>17</v>
      </c>
      <c r="D43" s="6" t="n">
        <v>36526</v>
      </c>
      <c r="E43" s="6" t="n">
        <v>36557</v>
      </c>
      <c r="F43" s="6" t="n">
        <v>36586</v>
      </c>
      <c r="G43" s="6" t="n">
        <v>36617</v>
      </c>
      <c r="H43" s="6" t="n">
        <v>36647</v>
      </c>
      <c r="I43" s="6" t="n">
        <v>36678</v>
      </c>
      <c r="J43" s="6" t="n">
        <v>36708</v>
      </c>
      <c r="K43" s="6" t="n">
        <v>36739</v>
      </c>
      <c r="L43" s="6" t="n">
        <v>36770</v>
      </c>
      <c r="M43" s="6" t="n">
        <v>36800</v>
      </c>
      <c r="N43" s="6" t="n">
        <v>36831</v>
      </c>
      <c r="O43" s="6" t="n">
        <v>36861</v>
      </c>
      <c r="P43" s="7"/>
      <c r="Q43" s="8" t="s">
        <v>5</v>
      </c>
      <c r="R43" s="8"/>
      <c r="S43" s="8" t="s">
        <v>6</v>
      </c>
      <c r="T43" s="2"/>
      <c r="AA43" s="0" t="s">
        <v>7</v>
      </c>
    </row>
    <row r="44" customFormat="false" ht="12.75" hidden="false" customHeight="false" outlineLevel="0" collapsed="false">
      <c r="D44" s="2"/>
      <c r="E44" s="2"/>
      <c r="F44" s="9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AA44" s="0" t="s">
        <v>8</v>
      </c>
    </row>
    <row r="45" customFormat="false" ht="15.95" hidden="false" customHeight="true" outlineLevel="0" collapsed="false">
      <c r="B45" s="0" t="s">
        <v>9</v>
      </c>
      <c r="C45" s="0" t="s">
        <v>18</v>
      </c>
      <c r="D45" s="19" t="n">
        <v>16.4193231612903</v>
      </c>
      <c r="E45" s="19" t="n">
        <v>16.5988124482759</v>
      </c>
      <c r="F45" s="19" t="n">
        <v>17.5482917419355</v>
      </c>
      <c r="G45" s="19" t="n">
        <v>17.5065566</v>
      </c>
      <c r="H45" s="19" t="n">
        <v>18.1918372258065</v>
      </c>
      <c r="I45" s="19" t="n">
        <v>20.2833857666667</v>
      </c>
      <c r="J45" s="19"/>
      <c r="K45" s="19"/>
      <c r="L45" s="19"/>
      <c r="M45" s="19"/>
      <c r="N45" s="19"/>
      <c r="O45" s="19"/>
      <c r="P45" s="10"/>
      <c r="Q45" s="11" t="n">
        <f aca="false">+J45/D45</f>
        <v>0</v>
      </c>
      <c r="R45" s="11"/>
      <c r="S45" s="11" t="n">
        <f aca="false">+K45/E45</f>
        <v>0</v>
      </c>
      <c r="T45" s="2"/>
    </row>
    <row r="46" customFormat="false" ht="15.95" hidden="false" customHeight="true" outlineLevel="0" collapsed="false">
      <c r="B46" s="0" t="s">
        <v>10</v>
      </c>
      <c r="C46" s="0" t="s">
        <v>18</v>
      </c>
      <c r="D46" s="19" t="n">
        <v>4.016</v>
      </c>
      <c r="E46" s="19" t="n">
        <v>4.569</v>
      </c>
      <c r="F46" s="19" t="n">
        <v>5.657</v>
      </c>
      <c r="G46" s="19" t="n">
        <v>6.016</v>
      </c>
      <c r="H46" s="19" t="n">
        <v>6.361</v>
      </c>
      <c r="I46" s="19" t="n">
        <v>6.3</v>
      </c>
      <c r="J46" s="19"/>
      <c r="K46" s="19"/>
      <c r="L46" s="19"/>
      <c r="M46" s="19"/>
      <c r="N46" s="19"/>
      <c r="O46" s="19"/>
      <c r="P46" s="10"/>
      <c r="Q46" s="11"/>
      <c r="R46" s="11"/>
      <c r="S46" s="11"/>
      <c r="T46" s="2"/>
    </row>
    <row r="47" customFormat="false" ht="15.95" hidden="false" customHeight="true" outlineLevel="0" collapsed="false">
      <c r="B47" s="20" t="s">
        <v>19</v>
      </c>
      <c r="C47" s="0" t="s">
        <v>18</v>
      </c>
      <c r="D47" s="21" t="n">
        <f aca="false">+D46+D45</f>
        <v>20.4353231612903</v>
      </c>
      <c r="E47" s="21" t="n">
        <f aca="false">+E46+E45</f>
        <v>21.1678124482759</v>
      </c>
      <c r="F47" s="21" t="n">
        <f aca="false">+F46+F45</f>
        <v>23.2052917419355</v>
      </c>
      <c r="G47" s="21" t="n">
        <f aca="false">+G46+G45</f>
        <v>23.5225566</v>
      </c>
      <c r="H47" s="21" t="n">
        <f aca="false">+H46+H45</f>
        <v>24.5528372258065</v>
      </c>
      <c r="I47" s="21" t="n">
        <f aca="false">+I46+I45</f>
        <v>26.5833857666667</v>
      </c>
      <c r="J47" s="19"/>
      <c r="K47" s="19"/>
      <c r="L47" s="19"/>
      <c r="M47" s="19"/>
      <c r="N47" s="19"/>
      <c r="O47" s="19"/>
      <c r="P47" s="10"/>
      <c r="Q47" s="11"/>
      <c r="R47" s="11"/>
      <c r="S47" s="11"/>
      <c r="T47" s="2"/>
    </row>
    <row r="48" customFormat="false" ht="15.95" hidden="false" customHeight="true" outlineLevel="0" collapsed="false">
      <c r="B48" s="0" t="s">
        <v>11</v>
      </c>
      <c r="C48" s="0" t="s">
        <v>20</v>
      </c>
      <c r="D48" s="19" t="n">
        <f aca="false">(26553036/1000000)/31</f>
        <v>0.856549548387097</v>
      </c>
      <c r="E48" s="19" t="n">
        <f aca="false">(36333988/1000000)/29</f>
        <v>1.25289613793103</v>
      </c>
      <c r="F48" s="19" t="n">
        <f aca="false">(39454678/1000000)/31</f>
        <v>1.2727315483871</v>
      </c>
      <c r="G48" s="19" t="n">
        <f aca="false">(39502670/1000000)/30</f>
        <v>1.31675566666667</v>
      </c>
      <c r="H48" s="19" t="n">
        <f aca="false">(47.9)/31</f>
        <v>1.54516129032258</v>
      </c>
      <c r="I48" s="19" t="n">
        <f aca="false">(+'[1]Pwr Volumes &amp; Imbal'!G9/1000000)/30</f>
        <v>1.16665573333333</v>
      </c>
      <c r="J48" s="19"/>
      <c r="K48" s="19"/>
      <c r="L48" s="19"/>
      <c r="M48" s="19"/>
      <c r="N48" s="19"/>
      <c r="O48" s="19"/>
      <c r="P48" s="10"/>
      <c r="Q48" s="11" t="n">
        <f aca="false">+J48/D48</f>
        <v>0</v>
      </c>
      <c r="R48" s="11"/>
      <c r="S48" s="11" t="n">
        <f aca="false">+K48/E48</f>
        <v>0</v>
      </c>
      <c r="T48" s="2"/>
    </row>
    <row r="49" customFormat="false" ht="15.95" hidden="false" customHeight="true" outlineLevel="0" collapsed="false">
      <c r="B49" s="0" t="s">
        <v>21</v>
      </c>
      <c r="C49" s="0" t="s">
        <v>22</v>
      </c>
      <c r="D49" s="19" t="n">
        <f aca="false">(1563132.72/1000000)/31</f>
        <v>0.0504236361290323</v>
      </c>
      <c r="E49" s="19" t="n">
        <f aca="false">(1794973.2/1000000)/29</f>
        <v>0.0618956275862069</v>
      </c>
      <c r="F49" s="19" t="n">
        <f aca="false">(1742704.26/1000000)/31</f>
        <v>0.0562162664516129</v>
      </c>
      <c r="G49" s="19" t="n">
        <f aca="false">(1636786.3/1000000)/30</f>
        <v>0.0545595433333333</v>
      </c>
      <c r="H49" s="19" t="n">
        <f aca="false">(1552402.87/1000000)/31</f>
        <v>0.0500775119354839</v>
      </c>
      <c r="I49" s="19" t="n">
        <f aca="false">(1663588/1000000)/30</f>
        <v>0.0554529333333333</v>
      </c>
      <c r="J49" s="19"/>
      <c r="K49" s="19"/>
      <c r="L49" s="19"/>
      <c r="M49" s="19"/>
      <c r="N49" s="19"/>
      <c r="O49" s="19"/>
      <c r="P49" s="10"/>
      <c r="Q49" s="11"/>
      <c r="R49" s="11"/>
      <c r="S49" s="11"/>
      <c r="T49" s="2"/>
    </row>
    <row r="50" customFormat="false" ht="15.95" hidden="false" customHeight="true" outlineLevel="0" collapsed="false">
      <c r="B50" s="0" t="s">
        <v>23</v>
      </c>
      <c r="C50" s="0" t="s">
        <v>24</v>
      </c>
      <c r="D50" s="19" t="n">
        <f aca="false">(9537/1000000)/31</f>
        <v>0.000307645161290323</v>
      </c>
      <c r="E50" s="19" t="n">
        <f aca="false">(7801/1000000)/29</f>
        <v>0.000269</v>
      </c>
      <c r="F50" s="19" t="n">
        <f aca="false">(6547/1000000)/31</f>
        <v>0.000211193548387097</v>
      </c>
      <c r="G50" s="19" t="n">
        <f aca="false">(6608/1000000)/30</f>
        <v>0.000220266666666667</v>
      </c>
      <c r="H50" s="19" t="n">
        <f aca="false">(7641/1000000)/31</f>
        <v>0.000246483870967742</v>
      </c>
      <c r="I50" s="19" t="n">
        <f aca="false">+(7261.48/1000000)/30</f>
        <v>0.000242049333333333</v>
      </c>
      <c r="J50" s="19"/>
      <c r="K50" s="19"/>
      <c r="L50" s="19"/>
      <c r="M50" s="19"/>
      <c r="N50" s="19"/>
      <c r="O50" s="19"/>
      <c r="P50" s="10"/>
      <c r="Q50" s="11"/>
      <c r="R50" s="11"/>
      <c r="S50" s="11"/>
      <c r="T50" s="2"/>
    </row>
    <row r="53" customFormat="false" ht="12.75" hidden="false" customHeight="false" outlineLevel="0" collapsed="false">
      <c r="B53" s="22" t="s">
        <v>25</v>
      </c>
    </row>
    <row r="54" customFormat="false" ht="12.75" hidden="false" customHeight="false" outlineLevel="0" collapsed="false">
      <c r="B54" s="22" t="s">
        <v>26</v>
      </c>
    </row>
    <row r="55" customFormat="false" ht="12.75" hidden="false" customHeight="false" outlineLevel="0" collapsed="false">
      <c r="B55" s="23" t="s">
        <v>27</v>
      </c>
    </row>
  </sheetData>
  <mergeCells count="3">
    <mergeCell ref="Q23:S23"/>
    <mergeCell ref="Q32:S32"/>
    <mergeCell ref="Q42:S42"/>
  </mergeCells>
  <printOptions headings="false" gridLines="false" gridLinesSet="true" horizontalCentered="false" verticalCentered="false"/>
  <pageMargins left="0" right="0" top="0.7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&amp;R&amp;7Page 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1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I9" activeCellId="0" sqref="I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9"/>
    <col collapsed="false" customWidth="true" hidden="false" outlineLevel="0" max="2" min="2" style="0" width="23.65"/>
    <col collapsed="false" customWidth="true" hidden="false" outlineLevel="0" max="3" min="3" style="0" width="1.32"/>
    <col collapsed="false" customWidth="true" hidden="false" outlineLevel="0" max="4" min="4" style="0" width="14.65"/>
    <col collapsed="false" customWidth="true" hidden="false" outlineLevel="0" max="5" min="5" style="0" width="1.15"/>
    <col collapsed="false" customWidth="true" hidden="false" outlineLevel="0" max="6" min="6" style="0" width="13.82"/>
    <col collapsed="false" customWidth="true" hidden="false" outlineLevel="0" max="7" min="7" style="0" width="0.99"/>
    <col collapsed="false" customWidth="true" hidden="false" outlineLevel="0" max="8" min="8" style="0" width="14.32"/>
    <col collapsed="false" customWidth="true" hidden="false" outlineLevel="0" max="9" min="9" style="0" width="4.15"/>
    <col collapsed="false" customWidth="true" hidden="false" outlineLevel="0" max="10" min="10" style="0" width="13.65"/>
    <col collapsed="false" customWidth="true" hidden="false" outlineLevel="0" max="11" min="11" style="0" width="3.82"/>
    <col collapsed="false" customWidth="true" hidden="false" outlineLevel="0" max="12" min="12" style="0" width="13.49"/>
    <col collapsed="false" customWidth="true" hidden="false" outlineLevel="0" max="13" min="13" style="0" width="3.82"/>
    <col collapsed="false" customWidth="true" hidden="false" outlineLevel="0" max="14" min="14" style="0" width="14.32"/>
    <col collapsed="false" customWidth="true" hidden="false" outlineLevel="0" max="15" min="15" style="0" width="4.65"/>
    <col collapsed="false" customWidth="true" hidden="false" outlineLevel="0" max="16" min="16" style="0" width="11.32"/>
    <col collapsed="false" customWidth="true" hidden="false" outlineLevel="0" max="17" min="17" style="0" width="1.32"/>
    <col collapsed="false" customWidth="true" hidden="false" outlineLevel="0" max="18" min="18" style="0" width="13.15"/>
    <col collapsed="false" customWidth="true" hidden="false" outlineLevel="0" max="19" min="19" style="0" width="1.49"/>
    <col collapsed="false" customWidth="true" hidden="false" outlineLevel="0" max="20" min="20" style="0" width="14.99"/>
    <col collapsed="false" customWidth="true" hidden="false" outlineLevel="0" max="21" min="21" style="0" width="1.32"/>
    <col collapsed="false" customWidth="true" hidden="false" outlineLevel="0" max="22" min="22" style="0" width="10.49"/>
    <col collapsed="false" customWidth="true" hidden="false" outlineLevel="0" max="23" min="23" style="0" width="1.15"/>
    <col collapsed="false" customWidth="true" hidden="false" outlineLevel="0" max="24" min="24" style="0" width="9.65"/>
    <col collapsed="false" customWidth="true" hidden="false" outlineLevel="0" max="25" min="25" style="0" width="1.15"/>
    <col collapsed="false" customWidth="true" hidden="false" outlineLevel="0" max="26" min="26" style="0" width="10.4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28</v>
      </c>
    </row>
    <row r="3" customFormat="false" ht="12.75" hidden="false" customHeight="false" outlineLevel="0" collapsed="false">
      <c r="A3" s="1" t="s">
        <v>29</v>
      </c>
    </row>
    <row r="4" customFormat="false" ht="12.75" hidden="false" customHeight="false" outlineLevel="0" collapsed="false">
      <c r="D4" s="24" t="s">
        <v>30</v>
      </c>
      <c r="E4" s="24"/>
      <c r="F4" s="24"/>
      <c r="G4" s="24"/>
      <c r="H4" s="24"/>
      <c r="I4" s="24"/>
      <c r="J4" s="24"/>
      <c r="K4" s="24"/>
      <c r="L4" s="24"/>
      <c r="M4" s="24"/>
      <c r="N4" s="24"/>
      <c r="R4" s="25" t="s">
        <v>31</v>
      </c>
      <c r="S4" s="25"/>
      <c r="T4" s="25"/>
      <c r="U4" s="25"/>
      <c r="V4" s="25"/>
    </row>
    <row r="5" customFormat="false" ht="38.25" hidden="false" customHeight="false" outlineLevel="0" collapsed="false">
      <c r="D5" s="26" t="s">
        <v>32</v>
      </c>
      <c r="E5" s="27"/>
      <c r="F5" s="26" t="s">
        <v>33</v>
      </c>
      <c r="G5" s="28"/>
      <c r="H5" s="26" t="s">
        <v>34</v>
      </c>
      <c r="I5" s="28"/>
      <c r="J5" s="26" t="s">
        <v>35</v>
      </c>
      <c r="K5" s="28"/>
      <c r="L5" s="26" t="s">
        <v>36</v>
      </c>
      <c r="M5" s="28"/>
      <c r="N5" s="26" t="s">
        <v>37</v>
      </c>
      <c r="O5" s="9"/>
      <c r="P5" s="26" t="s">
        <v>38</v>
      </c>
      <c r="Q5" s="1"/>
      <c r="R5" s="29" t="s">
        <v>13</v>
      </c>
      <c r="S5" s="29"/>
      <c r="T5" s="29" t="s">
        <v>39</v>
      </c>
      <c r="U5" s="29"/>
      <c r="V5" s="29" t="s">
        <v>40</v>
      </c>
    </row>
    <row r="6" customFormat="false" ht="12.75" hidden="false" customHeight="false" outlineLevel="0" collapsed="false"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R6" s="7"/>
      <c r="S6" s="7"/>
      <c r="T6" s="7"/>
      <c r="U6" s="7"/>
      <c r="V6" s="7"/>
    </row>
    <row r="7" customFormat="false" ht="12.75" hidden="false" customHeight="false" outlineLevel="0" collapsed="false">
      <c r="B7" s="0" t="s">
        <v>9</v>
      </c>
      <c r="D7" s="30" t="n">
        <f aca="false">SUM(F7:N7)</f>
        <v>2191.77880935</v>
      </c>
      <c r="E7" s="31"/>
      <c r="F7" s="30" t="n">
        <v>2052.62703987</v>
      </c>
      <c r="G7" s="30"/>
      <c r="H7" s="30" t="n">
        <v>91.01688937</v>
      </c>
      <c r="I7" s="30"/>
      <c r="J7" s="30" t="n">
        <v>12.743778</v>
      </c>
      <c r="K7" s="30"/>
      <c r="L7" s="30" t="n">
        <v>10.6970192</v>
      </c>
      <c r="M7" s="30"/>
      <c r="N7" s="30" t="n">
        <v>24.69408291</v>
      </c>
      <c r="O7" s="32" t="n">
        <v>-1</v>
      </c>
      <c r="P7" s="33" t="n">
        <v>0.978</v>
      </c>
      <c r="R7" s="30" t="n">
        <f aca="false">SUM(T7:V7)</f>
        <v>-1934.88599777</v>
      </c>
      <c r="S7" s="30"/>
      <c r="T7" s="30" t="n">
        <v>-1904.75757516</v>
      </c>
      <c r="U7" s="30"/>
      <c r="V7" s="30" t="n">
        <v>-30.12842261</v>
      </c>
      <c r="AC7" s="0" t="s">
        <v>41</v>
      </c>
      <c r="AF7" s="0" t="s">
        <v>42</v>
      </c>
    </row>
    <row r="8" customFormat="false" ht="12.75" hidden="false" customHeight="false" outlineLevel="0" collapsed="false">
      <c r="B8" s="0" t="s">
        <v>10</v>
      </c>
      <c r="D8" s="34" t="n">
        <f aca="false">SUM(F8:N8)</f>
        <v>5.84458989</v>
      </c>
      <c r="E8" s="35"/>
      <c r="F8" s="34" t="n">
        <v>5.84458989</v>
      </c>
      <c r="G8" s="34"/>
      <c r="H8" s="34" t="n">
        <v>0</v>
      </c>
      <c r="I8" s="34"/>
      <c r="J8" s="34" t="n">
        <v>0</v>
      </c>
      <c r="K8" s="34"/>
      <c r="L8" s="34" t="n">
        <v>0</v>
      </c>
      <c r="M8" s="34"/>
      <c r="N8" s="34" t="n">
        <v>0</v>
      </c>
      <c r="O8" s="32"/>
      <c r="P8" s="33"/>
      <c r="R8" s="36" t="n">
        <f aca="false">SUM(T8:V8)</f>
        <v>-3.63896728</v>
      </c>
      <c r="S8" s="37"/>
      <c r="T8" s="36" t="n">
        <v>-3.63896728</v>
      </c>
      <c r="U8" s="37"/>
      <c r="V8" s="38" t="n">
        <v>0</v>
      </c>
      <c r="AC8" s="0" t="s">
        <v>10</v>
      </c>
      <c r="AF8" s="0" t="s">
        <v>10</v>
      </c>
    </row>
    <row r="9" customFormat="false" ht="15.75" hidden="false" customHeight="false" outlineLevel="0" collapsed="false">
      <c r="B9" s="0" t="s">
        <v>43</v>
      </c>
      <c r="D9" s="34" t="n">
        <f aca="false">SUM(F9:N9)</f>
        <v>35.36899493</v>
      </c>
      <c r="E9" s="35"/>
      <c r="F9" s="34" t="n">
        <v>23.5815712</v>
      </c>
      <c r="G9" s="34"/>
      <c r="H9" s="34" t="n">
        <v>0.299085189999998</v>
      </c>
      <c r="I9" s="34"/>
      <c r="J9" s="34" t="n">
        <v>0.20369773</v>
      </c>
      <c r="K9" s="34"/>
      <c r="L9" s="34" t="n">
        <v>0.28488649</v>
      </c>
      <c r="M9" s="34"/>
      <c r="N9" s="34" t="n">
        <v>10.99975432</v>
      </c>
      <c r="O9" s="32" t="n">
        <v>-2</v>
      </c>
      <c r="P9" s="33" t="n">
        <v>0.99</v>
      </c>
      <c r="R9" s="36" t="n">
        <f aca="false">SUM(T9:V9)</f>
        <v>-23.88094285</v>
      </c>
      <c r="S9" s="37"/>
      <c r="T9" s="36" t="n">
        <v>-23.88094285</v>
      </c>
      <c r="U9" s="37"/>
      <c r="V9" s="36" t="n">
        <v>0</v>
      </c>
      <c r="AC9" s="0" t="s">
        <v>44</v>
      </c>
      <c r="AF9" s="0" t="s">
        <v>45</v>
      </c>
    </row>
    <row r="10" customFormat="false" ht="15.75" hidden="false" customHeight="false" outlineLevel="0" collapsed="false">
      <c r="B10" s="0" t="s">
        <v>46</v>
      </c>
      <c r="D10" s="34" t="n">
        <f aca="false">SUM(F10:N10)</f>
        <v>19.0327965</v>
      </c>
      <c r="E10" s="35"/>
      <c r="F10" s="34" t="n">
        <v>7.41208812</v>
      </c>
      <c r="G10" s="34"/>
      <c r="H10" s="34" t="n">
        <v>9.96553086</v>
      </c>
      <c r="I10" s="34"/>
      <c r="J10" s="34" t="n">
        <v>0.52884503</v>
      </c>
      <c r="K10" s="34"/>
      <c r="L10" s="34" t="n">
        <v>1.15837497</v>
      </c>
      <c r="M10" s="34"/>
      <c r="N10" s="34" t="n">
        <v>-0.03204248</v>
      </c>
      <c r="O10" s="32"/>
      <c r="P10" s="39" t="n">
        <v>0.99</v>
      </c>
      <c r="R10" s="36" t="n">
        <f aca="false">SUM(T10:V10)</f>
        <v>-18.156037</v>
      </c>
      <c r="S10" s="37"/>
      <c r="T10" s="36" t="n">
        <v>-17.20604942</v>
      </c>
      <c r="U10" s="37"/>
      <c r="V10" s="36" t="n">
        <v>-0.94998758</v>
      </c>
      <c r="AC10" s="0" t="s">
        <v>46</v>
      </c>
      <c r="AF10" s="0" t="s">
        <v>46</v>
      </c>
    </row>
    <row r="11" customFormat="false" ht="12.75" hidden="false" customHeight="false" outlineLevel="0" collapsed="false">
      <c r="B11" s="0" t="s">
        <v>47</v>
      </c>
      <c r="D11" s="34" t="n">
        <f aca="false">SUM(F11:N11)</f>
        <v>20.26329761</v>
      </c>
      <c r="E11" s="35"/>
      <c r="F11" s="34" t="n">
        <v>14.19127438</v>
      </c>
      <c r="G11" s="34"/>
      <c r="H11" s="34" t="n">
        <v>4.2026916</v>
      </c>
      <c r="I11" s="34"/>
      <c r="J11" s="34" t="n">
        <v>1.95984471</v>
      </c>
      <c r="K11" s="34"/>
      <c r="L11" s="34" t="n">
        <v>-0.03678331</v>
      </c>
      <c r="M11" s="34"/>
      <c r="N11" s="34" t="n">
        <v>-0.05372977</v>
      </c>
      <c r="O11" s="32"/>
      <c r="P11" s="33"/>
      <c r="R11" s="36" t="n">
        <f aca="false">SUM(T11:V11)</f>
        <v>-21.26566286</v>
      </c>
      <c r="S11" s="37"/>
      <c r="T11" s="36" t="n">
        <v>-21.26566286</v>
      </c>
      <c r="U11" s="37"/>
      <c r="V11" s="38" t="n">
        <v>0</v>
      </c>
      <c r="AC11" s="0" t="s">
        <v>47</v>
      </c>
      <c r="AF11" s="0" t="s">
        <v>47</v>
      </c>
    </row>
    <row r="12" customFormat="false" ht="15.75" hidden="false" customHeight="false" outlineLevel="0" collapsed="false">
      <c r="B12" s="0" t="s">
        <v>48</v>
      </c>
      <c r="D12" s="34" t="n">
        <f aca="false">SUM(F12:N12)</f>
        <v>4.118576</v>
      </c>
      <c r="E12" s="35"/>
      <c r="F12" s="34" t="n">
        <v>4.104638</v>
      </c>
      <c r="G12" s="34"/>
      <c r="H12" s="34" t="n">
        <v>-0.235347</v>
      </c>
      <c r="I12" s="34"/>
      <c r="J12" s="34" t="n">
        <v>-0.014018</v>
      </c>
      <c r="K12" s="34"/>
      <c r="L12" s="34" t="n">
        <v>-0.166234</v>
      </c>
      <c r="M12" s="34"/>
      <c r="N12" s="34" t="n">
        <v>0.429537</v>
      </c>
      <c r="O12" s="32"/>
      <c r="P12" s="33"/>
      <c r="R12" s="36" t="n">
        <f aca="false">SUM(T12:V12)</f>
        <v>-1.282261</v>
      </c>
      <c r="S12" s="37"/>
      <c r="T12" s="36" t="n">
        <v>-0.581482</v>
      </c>
      <c r="U12" s="37"/>
      <c r="V12" s="36" t="n">
        <v>-0.700779</v>
      </c>
      <c r="AC12" s="0" t="s">
        <v>48</v>
      </c>
      <c r="AF12" s="0" t="s">
        <v>48</v>
      </c>
    </row>
    <row r="13" customFormat="false" ht="12.75" hidden="false" customHeight="false" outlineLevel="0" collapsed="false">
      <c r="B13" s="0" t="s">
        <v>49</v>
      </c>
      <c r="D13" s="34" t="n">
        <f aca="false">SUM(F13:N13)</f>
        <v>14.68435487</v>
      </c>
      <c r="E13" s="35"/>
      <c r="F13" s="34" t="n">
        <v>19.98458253</v>
      </c>
      <c r="G13" s="34"/>
      <c r="H13" s="34" t="n">
        <v>1.76817174</v>
      </c>
      <c r="I13" s="34"/>
      <c r="J13" s="34" t="n">
        <v>-4.23647468</v>
      </c>
      <c r="K13" s="32" t="n">
        <v>-3</v>
      </c>
      <c r="L13" s="34" t="n">
        <v>0</v>
      </c>
      <c r="M13" s="32"/>
      <c r="N13" s="34" t="n">
        <v>0.16807528</v>
      </c>
      <c r="O13" s="32"/>
      <c r="P13" s="33" t="n">
        <v>1</v>
      </c>
      <c r="R13" s="36" t="n">
        <f aca="false">SUM(T13:V13)</f>
        <v>-30.00835908</v>
      </c>
      <c r="S13" s="37"/>
      <c r="T13" s="36" t="n">
        <v>-30.00835908</v>
      </c>
      <c r="U13" s="37"/>
      <c r="V13" s="38" t="n">
        <v>0</v>
      </c>
      <c r="AC13" s="0" t="s">
        <v>49</v>
      </c>
      <c r="AF13" s="0" t="s">
        <v>49</v>
      </c>
    </row>
    <row r="14" customFormat="false" ht="12.75" hidden="false" customHeight="false" outlineLevel="0" collapsed="false">
      <c r="B14" s="0" t="s">
        <v>50</v>
      </c>
      <c r="D14" s="34" t="n">
        <f aca="false">SUM(F14:N14)</f>
        <v>50.10920737</v>
      </c>
      <c r="E14" s="35"/>
      <c r="F14" s="34" t="n">
        <v>50.10920737</v>
      </c>
      <c r="G14" s="34"/>
      <c r="H14" s="34" t="n">
        <v>0</v>
      </c>
      <c r="I14" s="34"/>
      <c r="J14" s="34" t="n">
        <v>0</v>
      </c>
      <c r="K14" s="34"/>
      <c r="L14" s="34" t="n">
        <v>0</v>
      </c>
      <c r="M14" s="34"/>
      <c r="N14" s="34" t="n">
        <v>0</v>
      </c>
      <c r="O14" s="32"/>
      <c r="P14" s="33"/>
      <c r="R14" s="36" t="n">
        <f aca="false">SUM(T14:V14)</f>
        <v>-47.18777406</v>
      </c>
      <c r="S14" s="37"/>
      <c r="T14" s="36" t="n">
        <v>-45.52473241</v>
      </c>
      <c r="U14" s="37"/>
      <c r="V14" s="36" t="n">
        <v>-1.66304165</v>
      </c>
      <c r="AC14" s="0" t="s">
        <v>50</v>
      </c>
      <c r="AF14" s="0" t="s">
        <v>50</v>
      </c>
    </row>
    <row r="15" customFormat="false" ht="13.5" hidden="false" customHeight="false" outlineLevel="0" collapsed="false">
      <c r="B15" s="12" t="s">
        <v>13</v>
      </c>
      <c r="D15" s="40" t="n">
        <f aca="false">SUM(D7:D14)-0.3</f>
        <v>2340.90062652</v>
      </c>
      <c r="E15" s="40"/>
      <c r="F15" s="40" t="n">
        <f aca="false">SUM(F7:F14)</f>
        <v>2177.85499136</v>
      </c>
      <c r="G15" s="40"/>
      <c r="H15" s="40" t="n">
        <f aca="false">SUM(H7:H14)</f>
        <v>107.01702176</v>
      </c>
      <c r="I15" s="41"/>
      <c r="J15" s="40" t="n">
        <f aca="false">SUM(J7:J14)</f>
        <v>11.18567279</v>
      </c>
      <c r="K15" s="41"/>
      <c r="L15" s="40" t="n">
        <f aca="false">SUM(L7:L14)</f>
        <v>11.93726335</v>
      </c>
      <c r="M15" s="40"/>
      <c r="N15" s="40" t="n">
        <f aca="false">SUM(N7:N14)</f>
        <v>36.20567726</v>
      </c>
      <c r="O15" s="2"/>
      <c r="P15" s="11"/>
      <c r="R15" s="40" t="n">
        <f aca="false">SUM(R7:R14)</f>
        <v>-2080.3060019</v>
      </c>
      <c r="S15" s="40"/>
      <c r="T15" s="40" t="n">
        <f aca="false">SUM(T7:T14)</f>
        <v>-2046.86377106</v>
      </c>
      <c r="U15" s="40"/>
      <c r="V15" s="40" t="n">
        <f aca="false">SUM(V7:V14)</f>
        <v>-33.44223084</v>
      </c>
    </row>
    <row r="16" customFormat="false" ht="13.5" hidden="false" customHeight="false" outlineLevel="0" collapsed="false">
      <c r="B16" s="12"/>
      <c r="D16" s="2"/>
      <c r="E16" s="2"/>
      <c r="F16" s="2"/>
      <c r="G16" s="2"/>
      <c r="H16" s="2"/>
      <c r="I16" s="37"/>
      <c r="J16" s="2"/>
      <c r="K16" s="2"/>
      <c r="L16" s="2"/>
      <c r="M16" s="2"/>
      <c r="N16" s="2"/>
      <c r="O16" s="2"/>
    </row>
    <row r="17" customFormat="false" ht="12.75" hidden="false" customHeight="false" outlineLevel="0" collapsed="false"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customFormat="false" ht="12.75" hidden="false" customHeight="false" outlineLevel="0" collapsed="false"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customFormat="false" ht="12.75" hidden="false" customHeight="false" outlineLevel="0" collapsed="false"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customFormat="false" ht="12.75" hidden="false" customHeight="false" outlineLevel="0" collapsed="false"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customFormat="false" ht="12.75" hidden="false" customHeight="false" outlineLevel="0" collapsed="false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customFormat="false" ht="12.75" hidden="false" customHeight="false" outlineLevel="0" collapsed="false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customFormat="false" ht="12.75" hidden="false" customHeight="false" outlineLevel="0" collapsed="false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customFormat="false" ht="12.75" hidden="false" customHeight="false" outlineLevel="0" collapsed="false"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customFormat="false" ht="12.75" hidden="false" customHeight="false" outlineLevel="0" collapsed="false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customFormat="false" ht="12.75" hidden="false" customHeight="false" outlineLevel="0" collapsed="false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customFormat="false" ht="12.75" hidden="false" customHeight="false" outlineLevel="0" collapsed="false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customFormat="false" ht="12.75" hidden="false" customHeight="false" outlineLevel="0" collapsed="false"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customFormat="false" ht="12.75" hidden="false" customHeight="false" outlineLevel="0" collapsed="false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customFormat="false" ht="12.75" hidden="false" customHeight="false" outlineLevel="0" collapsed="false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customFormat="false" ht="12.75" hidden="false" customHeight="false" outlineLevel="0" collapsed="false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customFormat="false" ht="12.75" hidden="false" customHeight="false" outlineLevel="0" collapsed="false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customFormat="false" ht="12.75" hidden="false" customHeight="false" outlineLevel="0" collapsed="false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customFormat="false" ht="12.75" hidden="false" customHeight="false" outlineLevel="0" collapsed="false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customFormat="false" ht="12.75" hidden="false" customHeight="false" outlineLevel="0" collapsed="false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customFormat="false" ht="12.75" hidden="false" customHeight="false" outlineLevel="0" collapsed="false">
      <c r="D36" s="2"/>
      <c r="E36" s="2"/>
      <c r="F36" s="2"/>
      <c r="G36" s="2"/>
      <c r="H36" s="2"/>
      <c r="I36" s="42" t="s">
        <v>51</v>
      </c>
      <c r="J36" s="43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5"/>
      <c r="Y36" s="46"/>
    </row>
    <row r="37" customFormat="false" ht="12.75" hidden="false" customHeight="false" outlineLevel="0" collapsed="false">
      <c r="D37" s="2"/>
      <c r="E37" s="2"/>
      <c r="F37" s="2"/>
      <c r="G37" s="2"/>
      <c r="H37" s="2"/>
      <c r="I37" s="47" t="n">
        <v>-1</v>
      </c>
      <c r="J37" s="48" t="s">
        <v>52</v>
      </c>
      <c r="K37" s="2"/>
      <c r="L37" s="2"/>
      <c r="M37" s="2"/>
      <c r="N37" s="2"/>
      <c r="O37" s="2"/>
      <c r="P37" s="16"/>
      <c r="Q37" s="16"/>
      <c r="R37" s="16"/>
      <c r="S37" s="16"/>
      <c r="T37" s="16"/>
      <c r="U37" s="16"/>
      <c r="V37" s="16"/>
      <c r="W37" s="16"/>
      <c r="X37" s="16"/>
      <c r="Y37" s="49"/>
    </row>
    <row r="38" customFormat="false" ht="12.75" hidden="false" customHeight="false" outlineLevel="0" collapsed="false">
      <c r="D38" s="2"/>
      <c r="E38" s="2"/>
      <c r="F38" s="2"/>
      <c r="G38" s="2"/>
      <c r="H38" s="2"/>
      <c r="I38" s="47"/>
      <c r="J38" s="2" t="s">
        <v>53</v>
      </c>
      <c r="K38" s="2"/>
      <c r="L38" s="2"/>
      <c r="M38" s="2"/>
      <c r="N38" s="2"/>
      <c r="O38" s="2"/>
      <c r="P38" s="16"/>
      <c r="Q38" s="16"/>
      <c r="R38" s="16"/>
      <c r="S38" s="16"/>
      <c r="T38" s="16"/>
      <c r="U38" s="16"/>
      <c r="V38" s="16"/>
      <c r="W38" s="16"/>
      <c r="X38" s="16"/>
      <c r="Y38" s="49"/>
    </row>
    <row r="39" customFormat="false" ht="12.75" hidden="false" customHeight="false" outlineLevel="0" collapsed="false">
      <c r="B39" s="16"/>
      <c r="C39" s="16"/>
      <c r="D39" s="50"/>
      <c r="E39" s="50"/>
      <c r="F39" s="50"/>
      <c r="G39" s="50"/>
      <c r="H39" s="50"/>
      <c r="I39" s="47"/>
      <c r="J39" s="2" t="s">
        <v>54</v>
      </c>
      <c r="K39" s="2"/>
      <c r="L39" s="2"/>
      <c r="M39" s="2"/>
      <c r="N39" s="2"/>
      <c r="O39" s="2"/>
      <c r="P39" s="16"/>
      <c r="Q39" s="16"/>
      <c r="R39" s="16"/>
      <c r="S39" s="16"/>
      <c r="T39" s="16"/>
      <c r="U39" s="16"/>
      <c r="V39" s="16"/>
      <c r="W39" s="16"/>
      <c r="X39" s="16"/>
      <c r="Y39" s="49"/>
    </row>
    <row r="40" customFormat="false" ht="12.75" hidden="false" customHeight="false" outlineLevel="0" collapsed="false">
      <c r="B40" s="16"/>
      <c r="C40" s="16"/>
      <c r="D40" s="7"/>
      <c r="E40" s="7"/>
      <c r="F40" s="7"/>
      <c r="G40" s="7"/>
      <c r="H40" s="7"/>
      <c r="I40" s="47"/>
      <c r="J40" s="48"/>
      <c r="K40" s="2"/>
      <c r="L40" s="2"/>
      <c r="M40" s="7"/>
      <c r="N40" s="2"/>
      <c r="O40" s="2"/>
      <c r="P40" s="16"/>
      <c r="Q40" s="16"/>
      <c r="R40" s="16"/>
      <c r="S40" s="16"/>
      <c r="T40" s="16"/>
      <c r="U40" s="16"/>
      <c r="V40" s="16"/>
      <c r="W40" s="16"/>
      <c r="X40" s="16"/>
      <c r="Y40" s="49"/>
    </row>
    <row r="41" customFormat="false" ht="12.75" hidden="false" customHeight="false" outlineLevel="0" collapsed="false">
      <c r="B41" s="16"/>
      <c r="C41" s="16"/>
      <c r="D41" s="7"/>
      <c r="E41" s="7"/>
      <c r="F41" s="7"/>
      <c r="G41" s="7"/>
      <c r="H41" s="7"/>
      <c r="I41" s="47" t="n">
        <v>-2</v>
      </c>
      <c r="J41" s="48" t="s">
        <v>55</v>
      </c>
      <c r="K41" s="2"/>
      <c r="L41" s="2"/>
      <c r="M41" s="7"/>
      <c r="N41" s="2"/>
      <c r="O41" s="2"/>
      <c r="P41" s="16"/>
      <c r="Q41" s="16"/>
      <c r="R41" s="16"/>
      <c r="S41" s="16"/>
      <c r="T41" s="16"/>
      <c r="U41" s="16"/>
      <c r="V41" s="16"/>
      <c r="W41" s="16"/>
      <c r="X41" s="16"/>
      <c r="Y41" s="49"/>
    </row>
    <row r="42" customFormat="false" ht="12.75" hidden="false" customHeight="false" outlineLevel="0" collapsed="false">
      <c r="B42" s="16"/>
      <c r="C42" s="16"/>
      <c r="D42" s="2"/>
      <c r="E42" s="2"/>
      <c r="F42" s="2"/>
      <c r="G42" s="2"/>
      <c r="H42" s="2"/>
      <c r="I42" s="47"/>
      <c r="J42" s="2" t="s">
        <v>56</v>
      </c>
      <c r="K42" s="2"/>
      <c r="L42" s="2"/>
      <c r="M42" s="2"/>
      <c r="N42" s="2"/>
      <c r="O42" s="2"/>
      <c r="P42" s="16"/>
      <c r="Q42" s="16"/>
      <c r="R42" s="16"/>
      <c r="S42" s="16"/>
      <c r="T42" s="16"/>
      <c r="U42" s="16"/>
      <c r="V42" s="16"/>
      <c r="W42" s="16"/>
      <c r="X42" s="16"/>
      <c r="Y42" s="49"/>
    </row>
    <row r="43" customFormat="false" ht="12.75" hidden="false" customHeight="false" outlineLevel="0" collapsed="false">
      <c r="B43" s="16"/>
      <c r="C43" s="16"/>
      <c r="D43" s="37"/>
      <c r="E43" s="37"/>
      <c r="F43" s="37"/>
      <c r="G43" s="37"/>
      <c r="H43" s="37"/>
      <c r="I43" s="47"/>
      <c r="J43" s="2" t="s">
        <v>57</v>
      </c>
      <c r="K43" s="2"/>
      <c r="L43" s="2"/>
      <c r="M43" s="2"/>
      <c r="N43" s="2"/>
      <c r="O43" s="2"/>
      <c r="P43" s="16"/>
      <c r="Q43" s="16"/>
      <c r="R43" s="16"/>
      <c r="S43" s="16"/>
      <c r="T43" s="16"/>
      <c r="U43" s="16"/>
      <c r="V43" s="16"/>
      <c r="W43" s="16"/>
      <c r="X43" s="16"/>
      <c r="Y43" s="49"/>
    </row>
    <row r="44" customFormat="false" ht="12.75" hidden="false" customHeight="false" outlineLevel="0" collapsed="false">
      <c r="B44" s="16"/>
      <c r="C44" s="16"/>
      <c r="D44" s="37"/>
      <c r="E44" s="37"/>
      <c r="F44" s="37"/>
      <c r="G44" s="37"/>
      <c r="H44" s="37"/>
      <c r="I44" s="47"/>
      <c r="J44" s="37"/>
      <c r="K44" s="7"/>
      <c r="L44" s="7"/>
      <c r="M44" s="37"/>
      <c r="N44" s="2"/>
      <c r="O44" s="2"/>
      <c r="P44" s="16"/>
      <c r="Q44" s="16"/>
      <c r="R44" s="16"/>
      <c r="S44" s="16"/>
      <c r="T44" s="16"/>
      <c r="U44" s="16"/>
      <c r="V44" s="16"/>
      <c r="W44" s="16"/>
      <c r="X44" s="16"/>
      <c r="Y44" s="49"/>
    </row>
    <row r="45" customFormat="false" ht="12.75" hidden="false" customHeight="false" outlineLevel="0" collapsed="false">
      <c r="B45" s="16"/>
      <c r="C45" s="16"/>
      <c r="D45" s="37"/>
      <c r="E45" s="37"/>
      <c r="F45" s="37"/>
      <c r="G45" s="37"/>
      <c r="H45" s="37"/>
      <c r="I45" s="47" t="n">
        <v>-3</v>
      </c>
      <c r="J45" s="37" t="s">
        <v>58</v>
      </c>
      <c r="K45" s="7"/>
      <c r="L45" s="7"/>
      <c r="M45" s="37"/>
      <c r="N45" s="2"/>
      <c r="O45" s="2"/>
      <c r="P45" s="16"/>
      <c r="Q45" s="16"/>
      <c r="R45" s="16"/>
      <c r="S45" s="16"/>
      <c r="T45" s="16"/>
      <c r="U45" s="16"/>
      <c r="V45" s="16"/>
      <c r="W45" s="16"/>
      <c r="X45" s="16"/>
      <c r="Y45" s="49"/>
    </row>
    <row r="46" customFormat="false" ht="12.75" hidden="false" customHeight="false" outlineLevel="0" collapsed="false">
      <c r="B46" s="16"/>
      <c r="C46" s="16"/>
      <c r="D46" s="37"/>
      <c r="E46" s="37"/>
      <c r="F46" s="37"/>
      <c r="G46" s="37"/>
      <c r="H46" s="37"/>
      <c r="I46" s="47"/>
      <c r="J46" s="37" t="s">
        <v>59</v>
      </c>
      <c r="K46" s="2"/>
      <c r="L46" s="2"/>
      <c r="M46" s="37"/>
      <c r="N46" s="2"/>
      <c r="O46" s="2"/>
      <c r="P46" s="16"/>
      <c r="Q46" s="16"/>
      <c r="R46" s="16"/>
      <c r="S46" s="16"/>
      <c r="T46" s="16"/>
      <c r="U46" s="16"/>
      <c r="V46" s="16"/>
      <c r="W46" s="16"/>
      <c r="X46" s="16"/>
      <c r="Y46" s="49"/>
    </row>
    <row r="47" customFormat="false" ht="12.75" hidden="false" customHeight="false" outlineLevel="0" collapsed="false">
      <c r="B47" s="16"/>
      <c r="C47" s="16"/>
      <c r="D47" s="37"/>
      <c r="E47" s="37"/>
      <c r="F47" s="37"/>
      <c r="G47" s="37"/>
      <c r="H47" s="37"/>
      <c r="I47" s="47"/>
      <c r="J47" s="37"/>
      <c r="K47" s="37"/>
      <c r="L47" s="37"/>
      <c r="M47" s="37"/>
      <c r="N47" s="2"/>
      <c r="O47" s="2"/>
      <c r="P47" s="16"/>
      <c r="Q47" s="16"/>
      <c r="R47" s="16"/>
      <c r="S47" s="16"/>
      <c r="T47" s="16"/>
      <c r="U47" s="16"/>
      <c r="V47" s="16"/>
      <c r="W47" s="16"/>
      <c r="X47" s="16"/>
      <c r="Y47" s="49"/>
    </row>
    <row r="48" customFormat="false" ht="12.75" hidden="false" customHeight="false" outlineLevel="0" collapsed="false">
      <c r="B48" s="16"/>
      <c r="C48" s="16"/>
      <c r="D48" s="37"/>
      <c r="E48" s="37"/>
      <c r="F48" s="37"/>
      <c r="G48" s="37"/>
      <c r="H48" s="37"/>
      <c r="I48" s="47"/>
      <c r="J48" s="51"/>
      <c r="K48" s="7"/>
      <c r="L48" s="7"/>
      <c r="M48" s="37"/>
      <c r="N48" s="2"/>
      <c r="O48" s="2"/>
      <c r="P48" s="16"/>
      <c r="Q48" s="16"/>
      <c r="R48" s="16"/>
      <c r="S48" s="16"/>
      <c r="T48" s="16"/>
      <c r="U48" s="16"/>
      <c r="V48" s="16"/>
      <c r="W48" s="16"/>
      <c r="X48" s="16"/>
      <c r="Y48" s="49"/>
    </row>
    <row r="49" customFormat="false" ht="12.75" hidden="false" customHeight="false" outlineLevel="0" collapsed="false">
      <c r="B49" s="16"/>
      <c r="C49" s="16"/>
      <c r="D49" s="37"/>
      <c r="E49" s="37"/>
      <c r="F49" s="37"/>
      <c r="G49" s="37"/>
      <c r="H49" s="37"/>
      <c r="I49" s="47"/>
      <c r="J49" s="37"/>
      <c r="K49" s="37"/>
      <c r="L49" s="37"/>
      <c r="M49" s="37"/>
      <c r="N49" s="2"/>
      <c r="O49" s="2"/>
      <c r="P49" s="16"/>
      <c r="Q49" s="16"/>
      <c r="R49" s="16"/>
      <c r="S49" s="16"/>
      <c r="T49" s="16"/>
      <c r="U49" s="16"/>
      <c r="V49" s="16"/>
      <c r="W49" s="16"/>
      <c r="X49" s="16"/>
      <c r="Y49" s="49"/>
    </row>
    <row r="50" customFormat="false" ht="12.75" hidden="false" customHeight="false" outlineLevel="0" collapsed="false">
      <c r="B50" s="52"/>
      <c r="C50" s="16"/>
      <c r="D50" s="2"/>
      <c r="E50" s="2"/>
      <c r="F50" s="2"/>
      <c r="G50" s="2"/>
      <c r="H50" s="2"/>
      <c r="I50" s="53"/>
      <c r="J50" s="54"/>
      <c r="K50" s="54"/>
      <c r="L50" s="54"/>
      <c r="M50" s="54"/>
      <c r="N50" s="55"/>
      <c r="O50" s="55"/>
      <c r="P50" s="56"/>
      <c r="Q50" s="56"/>
      <c r="R50" s="56"/>
      <c r="S50" s="56"/>
      <c r="T50" s="56"/>
      <c r="U50" s="56"/>
      <c r="V50" s="56"/>
      <c r="W50" s="56"/>
      <c r="X50" s="56"/>
      <c r="Y50" s="57"/>
    </row>
    <row r="51" customFormat="false" ht="12.75" hidden="false" customHeight="false" outlineLevel="0" collapsed="false">
      <c r="B51" s="12"/>
      <c r="D51" s="10"/>
      <c r="E51" s="10"/>
      <c r="F51" s="10"/>
      <c r="G51" s="10"/>
      <c r="H51" s="10"/>
      <c r="I51" s="10"/>
      <c r="J51" s="2"/>
      <c r="K51" s="2"/>
      <c r="L51" s="2"/>
      <c r="M51" s="2"/>
      <c r="N51" s="2"/>
      <c r="O51" s="2"/>
    </row>
    <row r="52" customFormat="false" ht="12.75" hidden="true" customHeight="true" outlineLevel="0" collapsed="false">
      <c r="D52" s="26" t="s">
        <v>60</v>
      </c>
      <c r="E52" s="26"/>
      <c r="F52" s="26"/>
      <c r="G52" s="26"/>
      <c r="H52" s="58"/>
      <c r="K52" s="9"/>
      <c r="O52" s="2"/>
    </row>
    <row r="53" customFormat="false" ht="12.75" hidden="true" customHeight="false" outlineLevel="0" collapsed="false">
      <c r="D53" s="26" t="s">
        <v>61</v>
      </c>
      <c r="E53" s="26"/>
      <c r="F53" s="26" t="s">
        <v>62</v>
      </c>
      <c r="G53" s="26"/>
      <c r="H53" s="58"/>
      <c r="K53" s="9"/>
      <c r="O53" s="2"/>
    </row>
    <row r="54" customFormat="false" ht="12.75" hidden="true" customHeight="false" outlineLevel="0" collapsed="false">
      <c r="B54" s="0" t="s">
        <v>9</v>
      </c>
      <c r="D54" s="30" t="n">
        <v>1308.80247775</v>
      </c>
      <c r="E54" s="2"/>
      <c r="F54" s="30" t="n">
        <f aca="false">+'[1]Gas AR and AP'!B180/1000000</f>
        <v>1537.88707987</v>
      </c>
      <c r="G54" s="2"/>
      <c r="H54" s="59"/>
      <c r="J54" s="60"/>
      <c r="K54" s="2"/>
      <c r="O54" s="2"/>
    </row>
    <row r="55" customFormat="false" ht="12.75" hidden="true" customHeight="false" outlineLevel="0" collapsed="false">
      <c r="B55" s="0" t="s">
        <v>10</v>
      </c>
      <c r="D55" s="35" t="n">
        <v>395.78154175</v>
      </c>
      <c r="E55" s="37"/>
      <c r="F55" s="35" t="n">
        <f aca="false">(444795859.85+1345631.36)/1000000</f>
        <v>446.14149121</v>
      </c>
      <c r="G55" s="2"/>
      <c r="H55" s="59"/>
      <c r="J55" s="61"/>
      <c r="K55" s="2"/>
      <c r="O55" s="2"/>
    </row>
    <row r="56" customFormat="false" ht="15.75" hidden="true" customHeight="false" outlineLevel="0" collapsed="false">
      <c r="B56" s="0" t="s">
        <v>43</v>
      </c>
      <c r="D56" s="35" t="n">
        <v>1029.08972</v>
      </c>
      <c r="E56" s="37"/>
      <c r="F56" s="35" t="n">
        <v>1171.32</v>
      </c>
      <c r="G56" s="2"/>
      <c r="H56" s="59"/>
      <c r="J56" s="61"/>
      <c r="K56" s="59"/>
      <c r="O56" s="2"/>
    </row>
    <row r="57" customFormat="false" ht="15.75" hidden="true" customHeight="false" outlineLevel="0" collapsed="false">
      <c r="B57" s="0" t="s">
        <v>63</v>
      </c>
      <c r="D57" s="35" t="n">
        <v>1049.448803</v>
      </c>
      <c r="E57" s="37"/>
      <c r="F57" s="35" t="n">
        <f aca="false">1517643882/1000000</f>
        <v>1517.643882</v>
      </c>
      <c r="G57" s="2"/>
      <c r="H57" s="2"/>
      <c r="J57" s="61"/>
      <c r="K57" s="2"/>
      <c r="O57" s="2"/>
    </row>
    <row r="58" customFormat="false" ht="12.75" hidden="true" customHeight="false" outlineLevel="0" collapsed="false">
      <c r="B58" s="0" t="s">
        <v>47</v>
      </c>
      <c r="D58" s="35" t="n">
        <v>18.22713636</v>
      </c>
      <c r="E58" s="37"/>
      <c r="F58" s="35" t="n">
        <f aca="false">17568473.63/1000000</f>
        <v>17.56847363</v>
      </c>
      <c r="G58" s="2"/>
      <c r="H58" s="2"/>
      <c r="J58" s="61"/>
      <c r="K58" s="2"/>
      <c r="O58" s="2"/>
    </row>
    <row r="59" customFormat="false" ht="15.75" hidden="true" customHeight="false" outlineLevel="0" collapsed="false">
      <c r="B59" s="0" t="s">
        <v>64</v>
      </c>
      <c r="D59" s="35" t="n">
        <v>6.608</v>
      </c>
      <c r="E59" s="37"/>
      <c r="F59" s="35" t="n">
        <v>7.641</v>
      </c>
      <c r="G59" s="2"/>
      <c r="H59" s="2"/>
      <c r="J59" s="61"/>
      <c r="K59" s="2"/>
      <c r="O59" s="2"/>
    </row>
    <row r="60" customFormat="false" ht="12.75" hidden="true" customHeight="true" outlineLevel="0" collapsed="false">
      <c r="B60" s="0" t="s">
        <v>49</v>
      </c>
      <c r="D60" s="35" t="n">
        <v>125.289664</v>
      </c>
      <c r="E60" s="37"/>
      <c r="F60" s="35" t="n">
        <f aca="false">310360597/1000000</f>
        <v>310.360597</v>
      </c>
      <c r="G60" s="2"/>
      <c r="H60" s="2"/>
      <c r="J60" s="61"/>
      <c r="K60" s="2"/>
      <c r="O60" s="2"/>
    </row>
    <row r="61" customFormat="false" ht="12.75" hidden="true" customHeight="false" outlineLevel="0" collapsed="false">
      <c r="B61" s="0" t="s">
        <v>50</v>
      </c>
      <c r="D61" s="35" t="n">
        <v>27.09342557</v>
      </c>
      <c r="E61" s="37"/>
      <c r="F61" s="35" t="n">
        <f aca="false">(27093425.57)/1000000</f>
        <v>27.09342557</v>
      </c>
      <c r="G61" s="2"/>
      <c r="H61" s="2"/>
      <c r="J61" s="61"/>
      <c r="K61" s="2"/>
      <c r="O61" s="2"/>
    </row>
    <row r="62" customFormat="false" ht="13.5" hidden="true" customHeight="false" outlineLevel="0" collapsed="false">
      <c r="B62" s="12" t="s">
        <v>13</v>
      </c>
      <c r="D62" s="62" t="n">
        <f aca="false">SUM(D54:D61)</f>
        <v>3960.34076843</v>
      </c>
      <c r="E62" s="62"/>
      <c r="F62" s="62" t="n">
        <f aca="false">SUM(F54:F61)</f>
        <v>5035.65594928</v>
      </c>
      <c r="G62" s="63"/>
      <c r="H62" s="59"/>
      <c r="K62" s="2"/>
      <c r="O62" s="2"/>
    </row>
    <row r="63" customFormat="false" ht="13.5" hidden="true" customHeight="false" outlineLevel="0" collapsed="false">
      <c r="B63" s="12"/>
      <c r="D63" s="2"/>
      <c r="E63" s="2"/>
      <c r="F63" s="2"/>
      <c r="G63" s="2"/>
      <c r="H63" s="2"/>
      <c r="K63" s="59"/>
      <c r="O63" s="2"/>
    </row>
    <row r="64" customFormat="false" ht="12.75" hidden="true" customHeight="false" outlineLevel="0" collapsed="false">
      <c r="H64" s="16"/>
      <c r="K64" s="2"/>
      <c r="O64" s="2"/>
    </row>
    <row r="65" customFormat="false" ht="38.25" hidden="true" customHeight="false" outlineLevel="0" collapsed="false">
      <c r="B65" s="12"/>
      <c r="D65" s="26" t="s">
        <v>65</v>
      </c>
      <c r="E65" s="26"/>
      <c r="F65" s="26" t="s">
        <v>66</v>
      </c>
      <c r="K65" s="2"/>
      <c r="O65" s="2"/>
    </row>
    <row r="66" customFormat="false" ht="12.75" hidden="true" customHeight="false" outlineLevel="0" collapsed="false">
      <c r="B66" s="0" t="s">
        <v>9</v>
      </c>
      <c r="D66" s="30" t="n">
        <f aca="false">-2493459/1000000</f>
        <v>-2.493459</v>
      </c>
      <c r="E66" s="2"/>
      <c r="F66" s="33" t="n">
        <f aca="false">+D66/F54</f>
        <v>-0.00162135376038843</v>
      </c>
      <c r="K66" s="2"/>
      <c r="O66" s="2"/>
    </row>
    <row r="67" customFormat="false" ht="15.75" hidden="true" customHeight="false" outlineLevel="0" collapsed="false">
      <c r="B67" s="0" t="s">
        <v>43</v>
      </c>
      <c r="D67" s="35" t="n">
        <v>-0.36</v>
      </c>
      <c r="E67" s="2"/>
      <c r="F67" s="33" t="n">
        <f aca="false">+D67/F56</f>
        <v>-0.000307345558856675</v>
      </c>
      <c r="K67" s="2"/>
      <c r="O67" s="2"/>
    </row>
    <row r="68" customFormat="false" ht="13.5" hidden="true" customHeight="false" outlineLevel="0" collapsed="false">
      <c r="B68" s="12" t="s">
        <v>13</v>
      </c>
      <c r="D68" s="62" t="n">
        <f aca="false">SUM(D66:D67)</f>
        <v>-2.853459</v>
      </c>
      <c r="E68" s="63"/>
      <c r="F68" s="64" t="n">
        <f aca="false">SUM(F66:F67)</f>
        <v>-0.0019286993192451</v>
      </c>
      <c r="K68" s="2"/>
      <c r="O68" s="2"/>
    </row>
    <row r="69" customFormat="false" ht="13.5" hidden="true" customHeight="false" outlineLevel="0" collapsed="false">
      <c r="B69" s="12"/>
      <c r="D69" s="2"/>
      <c r="E69" s="2"/>
      <c r="F69" s="2"/>
      <c r="G69" s="2"/>
      <c r="H69" s="2"/>
      <c r="K69" s="2"/>
      <c r="O69" s="2"/>
    </row>
    <row r="70" customFormat="false" ht="12.75" hidden="true" customHeight="false" outlineLevel="0" collapsed="false">
      <c r="B70" s="12"/>
      <c r="D70" s="10"/>
      <c r="E70" s="10"/>
      <c r="F70" s="10"/>
      <c r="G70" s="10"/>
      <c r="H70" s="10"/>
      <c r="I70" s="10"/>
      <c r="J70" s="2"/>
      <c r="K70" s="2"/>
      <c r="L70" s="2"/>
      <c r="M70" s="2"/>
      <c r="N70" s="2"/>
      <c r="O70" s="2"/>
    </row>
    <row r="71" customFormat="false" ht="12.75" hidden="true" customHeight="false" outlineLevel="0" collapsed="false">
      <c r="B71" s="12"/>
      <c r="D71" s="65" t="s">
        <v>67</v>
      </c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Y71" s="66"/>
      <c r="Z71" s="66"/>
    </row>
    <row r="72" customFormat="false" ht="12.75" hidden="true" customHeight="false" outlineLevel="0" collapsed="false">
      <c r="B72" s="12"/>
      <c r="D72" s="67" t="s">
        <v>68</v>
      </c>
      <c r="E72" s="67"/>
      <c r="F72" s="67"/>
      <c r="G72" s="67"/>
      <c r="H72" s="67"/>
      <c r="I72" s="65"/>
      <c r="J72" s="67" t="s">
        <v>69</v>
      </c>
      <c r="K72" s="67"/>
      <c r="L72" s="67"/>
      <c r="M72" s="67"/>
      <c r="N72" s="67"/>
      <c r="O72" s="1"/>
      <c r="P72" s="67" t="s">
        <v>70</v>
      </c>
      <c r="Q72" s="67"/>
      <c r="R72" s="67"/>
      <c r="S72" s="67"/>
      <c r="T72" s="67"/>
      <c r="U72" s="1"/>
      <c r="V72" s="68" t="s">
        <v>71</v>
      </c>
      <c r="W72" s="68"/>
      <c r="X72" s="68"/>
      <c r="Y72" s="68"/>
      <c r="Z72" s="68"/>
    </row>
    <row r="73" customFormat="false" ht="25.5" hidden="true" customHeight="false" outlineLevel="0" collapsed="false">
      <c r="D73" s="8" t="s">
        <v>72</v>
      </c>
      <c r="E73" s="8"/>
      <c r="F73" s="8" t="s">
        <v>73</v>
      </c>
      <c r="G73" s="8"/>
      <c r="H73" s="8" t="s">
        <v>74</v>
      </c>
      <c r="I73" s="7"/>
      <c r="J73" s="8" t="s">
        <v>72</v>
      </c>
      <c r="K73" s="8"/>
      <c r="L73" s="8" t="s">
        <v>73</v>
      </c>
      <c r="M73" s="8"/>
      <c r="N73" s="8" t="s">
        <v>74</v>
      </c>
      <c r="P73" s="8" t="s">
        <v>72</v>
      </c>
      <c r="Q73" s="8"/>
      <c r="R73" s="8" t="s">
        <v>73</v>
      </c>
      <c r="S73" s="8"/>
      <c r="T73" s="8" t="s">
        <v>74</v>
      </c>
      <c r="V73" s="69" t="n">
        <v>36586</v>
      </c>
      <c r="W73" s="8"/>
      <c r="X73" s="6" t="n">
        <v>36617</v>
      </c>
      <c r="Y73" s="8"/>
      <c r="Z73" s="6" t="n">
        <v>36647</v>
      </c>
    </row>
    <row r="74" customFormat="false" ht="12.75" hidden="true" customHeight="false" outlineLevel="0" collapsed="false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P74" s="7"/>
      <c r="Q74" s="7"/>
      <c r="R74" s="7"/>
      <c r="S74" s="7"/>
      <c r="T74" s="7"/>
      <c r="W74" s="7"/>
      <c r="X74" s="7"/>
      <c r="Y74" s="7"/>
      <c r="Z74" s="7"/>
    </row>
    <row r="75" customFormat="false" ht="12.75" hidden="true" customHeight="false" outlineLevel="0" collapsed="false">
      <c r="B75" s="0" t="s">
        <v>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P75" s="2"/>
      <c r="Q75" s="2"/>
      <c r="R75" s="2"/>
      <c r="S75" s="2"/>
      <c r="T75" s="2"/>
      <c r="W75" s="2"/>
      <c r="X75" s="2"/>
      <c r="Y75" s="2"/>
      <c r="Z75" s="2"/>
    </row>
    <row r="76" customFormat="false" ht="12.75" hidden="true" customHeight="false" outlineLevel="0" collapsed="false">
      <c r="B76" s="0" t="s">
        <v>75</v>
      </c>
      <c r="D76" s="70" t="n">
        <f aca="false">46043181.92/1000000</f>
        <v>46.04318192</v>
      </c>
      <c r="E76" s="70"/>
      <c r="F76" s="70" t="n">
        <f aca="false">-94053201.12/1000000</f>
        <v>-94.05320112</v>
      </c>
      <c r="G76" s="70"/>
      <c r="H76" s="70" t="n">
        <f aca="false">+D76+F76</f>
        <v>-48.0100192</v>
      </c>
      <c r="I76" s="70"/>
      <c r="J76" s="70" t="n">
        <f aca="false">67549135.69/1000000</f>
        <v>67.54913569</v>
      </c>
      <c r="K76" s="70"/>
      <c r="L76" s="70" t="n">
        <f aca="false">-94053201.12/1000000</f>
        <v>-94.05320112</v>
      </c>
      <c r="M76" s="70"/>
      <c r="N76" s="70" t="n">
        <f aca="false">+J76+L76</f>
        <v>-26.50406543</v>
      </c>
      <c r="O76" s="70"/>
      <c r="P76" s="70" t="n">
        <f aca="false">76063100.47/1000000</f>
        <v>76.06310047</v>
      </c>
      <c r="Q76" s="70"/>
      <c r="R76" s="70" t="n">
        <f aca="false">-101962672.41/1000000</f>
        <v>-101.96267241</v>
      </c>
      <c r="S76" s="70"/>
      <c r="T76" s="70" t="n">
        <f aca="false">+P76+R76</f>
        <v>-25.89957194</v>
      </c>
      <c r="U76" s="71"/>
      <c r="V76" s="70" t="n">
        <f aca="false">4791057/1000000</f>
        <v>4.791057</v>
      </c>
      <c r="W76" s="70"/>
      <c r="X76" s="70" t="n">
        <f aca="false">-3869550/1000000</f>
        <v>-3.86955</v>
      </c>
      <c r="Y76" s="70"/>
      <c r="Z76" s="70" t="n">
        <f aca="false">470335/1000000</f>
        <v>0.470335</v>
      </c>
    </row>
    <row r="77" customFormat="false" ht="12.75" hidden="true" customHeight="false" outlineLevel="0" collapsed="false">
      <c r="B77" s="0" t="s">
        <v>76</v>
      </c>
      <c r="D77" s="34" t="n">
        <f aca="false">(7911961+5157872)/1000000</f>
        <v>13.069833</v>
      </c>
      <c r="E77" s="34"/>
      <c r="F77" s="34" t="n">
        <f aca="false">(-5595042-3186273)/1000000</f>
        <v>-8.781315</v>
      </c>
      <c r="G77" s="34"/>
      <c r="H77" s="34" t="n">
        <f aca="false">+D77+F77</f>
        <v>4.288518</v>
      </c>
      <c r="I77" s="34"/>
      <c r="J77" s="34" t="n">
        <f aca="false">(8549590+4647579)/1000000</f>
        <v>13.197169</v>
      </c>
      <c r="K77" s="34"/>
      <c r="L77" s="34" t="n">
        <f aca="false">(-4285337-3192825)/1000000</f>
        <v>-7.478162</v>
      </c>
      <c r="M77" s="34"/>
      <c r="N77" s="34" t="n">
        <f aca="false">+J77+L77</f>
        <v>5.719007</v>
      </c>
      <c r="O77" s="72"/>
      <c r="P77" s="34" t="n">
        <f aca="false">(3237030+3925034)/1000000</f>
        <v>7.162064</v>
      </c>
      <c r="Q77" s="34"/>
      <c r="R77" s="34" t="n">
        <f aca="false">(-2160397.87-2510570)/1000000</f>
        <v>-4.67096787</v>
      </c>
      <c r="S77" s="34"/>
      <c r="T77" s="34" t="n">
        <f aca="false">+P77+R77</f>
        <v>2.49109613</v>
      </c>
      <c r="U77" s="72"/>
      <c r="V77" s="35" t="n">
        <v>0.6</v>
      </c>
      <c r="W77" s="35"/>
      <c r="X77" s="35" t="n">
        <v>-1.7</v>
      </c>
      <c r="Y77" s="35"/>
      <c r="Z77" s="35" t="n">
        <f aca="false">+(997436+2208050)/1000000</f>
        <v>3.205486</v>
      </c>
    </row>
    <row r="78" customFormat="false" ht="13.5" hidden="true" customHeight="false" outlineLevel="0" collapsed="false">
      <c r="B78" s="12" t="s">
        <v>77</v>
      </c>
      <c r="D78" s="40" t="n">
        <f aca="false">SUM(D75:D77)</f>
        <v>59.11301492</v>
      </c>
      <c r="E78" s="30"/>
      <c r="F78" s="40" t="n">
        <f aca="false">SUM(F75:F77)</f>
        <v>-102.83451612</v>
      </c>
      <c r="G78" s="30"/>
      <c r="H78" s="40" t="n">
        <f aca="false">SUM(H75:H77)</f>
        <v>-43.7215012</v>
      </c>
      <c r="I78" s="30"/>
      <c r="J78" s="40" t="n">
        <f aca="false">SUM(J75:J77)</f>
        <v>80.74630469</v>
      </c>
      <c r="K78" s="30"/>
      <c r="L78" s="40" t="n">
        <f aca="false">SUM(L75:L77)</f>
        <v>-101.53136312</v>
      </c>
      <c r="M78" s="30"/>
      <c r="N78" s="40" t="n">
        <f aca="false">SUM(N75:N77)</f>
        <v>-20.78505843</v>
      </c>
      <c r="O78" s="71"/>
      <c r="P78" s="40" t="n">
        <f aca="false">SUM(P75:P77)</f>
        <v>83.22516447</v>
      </c>
      <c r="Q78" s="30"/>
      <c r="R78" s="40" t="n">
        <f aca="false">SUM(R75:R77)</f>
        <v>-106.63364028</v>
      </c>
      <c r="S78" s="30"/>
      <c r="T78" s="40" t="n">
        <f aca="false">SUM(T75:T77)</f>
        <v>-23.40847581</v>
      </c>
      <c r="U78" s="71"/>
      <c r="V78" s="40" t="n">
        <f aca="false">SUM(V75:V77)</f>
        <v>5.391057</v>
      </c>
      <c r="W78" s="30"/>
      <c r="X78" s="40" t="n">
        <f aca="false">SUM(X75:X77)</f>
        <v>-5.56955</v>
      </c>
      <c r="Y78" s="30"/>
      <c r="Z78" s="40" t="n">
        <f aca="false">SUM(Z75:Z77)</f>
        <v>3.675821</v>
      </c>
    </row>
    <row r="79" customFormat="false" ht="13.5" hidden="true" customHeight="false" outlineLevel="0" collapsed="false">
      <c r="B79" s="1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T79" s="2"/>
      <c r="U79" s="2"/>
      <c r="V79" s="2"/>
      <c r="W79" s="2"/>
      <c r="X79" s="2"/>
      <c r="Y79" s="2"/>
      <c r="Z79" s="2"/>
    </row>
    <row r="80" customFormat="false" ht="12.75" hidden="true" customHeight="false" outlineLevel="0" collapsed="false">
      <c r="B80" s="1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T80" s="2"/>
      <c r="U80" s="2"/>
      <c r="V80" s="2"/>
      <c r="W80" s="2"/>
      <c r="X80" s="2"/>
      <c r="Y80" s="2"/>
      <c r="Z80" s="2"/>
    </row>
    <row r="81" customFormat="false" ht="12.75" hidden="true" customHeight="false" outlineLevel="0" collapsed="false">
      <c r="B81" s="1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T81" s="2"/>
      <c r="U81" s="2"/>
      <c r="V81" s="2"/>
      <c r="W81" s="2"/>
      <c r="X81" s="2"/>
      <c r="Y81" s="2"/>
      <c r="Z81" s="2"/>
    </row>
    <row r="82" customFormat="false" ht="12.75" hidden="true" customHeight="false" outlineLevel="0" collapsed="false">
      <c r="B82" s="1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T82" s="2"/>
      <c r="U82" s="2"/>
      <c r="V82" s="2"/>
      <c r="W82" s="2"/>
      <c r="X82" s="2"/>
      <c r="Y82" s="2"/>
      <c r="Z82" s="2"/>
    </row>
    <row r="83" customFormat="false" ht="12.75" hidden="true" customHeight="false" outlineLevel="0" collapsed="false">
      <c r="B83" s="1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customFormat="false" ht="12.75" hidden="true" customHeight="false" outlineLevel="0" collapsed="false">
      <c r="B84" s="1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customFormat="false" ht="12.75" hidden="true" customHeight="false" outlineLevel="0" collapsed="false">
      <c r="B85" s="1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customFormat="false" ht="12.75" hidden="true" customHeight="false" outlineLevel="0" collapsed="false">
      <c r="B86" s="1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customFormat="false" ht="12.75" hidden="true" customHeight="false" outlineLevel="0" collapsed="false">
      <c r="B87" s="1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customFormat="false" ht="12.75" hidden="true" customHeight="false" outlineLevel="0" collapsed="false">
      <c r="B88" s="1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customFormat="false" ht="12.75" hidden="true" customHeight="false" outlineLevel="0" collapsed="false">
      <c r="B89" s="1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customFormat="false" ht="12.75" hidden="true" customHeight="false" outlineLevel="0" collapsed="false">
      <c r="B90" s="1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customFormat="false" ht="12.75" hidden="true" customHeight="false" outlineLevel="0" collapsed="false">
      <c r="B91" s="1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customFormat="false" ht="12.75" hidden="true" customHeight="false" outlineLevel="0" collapsed="false">
      <c r="B92" s="1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customFormat="false" ht="12.75" hidden="true" customHeight="false" outlineLevel="0" collapsed="false">
      <c r="B93" s="1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customFormat="false" ht="12.75" hidden="true" customHeight="false" outlineLevel="0" collapsed="false">
      <c r="B94" s="1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customFormat="false" ht="12.75" hidden="true" customHeight="false" outlineLevel="0" collapsed="false">
      <c r="B95" s="1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customFormat="false" ht="12.75" hidden="true" customHeight="false" outlineLevel="0" collapsed="false">
      <c r="B96" s="1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customFormat="false" ht="12.75" hidden="true" customHeight="false" outlineLevel="0" collapsed="false">
      <c r="B97" s="1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customFormat="false" ht="12.75" hidden="true" customHeight="false" outlineLevel="0" collapsed="false">
      <c r="B98" s="1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customFormat="false" ht="12.75" hidden="true" customHeight="false" outlineLevel="0" collapsed="false">
      <c r="B99" s="1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customFormat="false" ht="12.75" hidden="true" customHeight="false" outlineLevel="0" collapsed="false">
      <c r="B100" s="1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customFormat="false" ht="12.75" hidden="true" customHeight="false" outlineLevel="0" collapsed="false">
      <c r="B101" s="1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customFormat="false" ht="12.75" hidden="true" customHeight="false" outlineLevel="0" collapsed="false">
      <c r="B102" s="12"/>
      <c r="D102" s="2"/>
      <c r="E102" s="2"/>
      <c r="F102" s="2"/>
      <c r="G102" s="10"/>
      <c r="H102" s="73" t="n">
        <f aca="false">+V73</f>
        <v>36586</v>
      </c>
      <c r="I102" s="10"/>
      <c r="J102" s="2"/>
      <c r="K102" s="2"/>
      <c r="L102" s="2"/>
      <c r="M102" s="2"/>
      <c r="N102" s="2"/>
      <c r="O102" s="2"/>
    </row>
    <row r="103" customFormat="false" ht="12.75" hidden="true" customHeight="false" outlineLevel="0" collapsed="false">
      <c r="H103" s="74" t="n">
        <f aca="false">+X73</f>
        <v>36617</v>
      </c>
    </row>
    <row r="104" customFormat="false" ht="12.75" hidden="true" customHeight="false" outlineLevel="0" collapsed="false">
      <c r="H104" s="74" t="n">
        <f aca="false">+Z73</f>
        <v>36647</v>
      </c>
    </row>
    <row r="105" customFormat="false" ht="12.75" hidden="true" customHeight="false" outlineLevel="0" collapsed="false">
      <c r="H105" s="74"/>
    </row>
    <row r="106" customFormat="false" ht="12.75" hidden="true" customHeight="false" outlineLevel="0" collapsed="false">
      <c r="H106" s="74"/>
    </row>
    <row r="107" customFormat="false" ht="12.75" hidden="true" customHeight="false" outlineLevel="0" collapsed="false"/>
    <row r="108" customFormat="false" ht="12.75" hidden="true" customHeight="false" outlineLevel="0" collapsed="false"/>
    <row r="109" customFormat="false" ht="12.75" hidden="true" customHeight="false" outlineLevel="0" collapsed="false"/>
    <row r="110" customFormat="false" ht="12.75" hidden="true" customHeight="false" outlineLevel="0" collapsed="false"/>
    <row r="111" customFormat="false" ht="12.75" hidden="true" customHeight="false" outlineLevel="0" collapsed="false"/>
    <row r="112" customFormat="false" ht="12.75" hidden="true" customHeight="false" outlineLevel="0" collapsed="false"/>
    <row r="113" customFormat="false" ht="12.75" hidden="true" customHeight="false" outlineLevel="0" collapsed="false"/>
    <row r="114" customFormat="false" ht="12.75" hidden="true" customHeight="false" outlineLevel="0" collapsed="false"/>
    <row r="115" customFormat="false" ht="12.75" hidden="true" customHeight="false" outlineLevel="0" collapsed="false"/>
    <row r="116" customFormat="false" ht="12.75" hidden="true" customHeight="false" outlineLevel="0" collapsed="false"/>
    <row r="117" customFormat="false" ht="12.75" hidden="true" customHeight="false" outlineLevel="0" collapsed="false"/>
    <row r="118" customFormat="false" ht="12.75" hidden="true" customHeight="false" outlineLevel="0" collapsed="false"/>
    <row r="119" customFormat="false" ht="12.75" hidden="true" customHeight="false" outlineLevel="0" collapsed="false"/>
    <row r="120" customFormat="false" ht="12.75" hidden="true" customHeight="false" outlineLevel="0" collapsed="false"/>
    <row r="121" customFormat="false" ht="12.75" hidden="true" customHeight="false" outlineLevel="0" collapsed="false"/>
    <row r="122" customFormat="false" ht="12.75" hidden="true" customHeight="false" outlineLevel="0" collapsed="false"/>
    <row r="123" customFormat="false" ht="12.75" hidden="true" customHeight="false" outlineLevel="0" collapsed="false"/>
    <row r="124" customFormat="false" ht="12.75" hidden="true" customHeight="false" outlineLevel="0" collapsed="false"/>
    <row r="125" customFormat="false" ht="12.75" hidden="true" customHeight="false" outlineLevel="0" collapsed="false"/>
    <row r="126" customFormat="false" ht="12.75" hidden="true" customHeight="false" outlineLevel="0" collapsed="false">
      <c r="D126" s="0" t="s">
        <v>76</v>
      </c>
      <c r="F126" s="30" t="n">
        <f aca="false">(7957044+1658062)/1000000</f>
        <v>9.615106</v>
      </c>
      <c r="G126" s="30"/>
      <c r="H126" s="30" t="n">
        <f aca="false">(-4351793-1455855)/1000000</f>
        <v>-5.807648</v>
      </c>
      <c r="I126" s="30"/>
      <c r="J126" s="30" t="n">
        <f aca="false">+F126+H126</f>
        <v>3.807458</v>
      </c>
      <c r="K126" s="30"/>
      <c r="L126" s="30" t="n">
        <f aca="false">(7911961+5157872)/1000000</f>
        <v>13.069833</v>
      </c>
      <c r="M126" s="30"/>
      <c r="N126" s="30" t="n">
        <f aca="false">(-5595042-3186273)/1000000</f>
        <v>-8.781315</v>
      </c>
      <c r="O126" s="30"/>
      <c r="P126" s="30" t="n">
        <f aca="false">+L126+N126</f>
        <v>4.288518</v>
      </c>
      <c r="Q126" s="71"/>
      <c r="R126" s="30" t="n">
        <f aca="false">(8549590+4647579)/1000000</f>
        <v>13.197169</v>
      </c>
      <c r="S126" s="30"/>
      <c r="T126" s="30" t="n">
        <f aca="false">(-4285337-3192825)/1000000</f>
        <v>-7.478162</v>
      </c>
      <c r="U126" s="30"/>
      <c r="V126" s="30" t="n">
        <f aca="false">+R126+T126</f>
        <v>5.719007</v>
      </c>
      <c r="W126" s="71"/>
      <c r="X126" s="70" t="n">
        <v>-1.2</v>
      </c>
      <c r="Y126" s="70"/>
      <c r="Z126" s="70" t="n">
        <v>0.6</v>
      </c>
      <c r="AA126" s="70"/>
      <c r="AB126" s="70" t="n">
        <v>-1.7</v>
      </c>
    </row>
    <row r="127" customFormat="false" ht="12.75" hidden="true" customHeight="false" outlineLevel="0" collapsed="false"/>
    <row r="128" customFormat="false" ht="12.75" hidden="true" customHeight="false" outlineLevel="0" collapsed="false"/>
    <row r="129" customFormat="false" ht="12.75" hidden="true" customHeight="false" outlineLevel="0" collapsed="false"/>
    <row r="130" customFormat="false" ht="12.75" hidden="true" customHeight="false" outlineLevel="0" collapsed="false"/>
    <row r="131" customFormat="false" ht="12.75" hidden="true" customHeight="false" outlineLevel="0" collapsed="false"/>
    <row r="132" customFormat="false" ht="12.75" hidden="true" customHeight="false" outlineLevel="0" collapsed="false"/>
    <row r="133" customFormat="false" ht="12.75" hidden="true" customHeight="false" outlineLevel="0" collapsed="false"/>
    <row r="134" customFormat="false" ht="12.75" hidden="true" customHeight="false" outlineLevel="0" collapsed="false"/>
    <row r="135" customFormat="false" ht="12.75" hidden="true" customHeight="false" outlineLevel="0" collapsed="false"/>
    <row r="136" customFormat="false" ht="12.75" hidden="true" customHeight="false" outlineLevel="0" collapsed="false"/>
    <row r="137" customFormat="false" ht="12.75" hidden="true" customHeight="false" outlineLevel="0" collapsed="false"/>
    <row r="138" customFormat="false" ht="12.75" hidden="true" customHeight="false" outlineLevel="0" collapsed="false"/>
    <row r="139" customFormat="false" ht="12.75" hidden="true" customHeight="false" outlineLevel="0" collapsed="false"/>
    <row r="140" customFormat="false" ht="12.75" hidden="true" customHeight="false" outlineLevel="0" collapsed="false"/>
    <row r="141" customFormat="false" ht="12.75" hidden="true" customHeight="false" outlineLevel="0" collapsed="false"/>
    <row r="142" customFormat="false" ht="12.75" hidden="true" customHeight="false" outlineLevel="0" collapsed="false"/>
  </sheetData>
  <mergeCells count="9">
    <mergeCell ref="D4:N4"/>
    <mergeCell ref="R4:V4"/>
    <mergeCell ref="D39:H39"/>
    <mergeCell ref="D52:F52"/>
    <mergeCell ref="D71:T71"/>
    <mergeCell ref="D72:H72"/>
    <mergeCell ref="J72:N72"/>
    <mergeCell ref="P72:T72"/>
    <mergeCell ref="V72:Z72"/>
  </mergeCells>
  <printOptions headings="false" gridLines="false" gridLinesSet="true" horizontalCentered="false" verticalCentered="false"/>
  <pageMargins left="0" right="0" top="0.7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&amp;L&amp;8(a) Includes SO2 activity.
(b) Includes activity for Gas, Weather and Pulp and Paper. 
(c) Physical transactions only.&amp;R&amp;7Page &amp;P of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9"/>
    <col collapsed="false" customWidth="true" hidden="false" outlineLevel="0" max="2" min="2" style="0" width="25.82"/>
    <col collapsed="false" customWidth="true" hidden="false" outlineLevel="0" max="3" min="3" style="0" width="1.32"/>
    <col collapsed="false" customWidth="true" hidden="false" outlineLevel="0" max="4" min="4" style="0" width="16.65"/>
    <col collapsed="false" customWidth="true" hidden="false" outlineLevel="0" max="5" min="5" style="0" width="1.15"/>
    <col collapsed="false" customWidth="true" hidden="false" outlineLevel="0" max="6" min="6" style="0" width="11.32"/>
    <col collapsed="false" customWidth="true" hidden="false" outlineLevel="0" max="7" min="7" style="0" width="1.32"/>
    <col collapsed="false" customWidth="true" hidden="false" outlineLevel="0" max="8" min="8" style="0" width="14.49"/>
    <col collapsed="false" customWidth="true" hidden="false" outlineLevel="0" max="9" min="9" style="0" width="2.32"/>
    <col collapsed="false" customWidth="true" hidden="false" outlineLevel="0" max="10" min="10" style="0" width="13.65"/>
    <col collapsed="false" customWidth="true" hidden="false" outlineLevel="0" max="11" min="11" style="0" width="1.15"/>
    <col collapsed="false" customWidth="true" hidden="false" outlineLevel="0" max="12" min="12" style="0" width="11.49"/>
    <col collapsed="false" customWidth="true" hidden="false" outlineLevel="0" max="13" min="13" style="0" width="1.32"/>
    <col collapsed="false" customWidth="true" hidden="false" outlineLevel="0" max="14" min="14" style="0" width="14.65"/>
    <col collapsed="false" customWidth="true" hidden="false" outlineLevel="0" max="15" min="15" style="0" width="2.15"/>
    <col collapsed="false" customWidth="true" hidden="false" outlineLevel="0" max="16" min="16" style="0" width="15.99"/>
    <col collapsed="false" customWidth="true" hidden="false" outlineLevel="0" max="17" min="17" style="0" width="1.32"/>
    <col collapsed="false" customWidth="true" hidden="false" outlineLevel="0" max="18" min="18" style="0" width="12.65"/>
    <col collapsed="false" customWidth="true" hidden="false" outlineLevel="0" max="19" min="19" style="0" width="1.15"/>
    <col collapsed="false" customWidth="true" hidden="false" outlineLevel="0" max="20" min="20" style="0" width="15.65"/>
    <col collapsed="false" customWidth="true" hidden="false" outlineLevel="0" max="21" min="21" style="0" width="1.49"/>
    <col collapsed="false" customWidth="true" hidden="false" outlineLevel="0" max="22" min="22" style="0" width="9.49"/>
    <col collapsed="false" customWidth="true" hidden="false" outlineLevel="0" max="24" min="24" style="0" width="8.99"/>
  </cols>
  <sheetData>
    <row r="1" customFormat="false" ht="12.75" hidden="false" customHeight="false" outlineLevel="0" collapsed="false">
      <c r="A1" s="1" t="s">
        <v>0</v>
      </c>
      <c r="C1" s="16"/>
      <c r="D1" s="10"/>
      <c r="E1" s="10"/>
      <c r="F1" s="10"/>
      <c r="G1" s="10"/>
      <c r="H1" s="2"/>
      <c r="I1" s="2"/>
      <c r="J1" s="2"/>
      <c r="K1" s="2"/>
      <c r="L1" s="16"/>
      <c r="M1" s="16"/>
      <c r="N1" s="16"/>
      <c r="O1" s="16"/>
      <c r="P1" s="16"/>
      <c r="Q1" s="16"/>
      <c r="R1" s="16"/>
      <c r="S1" s="16"/>
      <c r="T1" s="16"/>
    </row>
    <row r="2" customFormat="false" ht="12.75" hidden="false" customHeight="false" outlineLevel="0" collapsed="false">
      <c r="A2" s="1" t="s">
        <v>28</v>
      </c>
      <c r="C2" s="16"/>
      <c r="D2" s="10"/>
      <c r="E2" s="10"/>
      <c r="F2" s="10"/>
      <c r="G2" s="10"/>
      <c r="H2" s="2"/>
      <c r="I2" s="2"/>
      <c r="J2" s="2"/>
      <c r="K2" s="2"/>
      <c r="L2" s="16"/>
      <c r="M2" s="16"/>
      <c r="N2" s="16"/>
      <c r="O2" s="16"/>
      <c r="P2" s="16"/>
      <c r="Q2" s="16"/>
      <c r="R2" s="16"/>
      <c r="S2" s="16"/>
      <c r="T2" s="16"/>
    </row>
    <row r="3" customFormat="false" ht="12.75" hidden="false" customHeight="false" outlineLevel="0" collapsed="false">
      <c r="A3" s="1" t="s">
        <v>29</v>
      </c>
      <c r="B3" s="16"/>
      <c r="C3" s="16"/>
      <c r="D3" s="10"/>
      <c r="E3" s="10"/>
      <c r="F3" s="10"/>
      <c r="G3" s="10"/>
      <c r="H3" s="2"/>
      <c r="I3" s="2"/>
      <c r="J3" s="2"/>
      <c r="K3" s="2"/>
      <c r="L3" s="16"/>
      <c r="M3" s="16"/>
      <c r="N3" s="16"/>
      <c r="O3" s="16"/>
      <c r="P3" s="16"/>
      <c r="Q3" s="16"/>
      <c r="R3" s="16"/>
      <c r="S3" s="16"/>
      <c r="T3" s="16"/>
    </row>
    <row r="4" customFormat="false" ht="6.75" hidden="false" customHeight="true" outlineLevel="0" collapsed="false">
      <c r="B4" s="52"/>
      <c r="C4" s="16"/>
      <c r="D4" s="10"/>
      <c r="E4" s="10"/>
      <c r="F4" s="10"/>
      <c r="G4" s="10"/>
      <c r="H4" s="2"/>
      <c r="I4" s="2"/>
      <c r="J4" s="2"/>
      <c r="K4" s="2"/>
      <c r="L4" s="16"/>
      <c r="M4" s="16"/>
      <c r="N4" s="16"/>
      <c r="O4" s="16"/>
      <c r="P4" s="16"/>
      <c r="Q4" s="16"/>
      <c r="R4" s="16"/>
      <c r="S4" s="16"/>
      <c r="T4" s="16"/>
    </row>
    <row r="5" customFormat="false" ht="12.75" hidden="false" customHeight="false" outlineLevel="0" collapsed="false">
      <c r="B5" s="52"/>
      <c r="C5" s="16"/>
      <c r="D5" s="10"/>
      <c r="E5" s="10"/>
      <c r="F5" s="10"/>
      <c r="G5" s="10"/>
      <c r="H5" s="2"/>
      <c r="I5" s="2"/>
      <c r="J5" s="2"/>
      <c r="K5" s="2"/>
      <c r="L5" s="16"/>
      <c r="M5" s="16"/>
      <c r="O5" s="16"/>
      <c r="P5" s="75" t="s">
        <v>78</v>
      </c>
      <c r="Q5" s="75"/>
      <c r="R5" s="75"/>
      <c r="S5" s="75"/>
      <c r="T5" s="75"/>
      <c r="U5" s="75"/>
      <c r="V5" s="75"/>
    </row>
    <row r="6" customFormat="false" ht="15.75" hidden="false" customHeight="false" outlineLevel="0" collapsed="false">
      <c r="A6" s="1" t="s">
        <v>79</v>
      </c>
      <c r="B6" s="12"/>
      <c r="D6" s="10"/>
      <c r="E6" s="10"/>
      <c r="F6" s="10"/>
      <c r="G6" s="10"/>
      <c r="H6" s="2"/>
      <c r="I6" s="2"/>
      <c r="J6" s="2"/>
      <c r="K6" s="2"/>
      <c r="N6" s="12"/>
      <c r="P6" s="76" t="s">
        <v>80</v>
      </c>
      <c r="Q6" s="76"/>
      <c r="R6" s="76"/>
      <c r="S6" s="76"/>
      <c r="T6" s="76" t="s">
        <v>81</v>
      </c>
      <c r="U6" s="76"/>
      <c r="V6" s="76"/>
    </row>
    <row r="7" customFormat="false" ht="38.25" hidden="false" customHeight="true" outlineLevel="0" collapsed="false">
      <c r="D7" s="26" t="s">
        <v>82</v>
      </c>
      <c r="E7" s="58"/>
      <c r="F7" s="58"/>
      <c r="G7" s="58"/>
      <c r="I7" s="9"/>
      <c r="N7" s="12"/>
      <c r="P7" s="77" t="s">
        <v>83</v>
      </c>
      <c r="Q7" s="55"/>
      <c r="R7" s="78" t="s">
        <v>84</v>
      </c>
      <c r="S7" s="16"/>
      <c r="T7" s="77" t="s">
        <v>83</v>
      </c>
      <c r="U7" s="55"/>
      <c r="V7" s="78" t="s">
        <v>84</v>
      </c>
    </row>
    <row r="8" customFormat="false" ht="12.75" hidden="false" customHeight="false" outlineLevel="0" collapsed="false">
      <c r="D8" s="58"/>
      <c r="E8" s="58"/>
      <c r="I8" s="9"/>
    </row>
    <row r="9" customFormat="false" ht="15" hidden="false" customHeight="true" outlineLevel="0" collapsed="false">
      <c r="B9" s="0" t="s">
        <v>9</v>
      </c>
      <c r="D9" s="30" t="n">
        <v>2352.20274763</v>
      </c>
      <c r="E9" s="2"/>
      <c r="H9" s="60"/>
      <c r="I9" s="2"/>
      <c r="N9" s="79" t="s">
        <v>85</v>
      </c>
      <c r="P9" s="80" t="n">
        <v>0.158999</v>
      </c>
      <c r="Q9" s="2"/>
      <c r="R9" s="81" t="n">
        <v>0.000122804440479924</v>
      </c>
      <c r="T9" s="80" t="n">
        <v>0.891972</v>
      </c>
      <c r="U9" s="2"/>
      <c r="V9" s="81" t="n">
        <v>0.00109472640970946</v>
      </c>
    </row>
    <row r="10" customFormat="false" ht="15" hidden="false" customHeight="true" outlineLevel="0" collapsed="false">
      <c r="B10" s="0" t="s">
        <v>10</v>
      </c>
      <c r="D10" s="35" t="n">
        <v>515.80006414</v>
      </c>
      <c r="E10" s="2"/>
      <c r="H10" s="61"/>
      <c r="I10" s="2"/>
      <c r="N10" s="79" t="s">
        <v>86</v>
      </c>
      <c r="P10" s="19" t="n">
        <v>2.137693</v>
      </c>
      <c r="Q10" s="2"/>
      <c r="R10" s="81" t="n">
        <v>0.00165151881878149</v>
      </c>
      <c r="T10" s="19" t="n">
        <v>-0.09836</v>
      </c>
      <c r="U10" s="2"/>
      <c r="V10" s="81" t="n">
        <v>-0.000100494284961737</v>
      </c>
    </row>
    <row r="11" customFormat="false" ht="15" hidden="false" customHeight="true" outlineLevel="0" collapsed="false">
      <c r="B11" s="0" t="s">
        <v>43</v>
      </c>
      <c r="D11" s="35" t="n">
        <v>1938.02031746</v>
      </c>
      <c r="E11" s="2"/>
      <c r="H11" s="61"/>
      <c r="I11" s="59"/>
      <c r="N11" s="79" t="s">
        <v>87</v>
      </c>
      <c r="P11" s="19" t="n">
        <v>-3.073627</v>
      </c>
      <c r="Q11" s="2"/>
      <c r="R11" s="81" t="n">
        <v>-0.00215665077730904</v>
      </c>
      <c r="T11" s="19" t="n">
        <v>0.181504</v>
      </c>
      <c r="U11" s="2"/>
      <c r="V11" s="81" t="n">
        <v>0.000175285001384972</v>
      </c>
    </row>
    <row r="12" customFormat="false" ht="15" hidden="false" customHeight="true" outlineLevel="0" collapsed="false">
      <c r="B12" s="0" t="s">
        <v>63</v>
      </c>
      <c r="D12" s="35" t="n">
        <v>1073.722815</v>
      </c>
      <c r="E12" s="2"/>
      <c r="H12" s="61"/>
      <c r="I12" s="2"/>
      <c r="N12" s="79" t="s">
        <v>61</v>
      </c>
      <c r="P12" s="19" t="n">
        <v>0.831289</v>
      </c>
      <c r="Q12" s="2"/>
      <c r="R12" s="81" t="n">
        <v>0.00063807151533402</v>
      </c>
      <c r="T12" s="19" t="n">
        <v>0.295503</v>
      </c>
      <c r="U12" s="2"/>
      <c r="V12" s="81" t="n">
        <v>0.000268753668905077</v>
      </c>
    </row>
    <row r="13" customFormat="false" ht="15" hidden="false" customHeight="true" outlineLevel="0" collapsed="false">
      <c r="B13" s="0" t="s">
        <v>47</v>
      </c>
      <c r="D13" s="35" t="n">
        <v>17.56902071</v>
      </c>
      <c r="E13" s="2"/>
      <c r="H13" s="61"/>
      <c r="I13" s="2"/>
      <c r="N13" s="79" t="s">
        <v>62</v>
      </c>
      <c r="P13" s="19" t="n">
        <v>-2.493459</v>
      </c>
      <c r="Q13" s="2"/>
      <c r="R13" s="81" t="n">
        <v>-0.00162135376038843</v>
      </c>
      <c r="T13" s="19" t="n">
        <v>0.088342</v>
      </c>
      <c r="U13" s="2"/>
      <c r="V13" s="81" t="n">
        <v>5.53827440745279E-005</v>
      </c>
    </row>
    <row r="14" customFormat="false" ht="15" hidden="false" customHeight="true" outlineLevel="0" collapsed="false">
      <c r="B14" s="0" t="s">
        <v>64</v>
      </c>
      <c r="D14" s="35" t="n">
        <v>2.786403</v>
      </c>
      <c r="E14" s="2"/>
      <c r="H14" s="61"/>
      <c r="I14" s="2"/>
      <c r="N14" s="79" t="s">
        <v>88</v>
      </c>
      <c r="P14" s="19" t="n">
        <v>0.33562</v>
      </c>
      <c r="Q14" s="2"/>
      <c r="R14" s="81" t="n">
        <v>0.0001426832786154</v>
      </c>
      <c r="T14" s="19" t="n">
        <v>0.151526</v>
      </c>
      <c r="U14" s="2"/>
      <c r="V14" s="81" t="n">
        <v>7.81859708254206E-005</v>
      </c>
    </row>
    <row r="15" customFormat="false" ht="15" hidden="false" customHeight="true" outlineLevel="0" collapsed="false">
      <c r="B15" s="0" t="s">
        <v>49</v>
      </c>
      <c r="D15" s="35" t="n">
        <v>342.04739691</v>
      </c>
      <c r="E15" s="2"/>
      <c r="H15" s="61"/>
      <c r="I15" s="2"/>
      <c r="N15" s="79" t="s">
        <v>13</v>
      </c>
      <c r="P15" s="82" t="n">
        <f aca="false">SUM(P9:P13)</f>
        <v>-2.439105</v>
      </c>
      <c r="Q15" s="63"/>
      <c r="R15" s="83" t="n">
        <f aca="false">+P15/('[1]Gas Revenue Support'!J47/1000000)</f>
        <v>-0.000264912691599018</v>
      </c>
      <c r="T15" s="82" t="n">
        <f aca="false">SUM(T9:T14)</f>
        <v>1.510487</v>
      </c>
      <c r="U15" s="63"/>
      <c r="V15" s="83" t="n">
        <f aca="false">+T15/('[1]Pwr Revenue Support'!J9/1000000)</f>
        <v>0.000397230166782969</v>
      </c>
    </row>
    <row r="16" customFormat="false" ht="15" hidden="false" customHeight="true" outlineLevel="0" collapsed="false">
      <c r="B16" s="0" t="s">
        <v>50</v>
      </c>
      <c r="D16" s="35" t="n">
        <v>41.39140139</v>
      </c>
      <c r="E16" s="2"/>
      <c r="H16" s="61"/>
      <c r="I16" s="2"/>
      <c r="N16" s="12"/>
      <c r="P16" s="60"/>
      <c r="Q16" s="2"/>
      <c r="R16" s="33"/>
      <c r="U16" s="2"/>
    </row>
    <row r="17" customFormat="false" ht="13.5" hidden="false" customHeight="true" outlineLevel="0" collapsed="false">
      <c r="B17" s="12" t="s">
        <v>13</v>
      </c>
      <c r="D17" s="62" t="n">
        <f aca="false">SUM(D9:D16)</f>
        <v>6283.54016624</v>
      </c>
      <c r="E17" s="63"/>
      <c r="I17" s="2"/>
    </row>
    <row r="18" customFormat="false" ht="13.5" hidden="false" customHeight="false" outlineLevel="0" collapsed="false">
      <c r="B18" s="12"/>
      <c r="D18" s="2"/>
      <c r="E18" s="2"/>
      <c r="F18" s="2"/>
      <c r="G18" s="2"/>
      <c r="I18" s="59"/>
    </row>
    <row r="19" customFormat="false" ht="7.5" hidden="false" customHeight="true" outlineLevel="0" collapsed="false">
      <c r="B19" s="12"/>
      <c r="D19" s="58"/>
      <c r="E19" s="58"/>
      <c r="F19" s="58"/>
      <c r="I19" s="2"/>
    </row>
    <row r="20" customFormat="false" ht="12.75" hidden="false" customHeight="false" outlineLevel="0" collapsed="false">
      <c r="A20" s="1" t="s">
        <v>89</v>
      </c>
      <c r="D20" s="30"/>
      <c r="E20" s="2"/>
      <c r="F20" s="33"/>
      <c r="I20" s="2"/>
    </row>
    <row r="21" customFormat="false" ht="12.75" hidden="false" customHeight="false" outlineLevel="0" collapsed="false">
      <c r="A21" s="1" t="s">
        <v>90</v>
      </c>
      <c r="D21" s="17"/>
      <c r="E21" s="17"/>
      <c r="F21" s="17"/>
      <c r="G21" s="17"/>
      <c r="I21" s="2"/>
    </row>
    <row r="22" customFormat="false" ht="12.75" hidden="false" customHeight="false" outlineLevel="0" collapsed="false">
      <c r="A22" s="1"/>
      <c r="D22" s="24" t="s">
        <v>67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V22" s="24" t="s">
        <v>91</v>
      </c>
      <c r="W22" s="24"/>
      <c r="X22" s="24"/>
    </row>
    <row r="23" customFormat="false" ht="12.75" hidden="false" customHeight="false" outlineLevel="0" collapsed="false">
      <c r="D23" s="18" t="s">
        <v>61</v>
      </c>
      <c r="E23" s="18"/>
      <c r="F23" s="18"/>
      <c r="G23" s="18"/>
      <c r="H23" s="18"/>
      <c r="J23" s="18" t="s">
        <v>62</v>
      </c>
      <c r="K23" s="18"/>
      <c r="L23" s="18"/>
      <c r="M23" s="18"/>
      <c r="N23" s="18"/>
      <c r="P23" s="18" t="s">
        <v>88</v>
      </c>
      <c r="Q23" s="18"/>
      <c r="R23" s="18"/>
      <c r="S23" s="18"/>
      <c r="T23" s="18"/>
      <c r="V23" s="84" t="s">
        <v>61</v>
      </c>
      <c r="W23" s="84" t="s">
        <v>62</v>
      </c>
      <c r="X23" s="84" t="s">
        <v>88</v>
      </c>
    </row>
    <row r="24" customFormat="false" ht="50.25" hidden="false" customHeight="true" outlineLevel="0" collapsed="false">
      <c r="D24" s="27" t="s">
        <v>92</v>
      </c>
      <c r="E24" s="27"/>
      <c r="F24" s="27" t="s">
        <v>93</v>
      </c>
      <c r="G24" s="27"/>
      <c r="H24" s="27" t="s">
        <v>94</v>
      </c>
      <c r="I24" s="56"/>
      <c r="J24" s="27" t="s">
        <v>92</v>
      </c>
      <c r="K24" s="27"/>
      <c r="L24" s="27" t="s">
        <v>93</v>
      </c>
      <c r="M24" s="27"/>
      <c r="N24" s="27" t="s">
        <v>94</v>
      </c>
      <c r="O24" s="56"/>
      <c r="P24" s="27" t="s">
        <v>92</v>
      </c>
      <c r="Q24" s="27"/>
      <c r="R24" s="27" t="s">
        <v>93</v>
      </c>
      <c r="S24" s="27"/>
      <c r="T24" s="27" t="s">
        <v>94</v>
      </c>
      <c r="V24" s="85" t="s">
        <v>95</v>
      </c>
      <c r="W24" s="85"/>
      <c r="X24" s="85"/>
    </row>
    <row r="25" customFormat="false" ht="12.75" hidden="false" customHeight="false" outlineLevel="0" collapsed="false">
      <c r="B25" s="0" t="s">
        <v>96</v>
      </c>
      <c r="D25" s="35"/>
      <c r="E25" s="2"/>
      <c r="F25" s="33"/>
      <c r="I25" s="2"/>
    </row>
    <row r="26" customFormat="false" ht="12.75" hidden="false" customHeight="false" outlineLevel="0" collapsed="false">
      <c r="B26" s="86" t="s">
        <v>97</v>
      </c>
      <c r="D26" s="19" t="n">
        <v>12.13684</v>
      </c>
      <c r="E26" s="19"/>
      <c r="F26" s="19" t="n">
        <v>-1.775558</v>
      </c>
      <c r="G26" s="19"/>
      <c r="H26" s="19" t="n">
        <v>13.912398</v>
      </c>
      <c r="I26" s="10"/>
      <c r="J26" s="19" t="n">
        <v>6.866079</v>
      </c>
      <c r="K26" s="19"/>
      <c r="L26" s="19" t="n">
        <v>-3.114862</v>
      </c>
      <c r="M26" s="19"/>
      <c r="N26" s="19" t="n">
        <v>9.980941</v>
      </c>
      <c r="O26" s="19"/>
      <c r="P26" s="19" t="n">
        <v>-1.435884</v>
      </c>
      <c r="Q26" s="19"/>
      <c r="R26" s="19" t="n">
        <v>1.443429</v>
      </c>
      <c r="S26" s="19"/>
      <c r="T26" s="19" t="n">
        <v>-2.879313</v>
      </c>
      <c r="V26" s="19" t="n">
        <v>-1.652795</v>
      </c>
      <c r="W26" s="19" t="n">
        <v>-0.302902</v>
      </c>
      <c r="X26" s="19" t="n">
        <v>2.221487</v>
      </c>
    </row>
    <row r="27" customFormat="false" ht="12.75" hidden="false" customHeight="false" outlineLevel="0" collapsed="false">
      <c r="B27" s="86" t="s">
        <v>98</v>
      </c>
      <c r="D27" s="19" t="n">
        <v>8.225788</v>
      </c>
      <c r="E27" s="19"/>
      <c r="F27" s="19" t="n">
        <v>6.140064</v>
      </c>
      <c r="G27" s="19"/>
      <c r="H27" s="19" t="n">
        <v>2.085724</v>
      </c>
      <c r="I27" s="10"/>
      <c r="J27" s="19" t="n">
        <v>8.563077</v>
      </c>
      <c r="K27" s="19"/>
      <c r="L27" s="19" t="n">
        <v>5.008476</v>
      </c>
      <c r="M27" s="19"/>
      <c r="N27" s="19" t="n">
        <v>3.554601</v>
      </c>
      <c r="O27" s="19"/>
      <c r="P27" s="19" t="n">
        <v>-0.585888</v>
      </c>
      <c r="Q27" s="19"/>
      <c r="R27" s="19" t="n">
        <v>-2.14517</v>
      </c>
      <c r="S27" s="19"/>
      <c r="T27" s="19" t="n">
        <v>1.559282</v>
      </c>
      <c r="V27" s="19" t="n">
        <v>-0.203607</v>
      </c>
      <c r="W27" s="19" t="n">
        <v>1.445575</v>
      </c>
      <c r="X27" s="19" t="n">
        <v>0.582743</v>
      </c>
    </row>
    <row r="28" customFormat="false" ht="13.5" hidden="false" customHeight="false" outlineLevel="0" collapsed="false">
      <c r="B28" s="12" t="s">
        <v>99</v>
      </c>
      <c r="D28" s="87" t="n">
        <f aca="false">SUM(D26:D27)</f>
        <v>20.362628</v>
      </c>
      <c r="E28" s="19"/>
      <c r="F28" s="87" t="n">
        <f aca="false">SUM(F26:F27)</f>
        <v>4.364506</v>
      </c>
      <c r="G28" s="19"/>
      <c r="H28" s="87" t="n">
        <f aca="false">SUM(H26:H27)</f>
        <v>15.998122</v>
      </c>
      <c r="I28" s="10"/>
      <c r="J28" s="87" t="n">
        <f aca="false">SUM(J26:J27)</f>
        <v>15.429156</v>
      </c>
      <c r="K28" s="19"/>
      <c r="L28" s="87" t="n">
        <f aca="false">SUM(L26:L27)</f>
        <v>1.893614</v>
      </c>
      <c r="M28" s="19"/>
      <c r="N28" s="87" t="n">
        <f aca="false">SUM(N26:N27)</f>
        <v>13.535542</v>
      </c>
      <c r="O28" s="19"/>
      <c r="P28" s="87" t="n">
        <f aca="false">SUM(P26:P27)</f>
        <v>-2.021772</v>
      </c>
      <c r="Q28" s="19"/>
      <c r="R28" s="87" t="n">
        <f aca="false">SUM(R26:R27)</f>
        <v>-0.701741</v>
      </c>
      <c r="S28" s="19"/>
      <c r="T28" s="87" t="n">
        <f aca="false">SUM(T26:T27)</f>
        <v>-1.320031</v>
      </c>
      <c r="V28" s="87" t="n">
        <f aca="false">SUM(V26:V27)</f>
        <v>-1.856402</v>
      </c>
      <c r="W28" s="87" t="n">
        <f aca="false">SUM(W26:W27)</f>
        <v>1.142673</v>
      </c>
      <c r="X28" s="87" t="n">
        <f aca="false">SUM(X26:X27)</f>
        <v>2.80423</v>
      </c>
    </row>
    <row r="29" customFormat="false" ht="8.25" hidden="false" customHeight="true" outlineLevel="0" collapsed="false">
      <c r="B29" s="12"/>
      <c r="D29" s="19"/>
      <c r="E29" s="19"/>
      <c r="F29" s="19"/>
      <c r="G29" s="19"/>
      <c r="H29" s="19"/>
      <c r="I29" s="10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V29" s="19"/>
      <c r="W29" s="19"/>
      <c r="X29" s="19"/>
    </row>
    <row r="30" customFormat="false" ht="9.75" hidden="false" customHeight="true" outlineLevel="0" collapsed="false"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customFormat="false" ht="15" hidden="false" customHeight="true" outlineLevel="0" collapsed="false">
      <c r="L31" s="81"/>
    </row>
    <row r="32" customFormat="false" ht="12.75" hidden="false" customHeight="false" outlineLevel="0" collapsed="false">
      <c r="L32" s="81"/>
    </row>
    <row r="33" customFormat="false" ht="12.75" hidden="false" customHeight="false" outlineLevel="0" collapsed="false">
      <c r="L33" s="81"/>
    </row>
    <row r="34" customFormat="false" ht="12.75" hidden="false" customHeight="false" outlineLevel="0" collapsed="false">
      <c r="L34" s="81"/>
      <c r="V34" s="9"/>
      <c r="W34" s="9"/>
      <c r="X34" s="9"/>
    </row>
    <row r="35" customFormat="false" ht="15" hidden="false" customHeight="true" outlineLevel="0" collapsed="false">
      <c r="L35" s="81"/>
      <c r="V35" s="88"/>
      <c r="W35" s="88"/>
      <c r="X35" s="88"/>
    </row>
    <row r="36" customFormat="false" ht="15" hidden="false" customHeight="true" outlineLevel="0" collapsed="false">
      <c r="L36" s="81"/>
      <c r="R36" s="89"/>
    </row>
    <row r="37" customFormat="false" ht="12.75" hidden="false" customHeight="false" outlineLevel="0" collapsed="false">
      <c r="L37" s="81"/>
      <c r="R37" s="90"/>
    </row>
    <row r="38" customFormat="false" ht="12.75" hidden="false" customHeight="false" outlineLevel="0" collapsed="false">
      <c r="R38" s="90"/>
    </row>
    <row r="39" customFormat="false" ht="12.75" hidden="false" customHeight="false" outlineLevel="0" collapsed="false">
      <c r="B39" s="12"/>
      <c r="D39" s="60"/>
      <c r="E39" s="2"/>
      <c r="F39" s="33"/>
      <c r="I39" s="2"/>
      <c r="R39" s="91"/>
    </row>
    <row r="40" customFormat="false" ht="12.75" hidden="false" customHeight="false" outlineLevel="0" collapsed="false">
      <c r="B40" s="12"/>
      <c r="D40" s="60"/>
      <c r="E40" s="2"/>
      <c r="F40" s="33"/>
      <c r="I40" s="2"/>
    </row>
    <row r="41" customFormat="false" ht="12.75" hidden="false" customHeight="false" outlineLevel="0" collapsed="false">
      <c r="B41" s="12"/>
      <c r="D41" s="60"/>
      <c r="E41" s="2"/>
      <c r="F41" s="33"/>
      <c r="I41" s="2"/>
    </row>
    <row r="42" customFormat="false" ht="12.75" hidden="false" customHeight="false" outlineLevel="0" collapsed="false">
      <c r="B42" s="12"/>
      <c r="D42" s="60"/>
      <c r="E42" s="2"/>
      <c r="F42" s="33"/>
      <c r="I42" s="2"/>
    </row>
    <row r="43" customFormat="false" ht="12.75" hidden="false" customHeight="true" outlineLevel="0" collapsed="false">
      <c r="B43" s="92"/>
      <c r="D43" s="60"/>
      <c r="E43" s="2"/>
      <c r="F43" s="33"/>
      <c r="I43" s="2"/>
    </row>
    <row r="44" customFormat="false" ht="11.25" hidden="false" customHeight="true" outlineLevel="0" collapsed="false">
      <c r="B44" s="92"/>
      <c r="D44" s="60"/>
      <c r="E44" s="2"/>
      <c r="F44" s="33"/>
      <c r="I44" s="2"/>
    </row>
    <row r="45" customFormat="false" ht="7.5" hidden="false" customHeight="true" outlineLevel="0" collapsed="false">
      <c r="B45" s="92"/>
      <c r="D45" s="60"/>
      <c r="E45" s="2"/>
      <c r="F45" s="33"/>
      <c r="I45" s="2"/>
    </row>
    <row r="46" customFormat="false" ht="12.75" hidden="false" customHeight="false" outlineLevel="0" collapsed="false">
      <c r="B46" s="93" t="s">
        <v>100</v>
      </c>
      <c r="D46" s="60"/>
      <c r="E46" s="2"/>
      <c r="F46" s="33"/>
      <c r="I46" s="2"/>
    </row>
    <row r="47" customFormat="false" ht="12.75" hidden="false" customHeight="false" outlineLevel="0" collapsed="false">
      <c r="B47" s="93" t="s">
        <v>101</v>
      </c>
      <c r="D47" s="60"/>
      <c r="E47" s="2"/>
      <c r="F47" s="33"/>
      <c r="I47" s="2"/>
    </row>
    <row r="48" customFormat="false" ht="12.75" hidden="false" customHeight="false" outlineLevel="0" collapsed="false">
      <c r="B48" s="93" t="s">
        <v>102</v>
      </c>
      <c r="D48" s="60"/>
      <c r="E48" s="2"/>
      <c r="F48" s="33"/>
      <c r="I48" s="2"/>
    </row>
    <row r="49" customFormat="false" ht="12.75" hidden="false" customHeight="false" outlineLevel="0" collapsed="false">
      <c r="B49" s="93" t="s">
        <v>103</v>
      </c>
      <c r="D49" s="60"/>
      <c r="E49" s="2"/>
      <c r="F49" s="33"/>
      <c r="I49" s="2"/>
    </row>
    <row r="50" customFormat="false" ht="12.75" hidden="false" customHeight="false" outlineLevel="0" collapsed="false">
      <c r="B50" s="93" t="s">
        <v>104</v>
      </c>
      <c r="D50" s="2"/>
      <c r="E50" s="2"/>
      <c r="F50" s="2"/>
      <c r="G50" s="2"/>
      <c r="I50" s="2"/>
    </row>
    <row r="55" customFormat="false" ht="12.75" hidden="false" customHeight="false" outlineLevel="0" collapsed="false">
      <c r="H55" s="6" t="n">
        <v>36617</v>
      </c>
      <c r="I55" s="6" t="n">
        <v>36647</v>
      </c>
      <c r="J55" s="6" t="n">
        <v>36678</v>
      </c>
    </row>
  </sheetData>
  <mergeCells count="10">
    <mergeCell ref="P5:V5"/>
    <mergeCell ref="P6:S6"/>
    <mergeCell ref="T6:V6"/>
    <mergeCell ref="D22:T22"/>
    <mergeCell ref="V22:X22"/>
    <mergeCell ref="D23:H23"/>
    <mergeCell ref="J23:N23"/>
    <mergeCell ref="P23:T23"/>
    <mergeCell ref="V24:X24"/>
    <mergeCell ref="V34:X34"/>
  </mergeCells>
  <printOptions headings="false" gridLines="false" gridLinesSet="true" horizontalCentered="false" verticalCentered="false"/>
  <pageMargins left="0.25" right="0.25" top="0.75" bottom="0.5" header="0.511811023622047" footer="0.5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&amp;R&amp;7Page &amp;P of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6" activeCellId="0" sqref="F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15"/>
    <col collapsed="false" customWidth="true" hidden="false" outlineLevel="0" max="3" min="3" style="0" width="29.65"/>
    <col collapsed="false" customWidth="true" hidden="false" outlineLevel="0" max="4" min="4" style="0" width="17.15"/>
    <col collapsed="false" customWidth="true" hidden="false" outlineLevel="0" max="5" min="5" style="0" width="14.99"/>
    <col collapsed="false" customWidth="true" hidden="false" outlineLevel="0" max="6" min="6" style="0" width="12.49"/>
    <col collapsed="false" customWidth="true" hidden="false" outlineLevel="0" max="7" min="7" style="0" width="12.65"/>
    <col collapsed="false" customWidth="true" hidden="false" outlineLevel="0" max="8" min="8" style="0" width="6.32"/>
    <col collapsed="false" customWidth="true" hidden="true" outlineLevel="0" max="9" min="9" style="0" width="11.32"/>
    <col collapsed="false" customWidth="true" hidden="true" outlineLevel="0" max="10" min="10" style="0" width="12.65"/>
    <col collapsed="false" customWidth="true" hidden="true" outlineLevel="0" max="11" min="11" style="0" width="12.49"/>
    <col collapsed="false" customWidth="true" hidden="true" outlineLevel="0" max="12" min="12" style="0" width="12.32"/>
    <col collapsed="false" customWidth="true" hidden="true" outlineLevel="0" max="13" min="13" style="0" width="12.82"/>
    <col collapsed="false" customWidth="false" hidden="true" outlineLevel="0" max="15" min="14" style="0" width="9.05"/>
  </cols>
  <sheetData>
    <row r="1" customFormat="false" ht="12.75" hidden="false" customHeight="false" outlineLevel="0" collapsed="false">
      <c r="A1" s="0" t="s">
        <v>105</v>
      </c>
      <c r="E1" s="0" t="s">
        <v>106</v>
      </c>
      <c r="F1" s="0" t="s">
        <v>107</v>
      </c>
      <c r="G1" s="94" t="n">
        <v>36678</v>
      </c>
      <c r="I1" s="95" t="s">
        <v>107</v>
      </c>
      <c r="J1" s="95"/>
      <c r="K1" s="95" t="s">
        <v>108</v>
      </c>
      <c r="L1" s="95"/>
      <c r="M1" s="95"/>
      <c r="N1" s="96" t="s">
        <v>106</v>
      </c>
    </row>
    <row r="2" customFormat="false" ht="12.75" hidden="false" customHeight="false" outlineLevel="0" collapsed="false">
      <c r="F2" s="0" t="s">
        <v>109</v>
      </c>
      <c r="G2" s="0" t="s">
        <v>110</v>
      </c>
      <c r="I2" s="95" t="s">
        <v>111</v>
      </c>
      <c r="J2" s="95"/>
      <c r="K2" s="95"/>
      <c r="L2" s="95"/>
      <c r="M2" s="95"/>
      <c r="N2" s="96"/>
    </row>
    <row r="3" customFormat="false" ht="12.75" hidden="false" customHeight="false" outlineLevel="0" collapsed="false">
      <c r="I3" s="97"/>
      <c r="J3" s="95"/>
      <c r="K3" s="95"/>
      <c r="L3" s="95"/>
      <c r="M3" s="95"/>
      <c r="N3" s="96"/>
    </row>
    <row r="4" customFormat="false" ht="12.75" hidden="false" customHeight="false" outlineLevel="0" collapsed="false">
      <c r="B4" s="1" t="s">
        <v>0</v>
      </c>
    </row>
    <row r="5" customFormat="false" ht="12.75" hidden="false" customHeight="false" outlineLevel="0" collapsed="false">
      <c r="B5" s="1" t="s">
        <v>112</v>
      </c>
    </row>
    <row r="6" customFormat="false" ht="12.75" hidden="false" customHeight="false" outlineLevel="0" collapsed="false">
      <c r="B6" s="1" t="s">
        <v>113</v>
      </c>
    </row>
    <row r="7" customFormat="false" ht="6.75" hidden="false" customHeight="true" outlineLevel="0" collapsed="false"/>
    <row r="8" customFormat="false" ht="12.75" hidden="false" customHeight="false" outlineLevel="0" collapsed="false">
      <c r="C8" s="68" t="s">
        <v>114</v>
      </c>
      <c r="D8" s="68"/>
      <c r="E8" s="68"/>
      <c r="F8" s="68"/>
      <c r="G8" s="68"/>
      <c r="H8" s="1"/>
      <c r="I8" s="68" t="s">
        <v>115</v>
      </c>
      <c r="J8" s="68"/>
      <c r="K8" s="68"/>
      <c r="L8" s="68"/>
      <c r="M8" s="68"/>
    </row>
    <row r="9" customFormat="false" ht="51" hidden="false" customHeight="false" outlineLevel="0" collapsed="false">
      <c r="C9" s="24" t="s">
        <v>116</v>
      </c>
      <c r="D9" s="24" t="s">
        <v>117</v>
      </c>
      <c r="E9" s="26" t="s">
        <v>118</v>
      </c>
      <c r="F9" s="26" t="s">
        <v>119</v>
      </c>
      <c r="G9" s="26" t="s">
        <v>120</v>
      </c>
      <c r="H9" s="98"/>
      <c r="I9" s="26" t="s">
        <v>118</v>
      </c>
      <c r="J9" s="26" t="s">
        <v>119</v>
      </c>
      <c r="K9" s="26" t="s">
        <v>120</v>
      </c>
      <c r="L9" s="26" t="s">
        <v>121</v>
      </c>
      <c r="M9" s="26" t="s">
        <v>122</v>
      </c>
    </row>
    <row r="10" customFormat="false" ht="12.75" hidden="false" customHeight="false" outlineLevel="0" collapsed="false">
      <c r="B10" s="1" t="s">
        <v>123</v>
      </c>
    </row>
    <row r="11" customFormat="false" ht="12.75" hidden="false" customHeight="false" outlineLevel="0" collapsed="false">
      <c r="B11" s="1"/>
      <c r="C11" s="0" t="s">
        <v>124</v>
      </c>
      <c r="D11" s="0" t="s">
        <v>125</v>
      </c>
      <c r="E11" s="99" t="n">
        <v>8210339</v>
      </c>
      <c r="F11" s="99" t="n">
        <v>7904210.191</v>
      </c>
      <c r="G11" s="99" t="n">
        <f aca="false">+G12+G13</f>
        <v>306128.809</v>
      </c>
    </row>
    <row r="12" customFormat="false" ht="12.75" hidden="true" customHeight="false" outlineLevel="0" collapsed="false">
      <c r="A12" s="0" t="s">
        <v>126</v>
      </c>
      <c r="B12" s="0" t="s">
        <v>127</v>
      </c>
      <c r="C12" s="0" t="s">
        <v>128</v>
      </c>
      <c r="D12" s="0" t="s">
        <v>129</v>
      </c>
      <c r="E12" s="100" t="n">
        <v>2957889</v>
      </c>
      <c r="F12" s="100" t="n">
        <v>2792397.5775</v>
      </c>
      <c r="G12" s="100" t="n">
        <f aca="false">+E12-F12</f>
        <v>165491.4225</v>
      </c>
      <c r="I12" s="101" t="n">
        <f aca="false">+'[1]April HC'!J20</f>
        <v>61</v>
      </c>
      <c r="J12" s="102" t="e">
        <f aca="false">HPVAL($A12,$I$1,$I$2,$G$1,$K$1,$G$2)</f>
        <v>#NAME?</v>
      </c>
      <c r="K12" s="103" t="e">
        <f aca="false">+I12-J12</f>
        <v>#NAME?</v>
      </c>
      <c r="L12" s="101" t="n">
        <f aca="false">+'[1]April HC'!I20</f>
        <v>61</v>
      </c>
      <c r="M12" s="103" t="n">
        <f aca="false">+I12-L12</f>
        <v>0</v>
      </c>
    </row>
    <row r="13" customFormat="false" ht="12.75" hidden="true" customHeight="false" outlineLevel="0" collapsed="false">
      <c r="A13" s="0" t="s">
        <v>130</v>
      </c>
      <c r="B13" s="0" t="s">
        <v>127</v>
      </c>
      <c r="C13" s="0" t="s">
        <v>131</v>
      </c>
      <c r="D13" s="0" t="s">
        <v>125</v>
      </c>
      <c r="E13" s="10" t="n">
        <v>5252450</v>
      </c>
      <c r="F13" s="10" t="n">
        <v>5111812.6135</v>
      </c>
      <c r="G13" s="104" t="n">
        <f aca="false">+E13-F13</f>
        <v>140637.3865</v>
      </c>
      <c r="I13" s="101" t="n">
        <f aca="false">+'[1]April HC'!J34</f>
        <v>118</v>
      </c>
      <c r="J13" s="102" t="e">
        <f aca="false">HPVAL($A13,$I$1,$I$2,$G$1,$K$1,$G$2)</f>
        <v>#NAME?</v>
      </c>
      <c r="K13" s="103" t="e">
        <f aca="false">+I13-J13</f>
        <v>#NAME?</v>
      </c>
      <c r="L13" s="101" t="n">
        <f aca="false">+'[1]April HC'!I34</f>
        <v>106</v>
      </c>
      <c r="M13" s="103" t="n">
        <f aca="false">+I13-L13</f>
        <v>12</v>
      </c>
    </row>
    <row r="14" customFormat="false" ht="12.75" hidden="false" customHeight="false" outlineLevel="0" collapsed="false">
      <c r="A14" s="0" t="s">
        <v>132</v>
      </c>
      <c r="B14" s="0" t="s">
        <v>127</v>
      </c>
      <c r="C14" s="0" t="s">
        <v>133</v>
      </c>
      <c r="D14" s="0" t="s">
        <v>134</v>
      </c>
      <c r="E14" s="10" t="n">
        <v>2791515</v>
      </c>
      <c r="F14" s="10" t="n">
        <v>2662822.66632083</v>
      </c>
      <c r="G14" s="104" t="n">
        <f aca="false">+E14-F14</f>
        <v>128692.333679167</v>
      </c>
      <c r="I14" s="101" t="n">
        <f aca="false">+'[1]April HC'!J48</f>
        <v>65</v>
      </c>
      <c r="J14" s="102" t="e">
        <f aca="false">HPVAL($A14,$I$1,$I$2,$G$1,$K$1,$G$2)</f>
        <v>#NAME?</v>
      </c>
      <c r="K14" s="103" t="e">
        <f aca="false">+I14-J14</f>
        <v>#NAME?</v>
      </c>
      <c r="L14" s="101" t="n">
        <f aca="false">+'[1]April HC'!I48</f>
        <v>60</v>
      </c>
      <c r="M14" s="103" t="n">
        <f aca="false">+I14-L14</f>
        <v>5</v>
      </c>
    </row>
    <row r="15" customFormat="false" ht="12.75" hidden="false" customHeight="false" outlineLevel="0" collapsed="false">
      <c r="A15" s="0" t="s">
        <v>135</v>
      </c>
      <c r="B15" s="0" t="s">
        <v>127</v>
      </c>
      <c r="C15" s="0" t="s">
        <v>136</v>
      </c>
      <c r="D15" s="0" t="s">
        <v>137</v>
      </c>
      <c r="E15" s="10" t="n">
        <v>1557534</v>
      </c>
      <c r="F15" s="10" t="n">
        <v>1650260.725</v>
      </c>
      <c r="G15" s="104" t="n">
        <f aca="false">+E15-F15</f>
        <v>-92726.7250000001</v>
      </c>
      <c r="I15" s="101" t="n">
        <f aca="false">+'[1]April HC'!J57</f>
        <v>43</v>
      </c>
      <c r="J15" s="102" t="e">
        <f aca="false">HPVAL($A15,$I$1,$I$2,$G$1,$K$1,$G$2)</f>
        <v>#NAME?</v>
      </c>
      <c r="K15" s="103" t="e">
        <f aca="false">+I15-J15</f>
        <v>#NAME?</v>
      </c>
      <c r="L15" s="101" t="n">
        <f aca="false">+'[1]April HC'!I57</f>
        <v>39</v>
      </c>
      <c r="M15" s="103" t="n">
        <f aca="false">+I15-L15</f>
        <v>4</v>
      </c>
    </row>
    <row r="16" customFormat="false" ht="12.75" hidden="true" customHeight="false" outlineLevel="0" collapsed="false">
      <c r="A16" s="0" t="s">
        <v>138</v>
      </c>
      <c r="B16" s="0" t="s">
        <v>127</v>
      </c>
      <c r="C16" s="0" t="s">
        <v>139</v>
      </c>
      <c r="D16" s="0" t="s">
        <v>140</v>
      </c>
      <c r="E16" s="10" t="n">
        <v>421129</v>
      </c>
      <c r="F16" s="10" t="n">
        <v>513599.303</v>
      </c>
      <c r="G16" s="104" t="n">
        <f aca="false">+E16-F16</f>
        <v>-92470.303</v>
      </c>
      <c r="I16" s="101" t="n">
        <f aca="false">+'[1]April HC'!J75</f>
        <v>8</v>
      </c>
      <c r="J16" s="102" t="e">
        <f aca="false">HPVAL($A16,$I$1,$I$2,$G$1,$K$1,$G$2)</f>
        <v>#NAME?</v>
      </c>
      <c r="K16" s="103" t="e">
        <f aca="false">+I16-J16</f>
        <v>#NAME?</v>
      </c>
      <c r="L16" s="101" t="n">
        <f aca="false">+'[1]April HC'!I75</f>
        <v>9</v>
      </c>
      <c r="M16" s="103" t="n">
        <f aca="false">+I16-L16</f>
        <v>-1</v>
      </c>
    </row>
    <row r="17" customFormat="false" ht="12.75" hidden="false" customHeight="false" outlineLevel="0" collapsed="false">
      <c r="A17" s="0" t="s">
        <v>141</v>
      </c>
      <c r="B17" s="0" t="s">
        <v>127</v>
      </c>
      <c r="C17" s="0" t="s">
        <v>142</v>
      </c>
      <c r="D17" s="0" t="s">
        <v>143</v>
      </c>
      <c r="E17" s="10" t="n">
        <v>364321</v>
      </c>
      <c r="F17" s="10" t="n">
        <v>613134</v>
      </c>
      <c r="G17" s="104" t="n">
        <f aca="false">+E17-F17</f>
        <v>-248813</v>
      </c>
      <c r="I17" s="101" t="n">
        <f aca="false">+'[1]April HC'!J63</f>
        <v>6</v>
      </c>
      <c r="J17" s="102" t="e">
        <f aca="false">HPVAL($A17,$I$1,$I$2,$G$1,$K$1,$G$2)</f>
        <v>#NAME?</v>
      </c>
      <c r="K17" s="103" t="e">
        <f aca="false">+I17-J17</f>
        <v>#NAME?</v>
      </c>
      <c r="L17" s="101" t="n">
        <f aca="false">+'[1]April HC'!I63</f>
        <v>8</v>
      </c>
      <c r="M17" s="103" t="n">
        <f aca="false">+I17-L17</f>
        <v>-2</v>
      </c>
    </row>
    <row r="18" customFormat="false" ht="12.75" hidden="false" customHeight="false" outlineLevel="0" collapsed="false">
      <c r="A18" s="0" t="s">
        <v>144</v>
      </c>
      <c r="B18" s="0" t="s">
        <v>127</v>
      </c>
      <c r="C18" s="0" t="s">
        <v>145</v>
      </c>
      <c r="D18" s="0" t="s">
        <v>146</v>
      </c>
      <c r="E18" s="10" t="n">
        <v>780759</v>
      </c>
      <c r="F18" s="10" t="n">
        <v>947579</v>
      </c>
      <c r="G18" s="104" t="n">
        <f aca="false">+E18-F18</f>
        <v>-166820</v>
      </c>
      <c r="I18" s="101" t="n">
        <f aca="false">+'[1]April HC'!J60</f>
        <v>16</v>
      </c>
      <c r="J18" s="102" t="e">
        <f aca="false">HPVAL($A18,$I$1,$I$2,$G$1,$K$1,$G$2)</f>
        <v>#NAME?</v>
      </c>
      <c r="K18" s="103" t="e">
        <f aca="false">+I18-J18</f>
        <v>#NAME?</v>
      </c>
      <c r="L18" s="101" t="n">
        <f aca="false">+'[1]April HC'!I60</f>
        <v>17</v>
      </c>
      <c r="M18" s="103" t="n">
        <f aca="false">+I18-L18</f>
        <v>-1</v>
      </c>
    </row>
    <row r="19" customFormat="false" ht="12.75" hidden="false" customHeight="false" outlineLevel="0" collapsed="false">
      <c r="A19" s="0" t="s">
        <v>147</v>
      </c>
      <c r="B19" s="0" t="s">
        <v>127</v>
      </c>
      <c r="C19" s="0" t="s">
        <v>148</v>
      </c>
      <c r="D19" s="0" t="s">
        <v>149</v>
      </c>
      <c r="E19" s="10" t="n">
        <v>542084</v>
      </c>
      <c r="F19" s="10" t="n">
        <v>914791.016166667</v>
      </c>
      <c r="G19" s="104" t="n">
        <f aca="false">+E19-F19</f>
        <v>-372707.016166667</v>
      </c>
      <c r="I19" s="101" t="n">
        <f aca="false">+'[1]April HC'!J70</f>
        <v>10</v>
      </c>
      <c r="J19" s="102" t="e">
        <f aca="false">HPVAL($A19,$I$1,$I$2,$G$1,$K$1,$G$2)</f>
        <v>#NAME?</v>
      </c>
      <c r="K19" s="103" t="e">
        <f aca="false">+I19-J19</f>
        <v>#NAME?</v>
      </c>
      <c r="L19" s="101" t="n">
        <f aca="false">+'[1]April HC'!I70</f>
        <v>20</v>
      </c>
      <c r="M19" s="103" t="n">
        <f aca="false">+I19-L19</f>
        <v>-10</v>
      </c>
    </row>
    <row r="20" customFormat="false" ht="12.75" hidden="false" customHeight="false" outlineLevel="0" collapsed="false">
      <c r="A20" s="0" t="s">
        <v>150</v>
      </c>
      <c r="B20" s="0" t="s">
        <v>127</v>
      </c>
      <c r="C20" s="0" t="s">
        <v>151</v>
      </c>
      <c r="D20" s="0" t="s">
        <v>152</v>
      </c>
      <c r="E20" s="10" t="n">
        <v>748398</v>
      </c>
      <c r="F20" s="10" t="n">
        <v>1005703.25</v>
      </c>
      <c r="G20" s="104" t="n">
        <f aca="false">+E20-F20</f>
        <v>-257305.25</v>
      </c>
      <c r="I20" s="101" t="n">
        <f aca="false">+'[1]April HC'!J131</f>
        <v>13</v>
      </c>
      <c r="J20" s="102" t="e">
        <f aca="false">HPVAL($A20,$I$1,$I$2,$G$1,$K$1,$G$2)</f>
        <v>#NAME?</v>
      </c>
      <c r="K20" s="103" t="e">
        <f aca="false">+I20-J20</f>
        <v>#NAME?</v>
      </c>
      <c r="L20" s="101" t="n">
        <f aca="false">+'[1]April HC'!I131</f>
        <v>9</v>
      </c>
      <c r="M20" s="103" t="n">
        <f aca="false">+I20-L20</f>
        <v>4</v>
      </c>
    </row>
    <row r="21" customFormat="false" ht="12.75" hidden="true" customHeight="true" outlineLevel="0" collapsed="false">
      <c r="A21" s="0" t="s">
        <v>153</v>
      </c>
      <c r="B21" s="0" t="s">
        <v>127</v>
      </c>
      <c r="C21" s="0" t="s">
        <v>154</v>
      </c>
      <c r="D21" s="0" t="s">
        <v>155</v>
      </c>
      <c r="E21" s="10" t="n">
        <v>1556342</v>
      </c>
      <c r="F21" s="10" t="n">
        <v>1825072.61895</v>
      </c>
      <c r="G21" s="104" t="n">
        <f aca="false">+E21-F21</f>
        <v>-268730.61895</v>
      </c>
      <c r="I21" s="101" t="n">
        <f aca="false">+'[1]April HC'!J86+'[1]April HC'!J110+'[1]April HC'!J111+'[1]April HC'!J112+'[1]April HC'!J113+'[1]April HC'!J121</f>
        <v>3</v>
      </c>
      <c r="J21" s="102" t="e">
        <f aca="false">HPVAL($A21,$I$1,$I$2,$G$1,$K$1,$G$2)+'[1]April HC'!F110+'[1]April HC'!F111+'[1]April HC'!F112+'[1]April HC'!F113+'[1]April HC'!F121</f>
        <v>#NAME?</v>
      </c>
      <c r="K21" s="103" t="e">
        <f aca="false">+I21-J21</f>
        <v>#NAME?</v>
      </c>
      <c r="L21" s="101" t="n">
        <f aca="false">+'[1]April HC'!I86+'[1]April HC'!I110+'[1]April HC'!I111+'[1]April HC'!I112+'[1]April HC'!I113+'[1]April HC'!I121</f>
        <v>10.9</v>
      </c>
      <c r="M21" s="103" t="n">
        <f aca="false">+I21-L21</f>
        <v>-7.9</v>
      </c>
    </row>
    <row r="22" customFormat="false" ht="1.5" hidden="true" customHeight="true" outlineLevel="0" collapsed="false">
      <c r="A22" s="0" t="s">
        <v>156</v>
      </c>
      <c r="C22" s="0" t="s">
        <v>157</v>
      </c>
      <c r="E22" s="10" t="n">
        <v>-354</v>
      </c>
      <c r="F22" s="10" t="n">
        <v>0</v>
      </c>
      <c r="G22" s="104" t="n">
        <f aca="false">+E22-F22</f>
        <v>-354</v>
      </c>
      <c r="I22" s="16"/>
      <c r="J22" s="102"/>
      <c r="L22" s="16"/>
    </row>
    <row r="23" customFormat="false" ht="12.75" hidden="false" customHeight="false" outlineLevel="0" collapsed="false">
      <c r="C23" s="0" t="s">
        <v>154</v>
      </c>
      <c r="D23" s="0" t="s">
        <v>155</v>
      </c>
      <c r="E23" s="10" t="n">
        <v>1555988</v>
      </c>
      <c r="F23" s="10" t="n">
        <v>1825072.61895</v>
      </c>
      <c r="G23" s="104" t="n">
        <f aca="false">+E23-F23</f>
        <v>-269084.61895</v>
      </c>
      <c r="I23" s="10" t="n">
        <f aca="false">+I22+I21</f>
        <v>3</v>
      </c>
      <c r="J23" s="10" t="e">
        <f aca="false">+J22+J21</f>
        <v>#NAME?</v>
      </c>
      <c r="K23" s="103" t="e">
        <f aca="false">+I23-J23</f>
        <v>#NAME?</v>
      </c>
      <c r="L23" s="10" t="n">
        <f aca="false">+L22+L21</f>
        <v>10.9</v>
      </c>
      <c r="M23" s="103" t="n">
        <f aca="false">+I23-L23</f>
        <v>-7.9</v>
      </c>
    </row>
    <row r="24" customFormat="false" ht="12.75" hidden="true" customHeight="false" outlineLevel="0" collapsed="false">
      <c r="A24" s="0" t="s">
        <v>158</v>
      </c>
      <c r="B24" s="0" t="s">
        <v>127</v>
      </c>
      <c r="C24" s="0" t="s">
        <v>159</v>
      </c>
      <c r="E24" s="10" t="n">
        <v>780125</v>
      </c>
      <c r="F24" s="10" t="n">
        <v>972694.832</v>
      </c>
      <c r="G24" s="104" t="n">
        <f aca="false">+E24-F24</f>
        <v>-192569.832</v>
      </c>
      <c r="I24" s="101" t="n">
        <f aca="false">+'[1]April HC'!J94+'[1]April HC'!J108+'[1]April HC'!J109+'[1]April HC'!J107+'[1]April HC'!J114+'[1]April HC'!J115+'[1]April HC'!J116+'[1]April HC'!J117+'[1]April HC'!J118+'[1]April HC'!J119+'[1]April HC'!J122</f>
        <v>9</v>
      </c>
      <c r="J24" s="102" t="e">
        <f aca="false">HPVAL($A24,$I$1,$I$2,$G$1,$K$1,$G$2)+'[1]April HC'!F107+'[1]April HC'!F109+'[1]April HC'!F108+'[1]April HC'!F114+'[1]April HC'!F115+'[1]April HC'!F116+'[1]April HC'!F117+'[1]April HC'!F118+'[1]April HC'!F119+'[1]April HC'!F122</f>
        <v>#NAME?</v>
      </c>
      <c r="K24" s="103" t="e">
        <f aca="false">+I24-J24</f>
        <v>#NAME?</v>
      </c>
      <c r="L24" s="101" t="n">
        <f aca="false">+'[1]April HC'!I94+'[1]April HC'!I107+'[1]April HC'!I108+'[1]April HC'!I109+'[1]April HC'!I114+'[1]April HC'!I115+'[1]April HC'!I116+'[1]April HC'!I117+'[1]April HC'!I118+'[1]April HC'!I119+'[1]April HC'!I122</f>
        <v>16.2</v>
      </c>
      <c r="M24" s="103" t="n">
        <f aca="false">+I24-L24</f>
        <v>-7.2</v>
      </c>
    </row>
    <row r="25" customFormat="false" ht="15.75" hidden="false" customHeight="false" outlineLevel="0" collapsed="false">
      <c r="A25" s="0" t="s">
        <v>160</v>
      </c>
      <c r="B25" s="0" t="s">
        <v>127</v>
      </c>
      <c r="C25" s="0" t="s">
        <v>161</v>
      </c>
      <c r="D25" s="0" t="s">
        <v>162</v>
      </c>
      <c r="E25" s="10" t="n">
        <v>618678</v>
      </c>
      <c r="F25" s="10" t="n">
        <v>559600</v>
      </c>
      <c r="G25" s="104" t="n">
        <f aca="false">+E25-F25</f>
        <v>59078</v>
      </c>
      <c r="I25" s="105" t="n">
        <f aca="false">+'[1]April HC'!J101</f>
        <v>0</v>
      </c>
      <c r="J25" s="102" t="e">
        <f aca="false">HPVAL($A25,$I$1,$I$2,$G$1,$K$1,$G$2)</f>
        <v>#NAME?</v>
      </c>
      <c r="K25" s="103" t="e">
        <f aca="false">+I25-J25</f>
        <v>#NAME?</v>
      </c>
      <c r="L25" s="101" t="n">
        <f aca="false">+'[1]April HC'!I101</f>
        <v>0</v>
      </c>
      <c r="M25" s="103" t="n">
        <f aca="false">+I25-L25</f>
        <v>0</v>
      </c>
    </row>
    <row r="26" customFormat="false" ht="12.75" hidden="true" customHeight="false" outlineLevel="0" collapsed="false">
      <c r="A26" s="0" t="s">
        <v>163</v>
      </c>
      <c r="B26" s="0" t="s">
        <v>127</v>
      </c>
      <c r="C26" s="0" t="s">
        <v>164</v>
      </c>
      <c r="D26" s="0" t="s">
        <v>165</v>
      </c>
      <c r="E26" s="10" t="n">
        <v>2384577</v>
      </c>
      <c r="F26" s="10" t="n">
        <v>2790324</v>
      </c>
      <c r="G26" s="104" t="n">
        <f aca="false">+E26-F26</f>
        <v>-405747</v>
      </c>
      <c r="I26" s="101" t="n">
        <f aca="false">+'[1]April HC'!J99</f>
        <v>3</v>
      </c>
      <c r="J26" s="102" t="e">
        <f aca="false">HPVAL($A26,$I$1,$I$2,$G$1,$K$1,$G$2)</f>
        <v>#NAME?</v>
      </c>
      <c r="K26" s="103" t="e">
        <f aca="false">+I26-J26</f>
        <v>#NAME?</v>
      </c>
      <c r="L26" s="101" t="n">
        <f aca="false">+'[1]April HC'!I99</f>
        <v>2</v>
      </c>
      <c r="M26" s="103" t="n">
        <f aca="false">+I26-L26</f>
        <v>1</v>
      </c>
    </row>
    <row r="27" customFormat="false" ht="12.75" hidden="true" customHeight="false" outlineLevel="0" collapsed="false">
      <c r="A27" s="0" t="s">
        <v>166</v>
      </c>
      <c r="B27" s="0" t="s">
        <v>127</v>
      </c>
      <c r="C27" s="0" t="s">
        <v>167</v>
      </c>
      <c r="D27" s="0" t="s">
        <v>165</v>
      </c>
      <c r="E27" s="10" t="n">
        <v>1</v>
      </c>
      <c r="F27" s="10" t="n">
        <v>0</v>
      </c>
      <c r="G27" s="104" t="n">
        <f aca="false">+E27-F27</f>
        <v>1</v>
      </c>
      <c r="I27" s="101" t="n">
        <f aca="false">+'[1]April HC'!J100</f>
        <v>3</v>
      </c>
      <c r="J27" s="102" t="e">
        <f aca="false">HPVAL($A27,$I$1,$I$2,$G$1,$K$1,$G$2)</f>
        <v>#NAME?</v>
      </c>
      <c r="K27" s="103" t="e">
        <f aca="false">+I27-J27</f>
        <v>#NAME?</v>
      </c>
      <c r="L27" s="101" t="n">
        <f aca="false">+'[1]April HC'!I100</f>
        <v>2</v>
      </c>
      <c r="M27" s="103" t="n">
        <f aca="false">+I27-L27</f>
        <v>1</v>
      </c>
    </row>
    <row r="28" customFormat="false" ht="12.75" hidden="false" customHeight="false" outlineLevel="0" collapsed="false">
      <c r="C28" s="0" t="s">
        <v>168</v>
      </c>
      <c r="D28" s="0" t="s">
        <v>165</v>
      </c>
      <c r="E28" s="10" t="n">
        <v>3585832</v>
      </c>
      <c r="F28" s="10" t="n">
        <v>4276618.135</v>
      </c>
      <c r="G28" s="10" t="n">
        <f aca="false">+G26+G24+G16+G27</f>
        <v>-690786.135</v>
      </c>
      <c r="I28" s="101"/>
      <c r="J28" s="102"/>
      <c r="K28" s="103"/>
      <c r="L28" s="101"/>
      <c r="M28" s="103"/>
    </row>
    <row r="29" customFormat="false" ht="12.75" hidden="false" customHeight="false" outlineLevel="0" collapsed="false">
      <c r="A29" s="0" t="s">
        <v>169</v>
      </c>
      <c r="B29" s="0" t="s">
        <v>127</v>
      </c>
      <c r="C29" s="0" t="s">
        <v>170</v>
      </c>
      <c r="E29" s="10" t="n">
        <v>-944192</v>
      </c>
      <c r="F29" s="10" t="n">
        <v>-1276642.27788642</v>
      </c>
      <c r="G29" s="104" t="n">
        <f aca="false">+E29-F29</f>
        <v>332450.277886417</v>
      </c>
      <c r="I29" s="16" t="n">
        <v>0</v>
      </c>
      <c r="J29" s="102" t="n">
        <v>0</v>
      </c>
      <c r="K29" s="103" t="n">
        <f aca="false">+I29-J29</f>
        <v>0</v>
      </c>
      <c r="L29" s="16" t="n">
        <v>0</v>
      </c>
      <c r="M29" s="103" t="n">
        <f aca="false">+I29-L29</f>
        <v>0</v>
      </c>
    </row>
    <row r="30" customFormat="false" ht="8.25" hidden="false" customHeight="true" outlineLevel="0" collapsed="false"/>
    <row r="31" customFormat="false" ht="13.5" hidden="false" customHeight="false" outlineLevel="0" collapsed="false">
      <c r="C31" s="0" t="s">
        <v>171</v>
      </c>
      <c r="E31" s="106" t="n">
        <f aca="false">+E29+E28+E25+E23+E20+E19+E18+E17+E15+E14+E11</f>
        <v>19811256</v>
      </c>
      <c r="F31" s="106" t="n">
        <f aca="false">+F29+F28+F25+F23+F20+F19+F18+F17+F15+F14+F11</f>
        <v>21083149.3245511</v>
      </c>
      <c r="G31" s="106" t="n">
        <f aca="false">+G29+G28+G25+G23+G20+G19+G18+G17+G15+G14+G11</f>
        <v>-1271893.32455108</v>
      </c>
      <c r="I31" s="107" t="n">
        <f aca="false">+I29+I26+I25+I24+I23+I20+I19+I18+I17+I16+I15+I14+I13+I12</f>
        <v>355</v>
      </c>
      <c r="J31" s="107" t="e">
        <f aca="false">+J29+J26+J25+J24+J23+J20+J19+J18+J17+J16+J15+J14+J13+J12</f>
        <v>#NAME?</v>
      </c>
      <c r="K31" s="107" t="e">
        <f aca="false">+K29+K26+K25+K24+K23+K20+K19+K18+K17+K16+K15+K14+K13+K12</f>
        <v>#NAME?</v>
      </c>
      <c r="L31" s="107" t="n">
        <f aca="false">+L29+L26+L25+L24+L23+L20+L19+L18+L17+L16+L15+L14+L13+L12</f>
        <v>358.1</v>
      </c>
      <c r="M31" s="107" t="n">
        <f aca="false">+M29+M26+M25+M24+M23+M20+M19+M18+M17+M16+M15+M14+M13+M12</f>
        <v>-3.1</v>
      </c>
    </row>
    <row r="32" customFormat="false" ht="13.5" hidden="false" customHeight="false" outlineLevel="0" collapsed="false">
      <c r="C32" s="23"/>
      <c r="E32" s="99"/>
      <c r="I32" s="99"/>
    </row>
    <row r="33" customFormat="false" ht="12.75" hidden="false" customHeight="false" outlineLevel="0" collapsed="false">
      <c r="J33" s="108"/>
    </row>
    <row r="34" customFormat="false" ht="12.75" hidden="false" customHeight="false" outlineLevel="0" collapsed="false">
      <c r="J34" s="108"/>
    </row>
    <row r="35" customFormat="false" ht="12.75" hidden="false" customHeight="false" outlineLevel="0" collapsed="false">
      <c r="J35" s="108"/>
    </row>
    <row r="36" customFormat="false" ht="12.75" hidden="false" customHeight="false" outlineLevel="0" collapsed="false">
      <c r="J36" s="108"/>
    </row>
    <row r="37" customFormat="false" ht="12.75" hidden="false" customHeight="false" outlineLevel="0" collapsed="false">
      <c r="J37" s="108"/>
    </row>
    <row r="38" customFormat="false" ht="12.75" hidden="false" customHeight="false" outlineLevel="0" collapsed="false">
      <c r="J38" s="108"/>
    </row>
    <row r="39" customFormat="false" ht="12.75" hidden="false" customHeight="false" outlineLevel="0" collapsed="false">
      <c r="J39" s="108"/>
    </row>
    <row r="40" customFormat="false" ht="12.75" hidden="false" customHeight="false" outlineLevel="0" collapsed="false">
      <c r="J40" s="108"/>
    </row>
    <row r="41" customFormat="false" ht="12.75" hidden="false" customHeight="false" outlineLevel="0" collapsed="false">
      <c r="J41" s="108"/>
    </row>
    <row r="42" customFormat="false" ht="12.75" hidden="false" customHeight="false" outlineLevel="0" collapsed="false">
      <c r="J42" s="108"/>
    </row>
    <row r="43" customFormat="false" ht="12.75" hidden="false" customHeight="false" outlineLevel="0" collapsed="false">
      <c r="J43" s="108"/>
    </row>
    <row r="44" customFormat="false" ht="12.75" hidden="false" customHeight="false" outlineLevel="0" collapsed="false">
      <c r="J44" s="108"/>
    </row>
    <row r="45" customFormat="false" ht="12.75" hidden="false" customHeight="false" outlineLevel="0" collapsed="false">
      <c r="J45" s="108"/>
    </row>
    <row r="46" customFormat="false" ht="12.75" hidden="false" customHeight="false" outlineLevel="0" collapsed="false">
      <c r="J46" s="108"/>
    </row>
    <row r="47" customFormat="false" ht="12.75" hidden="false" customHeight="false" outlineLevel="0" collapsed="false">
      <c r="J47" s="108"/>
    </row>
    <row r="48" customFormat="false" ht="12.75" hidden="false" customHeight="false" outlineLevel="0" collapsed="false">
      <c r="J48" s="108"/>
    </row>
    <row r="49" customFormat="false" ht="12.75" hidden="false" customHeight="false" outlineLevel="0" collapsed="false">
      <c r="J49" s="108"/>
    </row>
    <row r="51" customFormat="false" ht="12.75" hidden="false" customHeight="false" outlineLevel="0" collapsed="false">
      <c r="P51" s="109"/>
    </row>
    <row r="56" customFormat="false" ht="12.75" hidden="false" customHeight="false" outlineLevel="0" collapsed="false">
      <c r="C56" s="0" t="s">
        <v>172</v>
      </c>
    </row>
    <row r="57" customFormat="false" ht="12.75" hidden="false" customHeight="false" outlineLevel="0" collapsed="false">
      <c r="A57" s="0" t="s">
        <v>173</v>
      </c>
      <c r="C57" s="0" t="s">
        <v>173</v>
      </c>
      <c r="E57" s="10" t="e">
        <f aca="false">HPVAL($A57,E$1,$A$1,$G$1,$F$2,$G$2)</f>
        <v>#NAME?</v>
      </c>
      <c r="F57" s="10" t="e">
        <f aca="false">HPVAL($A57,F$1,$A$1,$G$1,$F$2,$G$2)</f>
        <v>#NAME?</v>
      </c>
      <c r="I57" s="102" t="e">
        <f aca="false">HPVAL($A57,$E$1,$I$2,$G$1,$K$1,$G$2)</f>
        <v>#NAME?</v>
      </c>
      <c r="J57" s="102" t="e">
        <f aca="false">HPVAL($A57,$I$1,$I$2,$G$1,$K$1,$G$2)</f>
        <v>#NAME?</v>
      </c>
    </row>
    <row r="58" customFormat="false" ht="12.75" hidden="false" customHeight="false" outlineLevel="0" collapsed="false">
      <c r="E58" s="104" t="e">
        <f aca="false">+E57-E31</f>
        <v>#NAME?</v>
      </c>
      <c r="F58" s="104" t="e">
        <f aca="false">+F57-F31</f>
        <v>#NAME?</v>
      </c>
      <c r="I58" s="104" t="e">
        <f aca="false">+I57-I31</f>
        <v>#NAME?</v>
      </c>
      <c r="J58" s="104" t="e">
        <f aca="false">+J57-J31</f>
        <v>#NAME?</v>
      </c>
    </row>
  </sheetData>
  <mergeCells count="2">
    <mergeCell ref="C8:G8"/>
    <mergeCell ref="I8:M8"/>
  </mergeCells>
  <printOptions headings="false" gridLines="false" gridLinesSet="true" horizontalCentered="true" verticalCentered="true"/>
  <pageMargins left="0" right="0" top="0.7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&amp;L&amp;8(a) Includes costs for Risk Mgmt, Logistics, Deal Clearing Documentation functions only.
(b) Adjusted headcount reflects original budget plus additions to support business growth.&amp;R&amp;8Page 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2000-08-07T16:20:39Z</dcterms:created>
  <dc:creator>Brian Heinrich</dc:creator>
  <dc:description/>
  <dc:language>en-US</dc:language>
  <cp:lastModifiedBy>Brian Heinrich</cp:lastModifiedBy>
  <cp:revision>0</cp:revision>
  <dc:subject/>
  <dc:title/>
</cp:coreProperties>
</file>