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CC Calculation" sheetId="1" state="visible" r:id="rId3"/>
    <sheet name="Equations and Inputs" sheetId="2" state="visible" r:id="rId4"/>
    <sheet name="Yen-$ Rates" sheetId="3" state="visible" r:id="rId5"/>
    <sheet name="X1, X2, X3 Calculation" sheetId="4" state="visible" r:id="rId6"/>
    <sheet name="Y Calculation" sheetId="5" state="visible" r:id="rId7"/>
    <sheet name="Japan Import" sheetId="6" state="visible" r:id="rId8"/>
  </sheets>
  <definedNames>
    <definedName function="false" hidden="false" localSheetId="1" name="_xlnm.Print_Area" vbProcedure="false">'Equations and Inputs'!$A$1:$J$16</definedName>
    <definedName function="false" hidden="false" localSheetId="5" name="_xlnm.Print_Area" vbProcedure="false">'Japan Import'!$A$1:$U$24</definedName>
    <definedName function="false" hidden="false" localSheetId="0" name="_xlnm.Print_Area" vbProcedure="false">'JCC Calculation'!$A$1:$G$21</definedName>
    <definedName function="false" hidden="false" localSheetId="3" name="_xlnm.Print_Area" vbProcedure="false">'X1, X2, X3 Calculation'!$A$1:$G$24</definedName>
    <definedName function="false" hidden="false" localSheetId="4" name="_xlnm.Print_Area" vbProcedure="false">'Y Calculation'!$A$1:$H$21</definedName>
    <definedName function="false" hidden="false" localSheetId="2" name="_xlnm.Print_Area" vbProcedure="false">'Yen-$ Rates'!$A$63:$G$82</definedName>
    <definedName function="false" hidden="false" localSheetId="2" name="_xlnm.Print_Titles" vbProcedure="false">'Yen-$ Rates'!$2:$12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<sst xmlns="http://schemas.openxmlformats.org/spreadsheetml/2006/main" count="488" uniqueCount="247">
  <si>
    <t xml:space="preserve">Calculation of JCC Monthly Prices for 1999</t>
  </si>
  <si>
    <t xml:space="preserve">JCC = Su x 0.158987 x 1000/(Sq x R)</t>
  </si>
  <si>
    <t xml:space="preserve">1 Barrel Brent = 5.5 MMBtu</t>
  </si>
  <si>
    <t xml:space="preserve">JCC</t>
  </si>
  <si>
    <t xml:space="preserve">Month</t>
  </si>
  <si>
    <t xml:space="preserve">Su</t>
  </si>
  <si>
    <t xml:space="preserve">Sq</t>
  </si>
  <si>
    <t xml:space="preserve">R</t>
  </si>
  <si>
    <t xml:space="preserve">MMBtu Equiv.</t>
  </si>
  <si>
    <t xml:space="preserve">NA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</si>
  <si>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</si>
  <si>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</si>
  <si>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</si>
  <si>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</si>
  <si>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</si>
  <si>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</si>
  <si>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</si>
  <si>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</si>
  <si>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</si>
  <si>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</si>
  <si>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</si>
  <si>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</si>
  <si>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JCC Pricing Equations and Inputs</t>
  </si>
  <si>
    <r>
      <rPr>
        <b val="true"/>
        <sz val="10"/>
        <rFont val="Arial"/>
        <family val="2"/>
      </rPr>
      <t xml:space="preserve">JCC</t>
    </r>
    <r>
      <rPr>
        <sz val="10"/>
        <rFont val="Arial"/>
        <family val="0"/>
      </rPr>
      <t xml:space="preserve"> expressed in $US</t>
    </r>
  </si>
  <si>
    <t xml:space="preserve">sum in value of thousands of Yen for Raw Oils imported into Japan for specified month</t>
  </si>
  <si>
    <t xml:space="preserve">sum of the quantities in kiloliters for the Raw oils</t>
  </si>
  <si>
    <t xml:space="preserve">Yen/$ exchange rate for the specified month (rounded to two decimal places)</t>
  </si>
  <si>
    <t xml:space="preserve">Note:</t>
  </si>
  <si>
    <t xml:space="preserve">0.158987 is the number of kiloliters equal to one barrel</t>
  </si>
  <si>
    <t xml:space="preserve">R = </t>
  </si>
  <si>
    <t xml:space="preserve">X/Y</t>
  </si>
  <si>
    <t xml:space="preserve">X =</t>
  </si>
  <si>
    <t xml:space="preserve">value of all imported commodities into Japan in millions of Yen for the specified month</t>
  </si>
  <si>
    <t xml:space="preserve">Y = </t>
  </si>
  <si>
    <t xml:space="preserve">value of all imported commodities into Japan in millions of $US determined by the following formula:</t>
  </si>
  <si>
    <t xml:space="preserve">Y =</t>
  </si>
  <si>
    <t xml:space="preserve">X1/R1 + X2/R2 + X3/R3</t>
  </si>
  <si>
    <t xml:space="preserve">Note: Each of these three terms is expressed in millions of $US and rounded to three decimal places</t>
  </si>
  <si>
    <t xml:space="preserve">Weekly Exchange Rates between USD and JPY</t>
  </si>
  <si>
    <t xml:space="preserve">(Yen per U.S. Dollar)</t>
  </si>
  <si>
    <t xml:space="preserve">Source: Kanzei Shuho (Tariff Weekly), Japan's Ministry of Finance</t>
  </si>
  <si>
    <t xml:space="preserve">R1 = exchange rate for the first ten days of the month (1-10)</t>
  </si>
  <si>
    <t xml:space="preserve">R2 = exchange rate for the second ten days of the month (11-20)</t>
  </si>
  <si>
    <t xml:space="preserve">R3 = exchange rate for the remaining days of the month (21 - )</t>
  </si>
  <si>
    <t xml:space="preserve">R1, R2, R3 = averages weighted according to the number of days the rate applied each week</t>
  </si>
  <si>
    <t xml:space="preserve">Week</t>
  </si>
  <si>
    <t xml:space="preserve">Rate</t>
  </si>
  <si>
    <t xml:space="preserve">R1</t>
  </si>
  <si>
    <t xml:space="preserve">R2</t>
  </si>
  <si>
    <t xml:space="preserve">R3</t>
  </si>
  <si>
    <t xml:space="preserve">(Sunday to Saturday)</t>
  </si>
  <si>
    <t xml:space="preserve">Jan. 10 - 16</t>
  </si>
  <si>
    <t xml:space="preserve">Jan. 17 - 23</t>
  </si>
  <si>
    <t xml:space="preserve">Jan R2</t>
  </si>
  <si>
    <t xml:space="preserve">Jan. 24 - 30</t>
  </si>
  <si>
    <t xml:space="preserve">Jan. 31 - Feb. 6</t>
  </si>
  <si>
    <t xml:space="preserve">Jan R3</t>
  </si>
  <si>
    <t xml:space="preserve">Feb. 7 - 13</t>
  </si>
  <si>
    <t xml:space="preserve">Feb R1</t>
  </si>
  <si>
    <t xml:space="preserve">Feb. 14 - 20</t>
  </si>
  <si>
    <t xml:space="preserve">Feb R2</t>
  </si>
  <si>
    <t xml:space="preserve">Feb. 21 - 27</t>
  </si>
  <si>
    <t xml:space="preserve">Feb. 28 - March 6</t>
  </si>
  <si>
    <t xml:space="preserve">Feb R3</t>
  </si>
  <si>
    <t xml:space="preserve">March 7- 13</t>
  </si>
  <si>
    <t xml:space="preserve">Mar R1</t>
  </si>
  <si>
    <t xml:space="preserve">March 14 - 20</t>
  </si>
  <si>
    <t xml:space="preserve">Mar R2</t>
  </si>
  <si>
    <t xml:space="preserve">March 21 - 27</t>
  </si>
  <si>
    <t xml:space="preserve">March 28 - April 3</t>
  </si>
  <si>
    <t xml:space="preserve">Mar R3</t>
  </si>
  <si>
    <t xml:space="preserve">April 4 - 10</t>
  </si>
  <si>
    <t xml:space="preserve">Apr R1</t>
  </si>
  <si>
    <t xml:space="preserve">April 11 - 17</t>
  </si>
  <si>
    <t xml:space="preserve">April 18 -24</t>
  </si>
  <si>
    <t xml:space="preserve">Apr R2</t>
  </si>
  <si>
    <t xml:space="preserve">April 25 - May 1</t>
  </si>
  <si>
    <t xml:space="preserve">Apr R3</t>
  </si>
  <si>
    <t xml:space="preserve">May 2 - 8</t>
  </si>
  <si>
    <t xml:space="preserve">May 9 - 15</t>
  </si>
  <si>
    <t xml:space="preserve">May R1</t>
  </si>
  <si>
    <t xml:space="preserve">May 16 - 22</t>
  </si>
  <si>
    <t xml:space="preserve">May R2</t>
  </si>
  <si>
    <t xml:space="preserve">May 23 - 29</t>
  </si>
  <si>
    <t xml:space="preserve">May 30 - June 5</t>
  </si>
  <si>
    <t xml:space="preserve">May R3</t>
  </si>
  <si>
    <t xml:space="preserve">June 6 - 12</t>
  </si>
  <si>
    <t xml:space="preserve">Jun R1</t>
  </si>
  <si>
    <t xml:space="preserve">June 13 - 19</t>
  </si>
  <si>
    <t xml:space="preserve">June 20 - 26</t>
  </si>
  <si>
    <t xml:space="preserve">Jun R2</t>
  </si>
  <si>
    <t xml:space="preserve">June 27 - July 3</t>
  </si>
  <si>
    <t xml:space="preserve">Jun R3</t>
  </si>
  <si>
    <t xml:space="preserve">July 4 - 10</t>
  </si>
  <si>
    <t xml:space="preserve">Jul R1</t>
  </si>
  <si>
    <t xml:space="preserve">July 11 - 17</t>
  </si>
  <si>
    <t xml:space="preserve">July 18 - 24</t>
  </si>
  <si>
    <t xml:space="preserve">Jul R2</t>
  </si>
  <si>
    <t xml:space="preserve">July 25 - 31</t>
  </si>
  <si>
    <t xml:space="preserve">Jul R3</t>
  </si>
  <si>
    <t xml:space="preserve">Aug. 1 - 7</t>
  </si>
  <si>
    <t xml:space="preserve">Aug. 8 - 14</t>
  </si>
  <si>
    <t xml:space="preserve">Aug R1</t>
  </si>
  <si>
    <t xml:space="preserve">Aug. 15 - 21</t>
  </si>
  <si>
    <t xml:space="preserve">Aug R2</t>
  </si>
  <si>
    <t xml:space="preserve">Aug. 22 - 28</t>
  </si>
  <si>
    <t xml:space="preserve">Aug. 29 - Sep. 4</t>
  </si>
  <si>
    <t xml:space="preserve">Aug R3</t>
  </si>
  <si>
    <t xml:space="preserve">Sep. 5 - 11</t>
  </si>
  <si>
    <t xml:space="preserve">Sep R1</t>
  </si>
  <si>
    <t xml:space="preserve">Sep. 12 - 18</t>
  </si>
  <si>
    <t xml:space="preserve">Sep. 19 - 25</t>
  </si>
  <si>
    <t xml:space="preserve">Sep R2</t>
  </si>
  <si>
    <t xml:space="preserve">Sep. 26 - Oct. 2</t>
  </si>
  <si>
    <t xml:space="preserve">Sep R3</t>
  </si>
  <si>
    <t xml:space="preserve">Oct. 3 - 9</t>
  </si>
  <si>
    <t xml:space="preserve">Oct. 10 - 16</t>
  </si>
  <si>
    <t xml:space="preserve">Oct R1</t>
  </si>
  <si>
    <t xml:space="preserve">Oct. 17 - 23</t>
  </si>
  <si>
    <t xml:space="preserve">Oct R2</t>
  </si>
  <si>
    <t xml:space="preserve">Oct. 24 - 30</t>
  </si>
  <si>
    <t xml:space="preserve">Oct. 31 - Nov. 6</t>
  </si>
  <si>
    <t xml:space="preserve">Oct R3</t>
  </si>
  <si>
    <t xml:space="preserve">Nov. 7 - 13</t>
  </si>
  <si>
    <t xml:space="preserve">Nov R1</t>
  </si>
  <si>
    <t xml:space="preserve">Nov. 14 - 20</t>
  </si>
  <si>
    <t xml:space="preserve">Nov R2</t>
  </si>
  <si>
    <t xml:space="preserve">Nov. 21 - 27</t>
  </si>
  <si>
    <t xml:space="preserve">Nov. 28 - Dec. 4</t>
  </si>
  <si>
    <t xml:space="preserve">Nov R3</t>
  </si>
  <si>
    <t xml:space="preserve">Dec. 5 - 11</t>
  </si>
  <si>
    <t xml:space="preserve">Dec R1</t>
  </si>
  <si>
    <t xml:space="preserve">Dec. 12 - 18</t>
  </si>
  <si>
    <t xml:space="preserve">Dec. 19 - 25</t>
  </si>
  <si>
    <t xml:space="preserve">Dec R2</t>
  </si>
  <si>
    <t xml:space="preserve">Dec. 26 - Jan. 1</t>
  </si>
  <si>
    <t xml:space="preserve">Dec R3</t>
  </si>
  <si>
    <t xml:space="preserve">Jan. 2 - Jan. 8</t>
  </si>
  <si>
    <t xml:space="preserve">Jan. 9 - Jan. 15</t>
  </si>
  <si>
    <t xml:space="preserve">Jan R1</t>
  </si>
  <si>
    <t xml:space="preserve">Jan. 16 - Jan. 22</t>
  </si>
  <si>
    <t xml:space="preserve">Jan. 23 - Jan. 29</t>
  </si>
  <si>
    <t xml:space="preserve">Jan. 30 - Feb. 5</t>
  </si>
  <si>
    <t xml:space="preserve">Feb. 6 - Feb. 12</t>
  </si>
  <si>
    <t xml:space="preserve">Feb. 13 - Feb. 19</t>
  </si>
  <si>
    <t xml:space="preserve">Feb. 20 - Feb. 26</t>
  </si>
  <si>
    <t xml:space="preserve">Feb. 27 - Mar. 4</t>
  </si>
  <si>
    <t xml:space="preserve">Mar. 5 - Mar. 11</t>
  </si>
  <si>
    <t xml:space="preserve">Mar. 12 - Mar. 18</t>
  </si>
  <si>
    <t xml:space="preserve">Mar. 19 - Mar. 25</t>
  </si>
  <si>
    <t xml:space="preserve">Mar. 26 - Apr. 1</t>
  </si>
  <si>
    <t xml:space="preserve">Apr. 2 - Apr. 8</t>
  </si>
  <si>
    <t xml:space="preserve">Apr. 9 - Apr. 15</t>
  </si>
  <si>
    <t xml:space="preserve">Apr. 16 - Apr. 22</t>
  </si>
  <si>
    <t xml:space="preserve">Apr. 23 - Apr. 29</t>
  </si>
  <si>
    <t xml:space="preserve">Apr. 30 - May 6</t>
  </si>
  <si>
    <t xml:space="preserve">May 7 - May 13</t>
  </si>
  <si>
    <t xml:space="preserve">May 14 - May 20</t>
  </si>
  <si>
    <t xml:space="preserve">May 21 - May 27</t>
  </si>
  <si>
    <t xml:space="preserve">May 28 - Jun. 3</t>
  </si>
  <si>
    <t xml:space="preserve">Jun. 4 - Jun. 10</t>
  </si>
  <si>
    <t xml:space="preserve">Jun. 11 - Jun. 17</t>
  </si>
  <si>
    <t xml:space="preserve">Jun. 18 - Jun. 24</t>
  </si>
  <si>
    <t xml:space="preserve">Jun. 25 - Jul. 1</t>
  </si>
  <si>
    <t xml:space="preserve">Jul. 2 - Jul. 8</t>
  </si>
  <si>
    <t xml:space="preserve">Jul. 9 - Jul. 15</t>
  </si>
  <si>
    <t xml:space="preserve">Jul. 16 - Jul. 22</t>
  </si>
  <si>
    <t xml:space="preserve">Jul. 23 - Jul. 29</t>
  </si>
  <si>
    <t xml:space="preserve">Jul. 30 - Aug. 5</t>
  </si>
  <si>
    <t xml:space="preserve">Aug. 6 - Aug. 12</t>
  </si>
  <si>
    <t xml:space="preserve">Aug. 13 - Aug. 19</t>
  </si>
  <si>
    <t xml:space="preserve">Aug. 20 - Aug. 26</t>
  </si>
  <si>
    <t xml:space="preserve">Aug. 27 - Sep. 2</t>
  </si>
  <si>
    <t xml:space="preserve">Sep. 3 - Sep. 9</t>
  </si>
  <si>
    <t xml:space="preserve">Sep. 10 - Sep. 16</t>
  </si>
  <si>
    <t xml:space="preserve">Sep. 17 - Sep. 23</t>
  </si>
  <si>
    <t xml:space="preserve">Sep. 24 - Sep. 30</t>
  </si>
  <si>
    <t xml:space="preserve">Oct. 1 - Oct. 7</t>
  </si>
  <si>
    <t xml:space="preserve">Oct. 8 - Oct. 14</t>
  </si>
  <si>
    <t xml:space="preserve">Oct. 15 - Oct. 21</t>
  </si>
  <si>
    <t xml:space="preserve">Oct. 22 - Oct. 28</t>
  </si>
  <si>
    <t xml:space="preserve">Oct. 29 - Nov. 4</t>
  </si>
  <si>
    <t xml:space="preserve">Nov. 5 - Nov. 11</t>
  </si>
  <si>
    <t xml:space="preserve">Nov. 12 - Nov. 18</t>
  </si>
  <si>
    <t xml:space="preserve">Nov. 19 - Nov. 25</t>
  </si>
  <si>
    <t xml:space="preserve">Nov. 26 - Dec. 2</t>
  </si>
  <si>
    <t xml:space="preserve">Dec. 3 - Dec. 9</t>
  </si>
  <si>
    <t xml:space="preserve">Dec. 10 - Dec. 16</t>
  </si>
  <si>
    <t xml:space="preserve">Dec. 17 - Dec. 23</t>
  </si>
  <si>
    <t xml:space="preserve">Dec. 24 - Dec. 30</t>
  </si>
  <si>
    <t xml:space="preserve">Dec. 31 - </t>
  </si>
  <si>
    <t xml:space="preserve">Value of Imported Commodities into Japan</t>
  </si>
  <si>
    <t xml:space="preserve">1999 Monthly</t>
  </si>
  <si>
    <t xml:space="preserve">X1 = first 10 days of the month</t>
  </si>
  <si>
    <t xml:space="preserve">X2 = second 10 days of the month</t>
  </si>
  <si>
    <t xml:space="preserve">X3 = remaining days in the month</t>
  </si>
  <si>
    <t xml:space="preserve">* units in million of Yen</t>
  </si>
  <si>
    <t xml:space="preserve">First</t>
  </si>
  <si>
    <t xml:space="preserve">(X)</t>
  </si>
  <si>
    <t xml:space="preserve">10 Days</t>
  </si>
  <si>
    <t xml:space="preserve">20 Days</t>
  </si>
  <si>
    <t xml:space="preserve">Monthly</t>
  </si>
  <si>
    <t xml:space="preserve">Provision</t>
  </si>
  <si>
    <t xml:space="preserve">Provisional</t>
  </si>
  <si>
    <t xml:space="preserve">Total</t>
  </si>
  <si>
    <t xml:space="preserve">X1</t>
  </si>
  <si>
    <t xml:space="preserve">X2</t>
  </si>
  <si>
    <t xml:space="preserve">X3</t>
  </si>
  <si>
    <t xml:space="preserve">unavailable</t>
  </si>
  <si>
    <t xml:space="preserve">Calculation of Y, X &amp; R for JCC Pricing for 1999</t>
  </si>
  <si>
    <t xml:space="preserve">Millions of $US</t>
  </si>
  <si>
    <t xml:space="preserve">Y = (X1/R1) + (X2/R2) + (X3/R3)</t>
  </si>
  <si>
    <t xml:space="preserve">R = X/Y</t>
  </si>
  <si>
    <t xml:space="preserve">(million $US)</t>
  </si>
  <si>
    <t xml:space="preserve">(million Yen)</t>
  </si>
  <si>
    <t xml:space="preserve">(Yen/$)</t>
  </si>
  <si>
    <t xml:space="preserve">X1/R1</t>
  </si>
  <si>
    <t xml:space="preserve">X2/R2</t>
  </si>
  <si>
    <t xml:space="preserve">X3/R3</t>
  </si>
  <si>
    <t xml:space="preserve">Y</t>
  </si>
  <si>
    <t xml:space="preserve">X</t>
  </si>
  <si>
    <t xml:space="preserve">Calculation of Monthly Oil Imports to Japan</t>
  </si>
  <si>
    <t xml:space="preserve">Includes Crude Oils and oils obtained from bituminous minerals</t>
  </si>
  <si>
    <t xml:space="preserve">Published by Japan Tariff Association Under the following Codes:</t>
  </si>
  <si>
    <t xml:space="preserve">2709.00-.010, 090</t>
  </si>
  <si>
    <t xml:space="preserve">2710.00 - 162, 164, 166, 169, 172, 174, 179</t>
  </si>
  <si>
    <t xml:space="preserve">* Quantities Stated in Kiloliters</t>
  </si>
  <si>
    <t xml:space="preserve">** Values in 000's of Yen</t>
  </si>
  <si>
    <t xml:space="preserve">Commodity Codes</t>
  </si>
  <si>
    <t xml:space="preserve">2709.00-010</t>
  </si>
  <si>
    <t xml:space="preserve">2709.00-090</t>
  </si>
  <si>
    <t xml:space="preserve">2710.00-162</t>
  </si>
  <si>
    <t xml:space="preserve">2710.00-164</t>
  </si>
  <si>
    <t xml:space="preserve">2710.00-172</t>
  </si>
  <si>
    <t xml:space="preserve">2710.00-174</t>
  </si>
  <si>
    <t xml:space="preserve">2710.00-179</t>
  </si>
  <si>
    <t xml:space="preserve">Fuel Type</t>
  </si>
  <si>
    <t xml:space="preserve">Petrochem Feedstock</t>
  </si>
  <si>
    <t xml:space="preserve">Other oil from bitum.</t>
  </si>
  <si>
    <t xml:space="preserve">Refinery Feedstock</t>
  </si>
  <si>
    <t xml:space="preserve">Raw Oils</t>
  </si>
  <si>
    <t xml:space="preserve">TOTALS</t>
  </si>
  <si>
    <t xml:space="preserve">Quantity/Value</t>
  </si>
  <si>
    <t xml:space="preserve">KL</t>
  </si>
  <si>
    <t xml:space="preserve">Yen</t>
  </si>
  <si>
    <t xml:space="preserve">1999 Adjustments</t>
  </si>
  <si>
    <t xml:space="preserve">(listed in the back of the 12/99 Ex/Im Yellow Book, by month)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</si>
</sst>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0.000"/>
    <numFmt numFmtId="167" formatCode="_(* #,##0.00_);_(* \(#,##0.00\);_(* \-??_);_(@_)"/>
    <numFmt numFmtId="168" formatCode="_(* #,##0_);_(* \(#,##0\);_(* \-??_);_(@_)"/>
    <numFmt numFmtId="169" formatCode="0.00"/>
    <numFmt numFmtId="170" formatCode="#,##0"/>
    <numFmt numFmtId="171" formatCode="#,##0.00"/>
    <numFmt numFmtId="172" formatCode="_(\$* #,##0.00_);_(\$* \(#,##0.00\);_(\$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19800</xdr:colOff>
      <xdr:row>9</xdr:row>
      <xdr:rowOff>9360</xdr:rowOff>
    </xdr:from>
    <xdr:to>
      <xdr:col>8</xdr:col>
      <xdr:colOff>299880</xdr:colOff>
      <xdr:row>13</xdr:row>
      <xdr:rowOff>75960</xdr:rowOff>
    </xdr:to>
    <xdr:sp>
      <xdr:nvSpPr>
        <xdr:cNvPr id="0" name="Line 1"/>
        <xdr:cNvSpPr/>
      </xdr:nvSpPr>
      <xdr:spPr>
        <a:xfrm flipH="1" flipV="1">
          <a:off x="5703840" y="1600200"/>
          <a:ext cx="918000" cy="714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19440</xdr:colOff>
      <xdr:row>13</xdr:row>
      <xdr:rowOff>114480</xdr:rowOff>
    </xdr:from>
    <xdr:to>
      <xdr:col>8</xdr:col>
      <xdr:colOff>329400</xdr:colOff>
      <xdr:row>20</xdr:row>
      <xdr:rowOff>152640</xdr:rowOff>
    </xdr:to>
    <xdr:sp>
      <xdr:nvSpPr>
        <xdr:cNvPr id="1" name="Line 2"/>
        <xdr:cNvSpPr/>
      </xdr:nvSpPr>
      <xdr:spPr>
        <a:xfrm flipH="1">
          <a:off x="5703480" y="2352960"/>
          <a:ext cx="947880" cy="1171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19800</xdr:colOff>
      <xdr:row>6</xdr:row>
      <xdr:rowOff>18360</xdr:rowOff>
    </xdr:from>
    <xdr:to>
      <xdr:col>8</xdr:col>
      <xdr:colOff>349560</xdr:colOff>
      <xdr:row>7</xdr:row>
      <xdr:rowOff>95040</xdr:rowOff>
    </xdr:to>
    <xdr:sp>
      <xdr:nvSpPr>
        <xdr:cNvPr id="2" name="Line 3"/>
        <xdr:cNvSpPr/>
      </xdr:nvSpPr>
      <xdr:spPr>
        <a:xfrm flipH="1" flipV="1">
          <a:off x="5703840" y="1113840"/>
          <a:ext cx="967680" cy="238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19800</xdr:colOff>
      <xdr:row>7</xdr:row>
      <xdr:rowOff>104760</xdr:rowOff>
    </xdr:from>
    <xdr:to>
      <xdr:col>8</xdr:col>
      <xdr:colOff>349560</xdr:colOff>
      <xdr:row>8</xdr:row>
      <xdr:rowOff>171720</xdr:rowOff>
    </xdr:to>
    <xdr:sp>
      <xdr:nvSpPr>
        <xdr:cNvPr id="3" name="Line 4"/>
        <xdr:cNvSpPr/>
      </xdr:nvSpPr>
      <xdr:spPr>
        <a:xfrm flipH="1">
          <a:off x="5703840" y="1362240"/>
          <a:ext cx="967680" cy="228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29520</xdr:colOff>
      <xdr:row>21</xdr:row>
      <xdr:rowOff>28440</xdr:rowOff>
    </xdr:from>
    <xdr:to>
      <xdr:col>8</xdr:col>
      <xdr:colOff>339480</xdr:colOff>
      <xdr:row>26</xdr:row>
      <xdr:rowOff>86040</xdr:rowOff>
    </xdr:to>
    <xdr:sp>
      <xdr:nvSpPr>
        <xdr:cNvPr id="4" name="Line 5"/>
        <xdr:cNvSpPr/>
      </xdr:nvSpPr>
      <xdr:spPr>
        <a:xfrm flipH="1" flipV="1">
          <a:off x="5713560" y="3571920"/>
          <a:ext cx="947880" cy="866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9360</xdr:colOff>
      <xdr:row>26</xdr:row>
      <xdr:rowOff>95760</xdr:rowOff>
    </xdr:from>
    <xdr:to>
      <xdr:col>8</xdr:col>
      <xdr:colOff>339480</xdr:colOff>
      <xdr:row>32</xdr:row>
      <xdr:rowOff>152640</xdr:rowOff>
    </xdr:to>
    <xdr:sp>
      <xdr:nvSpPr>
        <xdr:cNvPr id="5" name="Line 6"/>
        <xdr:cNvSpPr/>
      </xdr:nvSpPr>
      <xdr:spPr>
        <a:xfrm flipH="1">
          <a:off x="5693400" y="4448520"/>
          <a:ext cx="968040" cy="102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23</xdr:row>
      <xdr:rowOff>37800</xdr:rowOff>
    </xdr:from>
    <xdr:to>
      <xdr:col>7</xdr:col>
      <xdr:colOff>289800</xdr:colOff>
      <xdr:row>34</xdr:row>
      <xdr:rowOff>142920</xdr:rowOff>
    </xdr:to>
    <xdr:sp>
      <xdr:nvSpPr>
        <xdr:cNvPr id="6" name="AutoShape 1"/>
        <xdr:cNvSpPr/>
      </xdr:nvSpPr>
      <xdr:spPr>
        <a:xfrm>
          <a:off x="5433840" y="3876480"/>
          <a:ext cx="289800" cy="1886040"/>
        </a:xfrm>
        <a:custGeom>
          <a:avLst/>
          <a:gdLst/>
          <a:ahLst/>
          <a:rect l="l" t="t" r="r" b="b"/>
          <a:pathLst>
            <a:path w="29" h="198">
              <a:moveTo>
                <a:pt x="1" y="1"/>
              </a:moveTo>
              <a:cubicBezTo>
                <a:pt x="5" y="0"/>
                <a:pt x="9" y="0"/>
                <a:pt x="13" y="8"/>
              </a:cubicBezTo>
              <a:cubicBezTo>
                <a:pt x="17" y="16"/>
                <a:pt x="23" y="40"/>
                <a:pt x="24" y="49"/>
              </a:cubicBezTo>
              <a:cubicBezTo>
                <a:pt x="25" y="58"/>
                <a:pt x="24" y="58"/>
                <a:pt x="20" y="64"/>
              </a:cubicBezTo>
              <a:cubicBezTo>
                <a:pt x="16" y="70"/>
                <a:pt x="0" y="77"/>
                <a:pt x="1" y="83"/>
              </a:cubicBezTo>
              <a:cubicBezTo>
                <a:pt x="2" y="89"/>
                <a:pt x="24" y="92"/>
                <a:pt x="24" y="98"/>
              </a:cubicBezTo>
              <a:cubicBezTo>
                <a:pt x="24" y="104"/>
                <a:pt x="1" y="112"/>
                <a:pt x="1" y="118"/>
              </a:cubicBezTo>
              <a:cubicBezTo>
                <a:pt x="1" y="124"/>
                <a:pt x="21" y="125"/>
                <a:pt x="25" y="134"/>
              </a:cubicBezTo>
              <a:cubicBezTo>
                <a:pt x="29" y="143"/>
                <a:pt x="29" y="164"/>
                <a:pt x="26" y="175"/>
              </a:cubicBezTo>
              <a:cubicBezTo>
                <a:pt x="23" y="186"/>
                <a:pt x="9" y="194"/>
                <a:pt x="5" y="19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10</xdr:row>
      <xdr:rowOff>162000</xdr:rowOff>
    </xdr:from>
    <xdr:to>
      <xdr:col>7</xdr:col>
      <xdr:colOff>289800</xdr:colOff>
      <xdr:row>22</xdr:row>
      <xdr:rowOff>95400</xdr:rowOff>
    </xdr:to>
    <xdr:sp>
      <xdr:nvSpPr>
        <xdr:cNvPr id="7" name="AutoShape 2"/>
        <xdr:cNvSpPr/>
      </xdr:nvSpPr>
      <xdr:spPr>
        <a:xfrm>
          <a:off x="5433840" y="1876680"/>
          <a:ext cx="289800" cy="1885680"/>
        </a:xfrm>
        <a:custGeom>
          <a:avLst/>
          <a:gdLst/>
          <a:ahLst/>
          <a:rect l="l" t="t" r="r" b="b"/>
          <a:pathLst>
            <a:path w="29" h="198">
              <a:moveTo>
                <a:pt x="1" y="1"/>
              </a:moveTo>
              <a:cubicBezTo>
                <a:pt x="5" y="0"/>
                <a:pt x="9" y="0"/>
                <a:pt x="13" y="8"/>
              </a:cubicBezTo>
              <a:cubicBezTo>
                <a:pt x="17" y="16"/>
                <a:pt x="23" y="40"/>
                <a:pt x="24" y="49"/>
              </a:cubicBezTo>
              <a:cubicBezTo>
                <a:pt x="25" y="58"/>
                <a:pt x="24" y="58"/>
                <a:pt x="20" y="64"/>
              </a:cubicBezTo>
              <a:cubicBezTo>
                <a:pt x="16" y="70"/>
                <a:pt x="0" y="77"/>
                <a:pt x="1" y="83"/>
              </a:cubicBezTo>
              <a:cubicBezTo>
                <a:pt x="2" y="89"/>
                <a:pt x="24" y="92"/>
                <a:pt x="24" y="98"/>
              </a:cubicBezTo>
              <a:cubicBezTo>
                <a:pt x="24" y="104"/>
                <a:pt x="1" y="112"/>
                <a:pt x="1" y="118"/>
              </a:cubicBezTo>
              <a:cubicBezTo>
                <a:pt x="1" y="124"/>
                <a:pt x="21" y="125"/>
                <a:pt x="25" y="134"/>
              </a:cubicBezTo>
              <a:cubicBezTo>
                <a:pt x="29" y="143"/>
                <a:pt x="29" y="164"/>
                <a:pt x="26" y="175"/>
              </a:cubicBezTo>
              <a:cubicBezTo>
                <a:pt x="23" y="186"/>
                <a:pt x="9" y="194"/>
                <a:pt x="5" y="198"/>
              </a:cubicBez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28"/>
    <col collapsed="false" customWidth="true" hidden="false" outlineLevel="0" max="3" min="3" style="0" width="11.28"/>
    <col collapsed="false" customWidth="true" hidden="false" outlineLevel="0" max="7" min="6" style="0" width="13.28"/>
  </cols>
  <sheetData>
    <row r="1" customFormat="false" ht="20.2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0" t="s">
        <v>1</v>
      </c>
      <c r="E3" s="0" t="s">
        <v>2</v>
      </c>
    </row>
    <row r="4" customFormat="false" ht="13.5" hidden="false" customHeight="false" outlineLevel="0" collapsed="false">
      <c r="A4" s="0" t="n">
        <v>0.158987</v>
      </c>
    </row>
    <row r="5" customFormat="false" ht="13.5" hidden="false" customHeight="false" outlineLevel="0" collapsed="false">
      <c r="G5" s="2" t="s">
        <v>3</v>
      </c>
    </row>
    <row r="6" customFormat="false" ht="13.5" hidden="false" customHeight="false" outlineLevel="0" collapsed="false">
      <c r="A6" s="3" t="s">
        <v>4</v>
      </c>
      <c r="B6" s="4" t="s">
        <v>5</v>
      </c>
      <c r="C6" s="4" t="s">
        <v>6</v>
      </c>
      <c r="D6" s="4" t="s">
        <v>7</v>
      </c>
      <c r="E6" s="4" t="s">
        <v>3</v>
      </c>
      <c r="F6" s="4" t="s">
        <v>4</v>
      </c>
      <c r="G6" s="5" t="s">
        <v>8</v>
      </c>
    </row>
    <row r="7" customFormat="false" ht="12.75" hidden="false" customHeight="false" outlineLevel="0" collapsed="false">
      <c r="A7" s="6" t="n">
        <v>36069</v>
      </c>
      <c r="B7" s="7" t="s">
        <v>9</v>
      </c>
      <c r="C7" s="7" t="s">
        <v>9</v>
      </c>
      <c r="D7" s="7" t="s">
        <v>9</v>
      </c>
      <c r="E7" s="2" t="n">
        <v>13.85</v>
      </c>
      <c r="F7" s="8" t="n">
        <v>36069</v>
      </c>
      <c r="G7" s="9" t="n">
        <f aca="false">E7/5.5</f>
        <v>2.51818181818182</v>
      </c>
    </row>
    <row r="8" customFormat="false" ht="12.75" hidden="false" customHeight="false" outlineLevel="0" collapsed="false">
      <c r="A8" s="10" t="n">
        <v>36100</v>
      </c>
      <c r="B8" s="11" t="s">
        <v>9</v>
      </c>
      <c r="C8" s="11" t="s">
        <v>9</v>
      </c>
      <c r="D8" s="11" t="s">
        <v>9</v>
      </c>
      <c r="E8" s="12" t="n">
        <v>13.74</v>
      </c>
      <c r="F8" s="13" t="n">
        <v>36100</v>
      </c>
      <c r="G8" s="14" t="n">
        <f aca="false">E8/5.5</f>
        <v>2.49818181818182</v>
      </c>
      <c r="I8" s="15" t="n">
        <v>1998</v>
      </c>
    </row>
    <row r="9" customFormat="false" ht="13.5" hidden="false" customHeight="false" outlineLevel="0" collapsed="false">
      <c r="A9" s="16" t="n">
        <v>36130</v>
      </c>
      <c r="B9" s="17" t="s">
        <v>9</v>
      </c>
      <c r="C9" s="17" t="s">
        <v>9</v>
      </c>
      <c r="D9" s="17" t="s">
        <v>9</v>
      </c>
      <c r="E9" s="5" t="n">
        <v>12.87</v>
      </c>
      <c r="F9" s="18" t="n">
        <v>36130</v>
      </c>
      <c r="G9" s="19" t="n">
        <f aca="false">E9/5.5</f>
        <v>2.34</v>
      </c>
    </row>
    <row r="10" customFormat="false" ht="12.75" hidden="false" customHeight="false" outlineLevel="0" collapsed="false">
      <c r="A10" s="20" t="s">
        <v>10</v>
      </c>
      <c r="B10" s="21" t="n">
        <f aca="false">'Japan Import'!U13</f>
        <v>169591073</v>
      </c>
      <c r="C10" s="21" t="n">
        <f aca="false">'Japan Import'!T13</f>
        <v>20817730</v>
      </c>
      <c r="D10" s="22" t="str">
        <f aca="false">'Y Calculation'!G9</f>
        <v>NA</v>
      </c>
      <c r="E10" s="23" t="n">
        <v>11.35</v>
      </c>
      <c r="F10" s="24" t="s">
        <v>10</v>
      </c>
      <c r="G10" s="14" t="n">
        <f aca="false">E10/5.5</f>
        <v>2.06363636363636</v>
      </c>
    </row>
    <row r="11" customFormat="false" ht="12.75" hidden="false" customHeight="false" outlineLevel="0" collapsed="false">
      <c r="A11" s="20" t="s">
        <v>11</v>
      </c>
      <c r="B11" s="21" t="n">
        <f aca="false">'Japan Import'!U14</f>
        <v>172587523</v>
      </c>
      <c r="C11" s="21" t="n">
        <f aca="false">'Japan Import'!T14</f>
        <v>20955384</v>
      </c>
      <c r="D11" s="25" t="n">
        <f aca="false">'Y Calculation'!G10</f>
        <v>114.169551655967</v>
      </c>
      <c r="E11" s="26" t="n">
        <f aca="false">(B11*$A$4*1000)/(C11*D11)</f>
        <v>11.4689878097387</v>
      </c>
      <c r="F11" s="24" t="s">
        <v>11</v>
      </c>
      <c r="G11" s="14" t="n">
        <f aca="false">E11/5.5</f>
        <v>2.08527051086158</v>
      </c>
    </row>
    <row r="12" customFormat="false" ht="12.75" hidden="false" customHeight="false" outlineLevel="0" collapsed="false">
      <c r="A12" s="20" t="s">
        <v>12</v>
      </c>
      <c r="B12" s="21" t="n">
        <f aca="false">'Japan Import'!U15</f>
        <v>195808714</v>
      </c>
      <c r="C12" s="21" t="n">
        <f aca="false">'Japan Import'!T15</f>
        <v>23054846</v>
      </c>
      <c r="D12" s="25" t="n">
        <f aca="false">'Y Calculation'!G11</f>
        <v>119.884893172386</v>
      </c>
      <c r="E12" s="26" t="n">
        <f aca="false">(B12*$A$4*1000)/(C12*D12)</f>
        <v>11.2633334987836</v>
      </c>
      <c r="F12" s="24" t="s">
        <v>12</v>
      </c>
      <c r="G12" s="14" t="n">
        <f aca="false">E12/5.5</f>
        <v>2.04787881796065</v>
      </c>
    </row>
    <row r="13" customFormat="false" ht="12.75" hidden="false" customHeight="false" outlineLevel="0" collapsed="false">
      <c r="A13" s="20" t="s">
        <v>13</v>
      </c>
      <c r="B13" s="21" t="n">
        <f aca="false">'Japan Import'!U16</f>
        <v>231790737</v>
      </c>
      <c r="C13" s="21" t="n">
        <f aca="false">'Japan Import'!T16</f>
        <v>23742586</v>
      </c>
      <c r="D13" s="25" t="n">
        <f aca="false">'Y Calculation'!G12</f>
        <v>119.593842891026</v>
      </c>
      <c r="E13" s="26" t="n">
        <f aca="false">(B13*$A$4*1000)/(C13*D13)</f>
        <v>12.9783908764353</v>
      </c>
      <c r="F13" s="24" t="s">
        <v>13</v>
      </c>
      <c r="G13" s="14" t="n">
        <f aca="false">E13/5.5</f>
        <v>2.35970743207915</v>
      </c>
    </row>
    <row r="14" customFormat="false" ht="12.75" hidden="false" customHeight="false" outlineLevel="0" collapsed="false">
      <c r="A14" s="20" t="s">
        <v>14</v>
      </c>
      <c r="B14" s="21" t="n">
        <f aca="false">'Japan Import'!U17</f>
        <v>203346469</v>
      </c>
      <c r="C14" s="21" t="n">
        <f aca="false">'Japan Import'!T17</f>
        <v>17314645</v>
      </c>
      <c r="D14" s="25" t="n">
        <f aca="false">'Y Calculation'!G13</f>
        <v>120.209544908774</v>
      </c>
      <c r="E14" s="26" t="n">
        <f aca="false">(B14*$A$4*1000)/(C14*D14)</f>
        <v>15.5326553299807</v>
      </c>
      <c r="F14" s="24" t="s">
        <v>14</v>
      </c>
      <c r="G14" s="14" t="n">
        <f aca="false">E14/5.5</f>
        <v>2.82411915090558</v>
      </c>
      <c r="I14" s="15" t="n">
        <v>1999</v>
      </c>
    </row>
    <row r="15" customFormat="false" ht="12.75" hidden="false" customHeight="false" outlineLevel="0" collapsed="false">
      <c r="A15" s="20" t="s">
        <v>15</v>
      </c>
      <c r="B15" s="21" t="n">
        <f aca="false">'Japan Import'!U18</f>
        <v>238000482</v>
      </c>
      <c r="C15" s="21" t="n">
        <f aca="false">'Japan Import'!T18</f>
        <v>19056681</v>
      </c>
      <c r="D15" s="25" t="n">
        <f aca="false">'Y Calculation'!G14</f>
        <v>121.520723302673</v>
      </c>
      <c r="E15" s="26" t="n">
        <f aca="false">(B15*$A$4*1000)/(C15*D15)</f>
        <v>16.3396158212192</v>
      </c>
      <c r="F15" s="24" t="s">
        <v>15</v>
      </c>
      <c r="G15" s="14" t="n">
        <f aca="false">E15/5.5</f>
        <v>2.97083924022168</v>
      </c>
    </row>
    <row r="16" customFormat="false" ht="12.75" hidden="false" customHeight="false" outlineLevel="0" collapsed="false">
      <c r="A16" s="20" t="s">
        <v>16</v>
      </c>
      <c r="B16" s="21" t="n">
        <f aca="false">'Japan Import'!U19</f>
        <v>230943264</v>
      </c>
      <c r="C16" s="21" t="n">
        <f aca="false">'Japan Import'!T19</f>
        <v>18108366</v>
      </c>
      <c r="D16" s="25" t="n">
        <f aca="false">'Y Calculation'!G15</f>
        <v>121.568543527146</v>
      </c>
      <c r="E16" s="26" t="n">
        <f aca="false">(B16*$A$4*1000)/(C16*D16)</f>
        <v>16.6788628215182</v>
      </c>
      <c r="F16" s="24" t="s">
        <v>16</v>
      </c>
      <c r="G16" s="14" t="n">
        <f aca="false">E16/5.5</f>
        <v>3.03252051300331</v>
      </c>
    </row>
    <row r="17" customFormat="false" ht="12.75" hidden="false" customHeight="false" outlineLevel="0" collapsed="false">
      <c r="A17" s="20" t="s">
        <v>17</v>
      </c>
      <c r="B17" s="21" t="n">
        <f aca="false">'Japan Import'!U20</f>
        <v>305302538</v>
      </c>
      <c r="C17" s="21" t="n">
        <f aca="false">'Japan Import'!T20</f>
        <v>22584292</v>
      </c>
      <c r="D17" s="25" t="n">
        <f aca="false">'Y Calculation'!G16</f>
        <v>115.955607418044</v>
      </c>
      <c r="E17" s="26" t="n">
        <f aca="false">(B17*$A$4*1000)/(C17*D17)</f>
        <v>18.5350513521464</v>
      </c>
      <c r="F17" s="24" t="s">
        <v>17</v>
      </c>
      <c r="G17" s="14" t="n">
        <f aca="false">E17/5.5</f>
        <v>3.37000933675389</v>
      </c>
    </row>
    <row r="18" customFormat="false" ht="12.75" hidden="false" customHeight="false" outlineLevel="0" collapsed="false">
      <c r="A18" s="20" t="s">
        <v>18</v>
      </c>
      <c r="B18" s="21" t="n">
        <f aca="false">'Japan Import'!U21</f>
        <v>272350378</v>
      </c>
      <c r="C18" s="21" t="n">
        <f aca="false">'Japan Import'!T21</f>
        <v>19414853</v>
      </c>
      <c r="D18" s="25" t="n">
        <f aca="false">'Y Calculation'!G17</f>
        <v>110.203501276281</v>
      </c>
      <c r="E18" s="26" t="n">
        <f aca="false">(B18*$A$4*1000)/(C18*D18)</f>
        <v>20.2376507840116</v>
      </c>
      <c r="F18" s="24" t="s">
        <v>18</v>
      </c>
      <c r="G18" s="14" t="n">
        <f aca="false">E18/5.5</f>
        <v>3.67957286982029</v>
      </c>
    </row>
    <row r="19" customFormat="false" ht="12.75" hidden="false" customHeight="false" outlineLevel="0" collapsed="false">
      <c r="A19" s="20" t="s">
        <v>19</v>
      </c>
      <c r="B19" s="21" t="n">
        <f aca="false">'Japan Import'!U22</f>
        <v>294908345</v>
      </c>
      <c r="C19" s="21" t="n">
        <f aca="false">'Japan Import'!T22</f>
        <v>19535688</v>
      </c>
      <c r="D19" s="25" t="n">
        <f aca="false">'Y Calculation'!G18</f>
        <v>106.340956172585</v>
      </c>
      <c r="E19" s="26" t="n">
        <f aca="false">(B19*$A$4*1000)/(C19*D19)</f>
        <v>22.5693683597459</v>
      </c>
      <c r="F19" s="24" t="s">
        <v>19</v>
      </c>
      <c r="G19" s="14" t="n">
        <f aca="false">E19/5.5</f>
        <v>4.1035215199538</v>
      </c>
    </row>
    <row r="20" customFormat="false" ht="12.75" hidden="false" customHeight="false" outlineLevel="0" collapsed="false">
      <c r="A20" s="20" t="s">
        <v>20</v>
      </c>
      <c r="B20" s="21" t="n">
        <f aca="false">'Japan Import'!U23</f>
        <v>339564424</v>
      </c>
      <c r="C20" s="21" t="n">
        <f aca="false">'Japan Import'!T23</f>
        <v>22191444</v>
      </c>
      <c r="D20" s="25" t="n">
        <f aca="false">'Y Calculation'!G19</f>
        <v>105.209346871579</v>
      </c>
      <c r="E20" s="26" t="n">
        <f aca="false">(B20*$A$4*1000)/(C20*D20)</f>
        <v>23.1229856863734</v>
      </c>
      <c r="F20" s="24" t="s">
        <v>20</v>
      </c>
      <c r="G20" s="14" t="n">
        <f aca="false">E20/5.5</f>
        <v>4.20417921570426</v>
      </c>
    </row>
    <row r="21" customFormat="false" ht="13.5" hidden="false" customHeight="false" outlineLevel="0" collapsed="false">
      <c r="A21" s="27" t="s">
        <v>21</v>
      </c>
      <c r="B21" s="21" t="n">
        <f aca="false">'Japan Import'!U24</f>
        <v>385948462</v>
      </c>
      <c r="C21" s="21" t="n">
        <f aca="false">'Japan Import'!T24</f>
        <v>23979601</v>
      </c>
      <c r="D21" s="25" t="n">
        <f aca="false">'Y Calculation'!G20</f>
        <v>103.732482993191</v>
      </c>
      <c r="E21" s="26" t="n">
        <f aca="false">(B21*$A$4*1000)/(C21*D21)</f>
        <v>24.6680149568671</v>
      </c>
      <c r="F21" s="28" t="s">
        <v>21</v>
      </c>
      <c r="G21" s="19" t="n">
        <f aca="false">E21/5.5</f>
        <v>4.4850936285213</v>
      </c>
    </row>
    <row r="22" customFormat="false" ht="12.75" hidden="false" customHeight="false" outlineLevel="0" collapsed="false">
      <c r="A22" s="29" t="s">
        <v>10</v>
      </c>
      <c r="B22" s="30" t="n">
        <f aca="false">'Japan Import'!U43</f>
        <v>341640429</v>
      </c>
      <c r="C22" s="30" t="n">
        <f aca="false">'Japan Import'!T43</f>
        <v>20379950</v>
      </c>
      <c r="D22" s="31" t="n">
        <f aca="false">'Y Calculation'!G21</f>
        <v>103.766073350462</v>
      </c>
      <c r="E22" s="32" t="n">
        <f aca="false">(B22*$A$4*1000)/(C22*D22)</f>
        <v>25.6845745407428</v>
      </c>
      <c r="F22" s="33" t="str">
        <f aca="false">A22</f>
        <v>January</v>
      </c>
      <c r="G22" s="34" t="n">
        <f aca="false">E22/5.5</f>
        <v>4.66992264377142</v>
      </c>
    </row>
    <row r="23" customFormat="false" ht="12.75" hidden="false" customHeight="false" outlineLevel="0" collapsed="false">
      <c r="A23" s="20" t="s">
        <v>11</v>
      </c>
      <c r="B23" s="35" t="n">
        <f aca="false">'Japan Import'!U44</f>
        <v>356597324</v>
      </c>
      <c r="C23" s="35" t="n">
        <f aca="false">'Japan Import'!T44</f>
        <v>20445024</v>
      </c>
      <c r="D23" s="25" t="n">
        <f aca="false">'Y Calculation'!G22</f>
        <v>107.054094610418</v>
      </c>
      <c r="E23" s="36" t="n">
        <f aca="false">(B23*$A$4*1000)/(C23*D23)</f>
        <v>25.9029237271111</v>
      </c>
      <c r="F23" s="37" t="s">
        <v>11</v>
      </c>
      <c r="G23" s="14" t="n">
        <f aca="false">E23/5.5</f>
        <v>4.70962249583838</v>
      </c>
    </row>
    <row r="24" customFormat="false" ht="12.75" hidden="false" customHeight="false" outlineLevel="0" collapsed="false">
      <c r="A24" s="20" t="s">
        <v>12</v>
      </c>
      <c r="B24" s="35" t="n">
        <f aca="false">'Japan Import'!U45</f>
        <v>443181614</v>
      </c>
      <c r="C24" s="35" t="n">
        <f aca="false">'Japan Import'!T45</f>
        <v>24256289</v>
      </c>
      <c r="D24" s="25" t="e">
        <f aca="false">'Y Calculation'!G23</f>
        <v>#VALUE!</v>
      </c>
      <c r="E24" s="36" t="e">
        <f aca="false">(B24*$A$4*1000)/(C24*D24)</f>
        <v>#VALUE!</v>
      </c>
      <c r="F24" s="37" t="s">
        <v>12</v>
      </c>
      <c r="G24" s="14" t="e">
        <f aca="false">E24/5.5</f>
        <v>#VALUE!</v>
      </c>
    </row>
    <row r="25" customFormat="false" ht="12.75" hidden="false" customHeight="false" outlineLevel="0" collapsed="false">
      <c r="A25" s="20" t="s">
        <v>13</v>
      </c>
      <c r="B25" s="35" t="n">
        <f aca="false">'Japan Import'!U46</f>
        <v>390694585</v>
      </c>
      <c r="C25" s="35" t="n">
        <f aca="false">'Japan Import'!T46</f>
        <v>21516674</v>
      </c>
      <c r="D25" s="25" t="n">
        <f aca="false">'Y Calculation'!G24</f>
        <v>106.01621320865</v>
      </c>
      <c r="E25" s="36" t="n">
        <f aca="false">(B25*$A$4*1000)/(C25*D25)</f>
        <v>27.2302468887732</v>
      </c>
      <c r="F25" s="37" t="s">
        <v>13</v>
      </c>
      <c r="G25" s="14" t="n">
        <f aca="false">E25/5.5</f>
        <v>4.95095397977695</v>
      </c>
    </row>
    <row r="26" customFormat="false" ht="12.75" hidden="false" customHeight="false" outlineLevel="0" collapsed="false">
      <c r="A26" s="20" t="s">
        <v>14</v>
      </c>
      <c r="B26" s="35" t="n">
        <f aca="false">'Japan Import'!U47</f>
        <v>316268532</v>
      </c>
      <c r="C26" s="35" t="n">
        <f aca="false">'Japan Import'!T47</f>
        <v>18643461</v>
      </c>
      <c r="D26" s="25" t="n">
        <f aca="false">'Y Calculation'!G25</f>
        <v>107.377530180181</v>
      </c>
      <c r="E26" s="36" t="n">
        <f aca="false">(B26*$A$4*1000)/(C26*D26)</f>
        <v>25.1175715618015</v>
      </c>
      <c r="F26" s="37" t="s">
        <v>14</v>
      </c>
      <c r="G26" s="14" t="n">
        <f aca="false">E26/5.5</f>
        <v>4.56683119305481</v>
      </c>
    </row>
    <row r="27" customFormat="false" ht="12.75" hidden="false" customHeight="false" outlineLevel="0" collapsed="false">
      <c r="A27" s="20" t="s">
        <v>15</v>
      </c>
      <c r="B27" s="35" t="n">
        <f aca="false">'Japan Import'!U48</f>
        <v>351232315</v>
      </c>
      <c r="C27" s="35" t="n">
        <f aca="false">'Japan Import'!T48</f>
        <v>19025952</v>
      </c>
      <c r="D27" s="38"/>
      <c r="E27" s="37"/>
      <c r="F27" s="37" t="s">
        <v>15</v>
      </c>
      <c r="G27" s="39"/>
      <c r="I27" s="15" t="n">
        <v>2000</v>
      </c>
    </row>
    <row r="28" customFormat="false" ht="12.75" hidden="false" customHeight="false" outlineLevel="0" collapsed="false">
      <c r="A28" s="20" t="s">
        <v>16</v>
      </c>
      <c r="B28" s="38" t="n">
        <f aca="false">'Japan Import'!U49</f>
        <v>0</v>
      </c>
      <c r="C28" s="38" t="n">
        <f aca="false">'Japan Import'!T49</f>
        <v>0</v>
      </c>
      <c r="D28" s="38"/>
      <c r="E28" s="37"/>
      <c r="F28" s="37" t="s">
        <v>16</v>
      </c>
      <c r="G28" s="39"/>
    </row>
    <row r="29" customFormat="false" ht="12.75" hidden="false" customHeight="false" outlineLevel="0" collapsed="false">
      <c r="A29" s="20" t="s">
        <v>17</v>
      </c>
      <c r="B29" s="38" t="n">
        <f aca="false">'Japan Import'!U50</f>
        <v>0</v>
      </c>
      <c r="C29" s="38" t="n">
        <f aca="false">'Japan Import'!T50</f>
        <v>0</v>
      </c>
      <c r="D29" s="38"/>
      <c r="E29" s="37"/>
      <c r="F29" s="37" t="s">
        <v>17</v>
      </c>
      <c r="G29" s="39"/>
    </row>
    <row r="30" customFormat="false" ht="12.75" hidden="false" customHeight="false" outlineLevel="0" collapsed="false">
      <c r="A30" s="20" t="s">
        <v>18</v>
      </c>
      <c r="B30" s="38" t="n">
        <f aca="false">'Japan Import'!U51</f>
        <v>0</v>
      </c>
      <c r="C30" s="38" t="n">
        <f aca="false">'Japan Import'!T51</f>
        <v>0</v>
      </c>
      <c r="D30" s="38"/>
      <c r="E30" s="37"/>
      <c r="F30" s="37" t="s">
        <v>18</v>
      </c>
      <c r="G30" s="39"/>
    </row>
    <row r="31" customFormat="false" ht="12.75" hidden="false" customHeight="false" outlineLevel="0" collapsed="false">
      <c r="A31" s="20" t="s">
        <v>19</v>
      </c>
      <c r="B31" s="38" t="n">
        <f aca="false">'Japan Import'!U52</f>
        <v>0</v>
      </c>
      <c r="C31" s="38" t="n">
        <f aca="false">'Japan Import'!T52</f>
        <v>0</v>
      </c>
      <c r="D31" s="38"/>
      <c r="E31" s="37"/>
      <c r="F31" s="37" t="s">
        <v>19</v>
      </c>
      <c r="G31" s="39"/>
    </row>
    <row r="32" customFormat="false" ht="12.75" hidden="false" customHeight="false" outlineLevel="0" collapsed="false">
      <c r="A32" s="20" t="s">
        <v>20</v>
      </c>
      <c r="B32" s="38" t="n">
        <f aca="false">'Japan Import'!U53</f>
        <v>0</v>
      </c>
      <c r="C32" s="38" t="n">
        <f aca="false">'Japan Import'!T53</f>
        <v>0</v>
      </c>
      <c r="D32" s="38"/>
      <c r="E32" s="37"/>
      <c r="F32" s="37" t="s">
        <v>20</v>
      </c>
      <c r="G32" s="39"/>
    </row>
    <row r="33" customFormat="false" ht="13.5" hidden="false" customHeight="false" outlineLevel="0" collapsed="false">
      <c r="A33" s="27" t="s">
        <v>21</v>
      </c>
      <c r="B33" s="40" t="n">
        <f aca="false">'Japan Import'!U54</f>
        <v>0</v>
      </c>
      <c r="C33" s="40" t="n">
        <f aca="false">'Japan Import'!T54</f>
        <v>0</v>
      </c>
      <c r="D33" s="40"/>
      <c r="E33" s="41"/>
      <c r="F33" s="41" t="s">
        <v>21</v>
      </c>
      <c r="G3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sheetData>
    <row r="1" customFormat="false" ht="20.25" hidden="false" customHeight="false" outlineLevel="0" collapsed="false">
      <c r="A1" s="1" t="s">
        <v>22</v>
      </c>
    </row>
    <row r="3" customFormat="false" ht="12.75" hidden="false" customHeight="false" outlineLevel="0" collapsed="false">
      <c r="A3" s="43" t="s">
        <v>1</v>
      </c>
    </row>
    <row r="5" customFormat="false" ht="12.75" hidden="false" customHeight="false" outlineLevel="0" collapsed="false">
      <c r="A5" s="15" t="s">
        <v>23</v>
      </c>
    </row>
    <row r="6" customFormat="false" ht="12.75" hidden="false" customHeight="false" outlineLevel="0" collapsed="false">
      <c r="A6" s="0" t="s">
        <v>5</v>
      </c>
      <c r="B6" s="0" t="s">
        <v>24</v>
      </c>
    </row>
    <row r="7" customFormat="false" ht="12.75" hidden="false" customHeight="false" outlineLevel="0" collapsed="false">
      <c r="A7" s="0" t="s">
        <v>6</v>
      </c>
      <c r="B7" s="0" t="s">
        <v>25</v>
      </c>
    </row>
    <row r="8" customFormat="false" ht="12.75" hidden="false" customHeight="false" outlineLevel="0" collapsed="false">
      <c r="A8" s="0" t="s">
        <v>7</v>
      </c>
      <c r="B8" s="0" t="s">
        <v>26</v>
      </c>
    </row>
    <row r="9" customFormat="false" ht="12.75" hidden="false" customHeight="false" outlineLevel="0" collapsed="false">
      <c r="A9" s="0" t="s">
        <v>27</v>
      </c>
      <c r="B9" s="0" t="s">
        <v>28</v>
      </c>
    </row>
    <row r="11" customFormat="false" ht="12.75" hidden="false" customHeight="false" outlineLevel="0" collapsed="false">
      <c r="A11" s="44" t="s">
        <v>29</v>
      </c>
      <c r="B11" s="44" t="s">
        <v>30</v>
      </c>
    </row>
    <row r="12" customFormat="false" ht="12.75" hidden="false" customHeight="false" outlineLevel="0" collapsed="false">
      <c r="A12" s="0" t="s">
        <v>31</v>
      </c>
      <c r="B12" s="0" t="s">
        <v>32</v>
      </c>
    </row>
    <row r="13" customFormat="false" ht="12.75" hidden="false" customHeight="false" outlineLevel="0" collapsed="false">
      <c r="A13" s="0" t="s">
        <v>33</v>
      </c>
      <c r="B13" s="0" t="s">
        <v>34</v>
      </c>
    </row>
    <row r="14" customFormat="false" ht="12.75" hidden="false" customHeight="false" outlineLevel="0" collapsed="false">
      <c r="A14" s="44" t="s">
        <v>35</v>
      </c>
      <c r="B14" s="44" t="s">
        <v>36</v>
      </c>
    </row>
    <row r="15" customFormat="false" ht="12.75" hidden="false" customHeight="false" outlineLevel="0" collapsed="false">
      <c r="B15" s="45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0" ySplit="11" topLeftCell="BM81" activePane="bottomLeft" state="frozen"/>
      <selection pane="topLeft" activeCell="A2" activeCellId="0" sqref="A2"/>
      <selection pane="bottomLeft" activeCell="F86" activeCellId="0" sqref="F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4" style="0" width="8.56"/>
    <col collapsed="false" customWidth="true" hidden="false" outlineLevel="0" max="6" min="5" style="0" width="6.99"/>
  </cols>
  <sheetData>
    <row r="1" customFormat="false" ht="18" hidden="false" customHeight="false" outlineLevel="0" collapsed="false">
      <c r="A1" s="46" t="s">
        <v>38</v>
      </c>
      <c r="C1" s="47"/>
    </row>
    <row r="2" customFormat="false" ht="12.75" hidden="false" customHeight="false" outlineLevel="0" collapsed="false">
      <c r="A2" s="15" t="s">
        <v>39</v>
      </c>
      <c r="C2" s="47"/>
    </row>
    <row r="3" customFormat="false" ht="12.75" hidden="false" customHeight="false" outlineLevel="0" collapsed="false">
      <c r="A3" s="0" t="s">
        <v>40</v>
      </c>
      <c r="C3" s="47"/>
    </row>
    <row r="4" customFormat="false" ht="12.75" hidden="false" customHeight="false" outlineLevel="0" collapsed="false">
      <c r="A4" s="48"/>
    </row>
    <row r="6" customFormat="false" ht="12.75" hidden="false" customHeight="false" outlineLevel="0" collapsed="false">
      <c r="A6" s="0" t="s">
        <v>41</v>
      </c>
    </row>
    <row r="7" customFormat="false" ht="12.75" hidden="false" customHeight="false" outlineLevel="0" collapsed="false">
      <c r="A7" s="0" t="s">
        <v>42</v>
      </c>
    </row>
    <row r="8" customFormat="false" ht="12.75" hidden="false" customHeight="false" outlineLevel="0" collapsed="false">
      <c r="A8" s="0" t="s">
        <v>43</v>
      </c>
    </row>
    <row r="9" customFormat="false" ht="12.75" hidden="false" customHeight="false" outlineLevel="0" collapsed="false">
      <c r="A9" s="0" t="s">
        <v>44</v>
      </c>
    </row>
    <row r="11" customFormat="false" ht="13.5" hidden="false" customHeight="false" outlineLevel="0" collapsed="false">
      <c r="A11" s="49" t="s">
        <v>45</v>
      </c>
      <c r="B11" s="50" t="s">
        <v>46</v>
      </c>
      <c r="C11" s="51"/>
      <c r="D11" s="49" t="s">
        <v>47</v>
      </c>
      <c r="E11" s="49" t="s">
        <v>48</v>
      </c>
      <c r="F11" s="49" t="s">
        <v>49</v>
      </c>
    </row>
    <row r="12" customFormat="false" ht="12.75" hidden="false" customHeight="false" outlineLevel="0" collapsed="false">
      <c r="A12" s="0" t="s">
        <v>50</v>
      </c>
      <c r="B12" s="52"/>
    </row>
    <row r="13" customFormat="false" ht="12.75" hidden="false" customHeight="false" outlineLevel="0" collapsed="false">
      <c r="B13" s="52"/>
      <c r="D13" s="53"/>
      <c r="E13" s="53"/>
      <c r="F13" s="53"/>
    </row>
    <row r="14" customFormat="false" ht="12.75" hidden="false" customHeight="false" outlineLevel="0" collapsed="false">
      <c r="A14" s="54" t="s">
        <v>51</v>
      </c>
      <c r="B14" s="55" t="n">
        <v>115.97</v>
      </c>
      <c r="C14" s="54"/>
      <c r="D14" s="56"/>
      <c r="E14" s="56"/>
      <c r="F14" s="56"/>
    </row>
    <row r="15" customFormat="false" ht="12.75" hidden="false" customHeight="false" outlineLevel="0" collapsed="false">
      <c r="A15" s="54" t="s">
        <v>52</v>
      </c>
      <c r="B15" s="55" t="n">
        <v>112.18</v>
      </c>
      <c r="C15" s="54"/>
      <c r="D15" s="56"/>
      <c r="E15" s="57" t="n">
        <f aca="false">0.6*B14+0.4*B15</f>
        <v>114.454</v>
      </c>
      <c r="F15" s="56"/>
      <c r="G15" s="0" t="s">
        <v>53</v>
      </c>
    </row>
    <row r="16" customFormat="false" ht="12.75" hidden="false" customHeight="false" outlineLevel="0" collapsed="false">
      <c r="A16" s="54" t="s">
        <v>54</v>
      </c>
      <c r="B16" s="55" t="n">
        <v>111.92</v>
      </c>
      <c r="C16" s="54"/>
      <c r="D16" s="56"/>
      <c r="E16" s="56"/>
      <c r="F16" s="56"/>
    </row>
    <row r="17" customFormat="false" ht="12.75" hidden="false" customHeight="false" outlineLevel="0" collapsed="false">
      <c r="A17" s="54" t="s">
        <v>55</v>
      </c>
      <c r="B17" s="55" t="n">
        <v>113.71</v>
      </c>
      <c r="C17" s="54"/>
      <c r="D17" s="56"/>
      <c r="E17" s="56"/>
      <c r="F17" s="57" t="n">
        <f aca="false">(3/11)*B15+(7/11)*B16+(1/11)*B17</f>
        <v>112.153636363636</v>
      </c>
      <c r="G17" s="0" t="s">
        <v>56</v>
      </c>
    </row>
    <row r="18" customFormat="false" ht="12.75" hidden="false" customHeight="false" outlineLevel="0" collapsed="false">
      <c r="A18" s="54" t="s">
        <v>57</v>
      </c>
      <c r="B18" s="55" t="n">
        <v>114.67</v>
      </c>
      <c r="C18" s="54"/>
      <c r="D18" s="57" t="n">
        <f aca="false">(0.6*B17)+(0.4*B18)</f>
        <v>114.094</v>
      </c>
      <c r="E18" s="56"/>
      <c r="F18" s="56"/>
      <c r="G18" s="0" t="s">
        <v>58</v>
      </c>
    </row>
    <row r="19" customFormat="false" ht="12.75" hidden="false" customHeight="false" outlineLevel="0" collapsed="false">
      <c r="A19" s="54" t="s">
        <v>59</v>
      </c>
      <c r="B19" s="55" t="n">
        <v>113.69</v>
      </c>
      <c r="C19" s="54"/>
      <c r="D19" s="56"/>
      <c r="E19" s="57" t="n">
        <f aca="false">0.3*B18+0.7*B19</f>
        <v>113.984</v>
      </c>
      <c r="F19" s="56"/>
      <c r="G19" s="0" t="s">
        <v>60</v>
      </c>
    </row>
    <row r="20" customFormat="false" ht="12.75" hidden="false" customHeight="false" outlineLevel="0" collapsed="false">
      <c r="A20" s="54" t="s">
        <v>61</v>
      </c>
      <c r="B20" s="55" t="n">
        <v>114.09</v>
      </c>
      <c r="C20" s="54"/>
      <c r="D20" s="56"/>
      <c r="E20" s="56"/>
      <c r="F20" s="56"/>
    </row>
    <row r="21" customFormat="false" ht="12.75" hidden="false" customHeight="false" outlineLevel="0" collapsed="false">
      <c r="A21" s="54" t="s">
        <v>62</v>
      </c>
      <c r="B21" s="55" t="n">
        <v>117.62</v>
      </c>
      <c r="C21" s="54"/>
      <c r="D21" s="56"/>
      <c r="E21" s="56"/>
      <c r="F21" s="57" t="n">
        <f aca="false">(7*B20/8)+(1*B21/8)</f>
        <v>114.53125</v>
      </c>
      <c r="G21" s="0" t="s">
        <v>63</v>
      </c>
    </row>
    <row r="22" customFormat="false" ht="12.75" hidden="false" customHeight="false" outlineLevel="0" collapsed="false">
      <c r="A22" s="54" t="s">
        <v>64</v>
      </c>
      <c r="B22" s="55" t="n">
        <v>120.73</v>
      </c>
      <c r="C22" s="54"/>
      <c r="D22" s="57" t="n">
        <f aca="false">0.6*B21+0.4*B22</f>
        <v>118.864</v>
      </c>
      <c r="E22" s="56"/>
      <c r="F22" s="56"/>
      <c r="G22" s="0" t="s">
        <v>65</v>
      </c>
    </row>
    <row r="23" customFormat="false" ht="12.75" hidden="false" customHeight="false" outlineLevel="0" collapsed="false">
      <c r="A23" s="54" t="s">
        <v>66</v>
      </c>
      <c r="B23" s="55" t="n">
        <v>121.17</v>
      </c>
      <c r="C23" s="54"/>
      <c r="D23" s="56"/>
      <c r="E23" s="57" t="n">
        <f aca="false">0.3*B22+0.7*B23</f>
        <v>121.038</v>
      </c>
      <c r="F23" s="56"/>
      <c r="G23" s="0" t="s">
        <v>67</v>
      </c>
    </row>
    <row r="24" customFormat="false" ht="12.75" hidden="false" customHeight="false" outlineLevel="0" collapsed="false">
      <c r="A24" s="54" t="s">
        <v>68</v>
      </c>
      <c r="B24" s="55" t="n">
        <v>120.9</v>
      </c>
      <c r="C24" s="54"/>
      <c r="D24" s="56"/>
      <c r="E24" s="56"/>
      <c r="F24" s="56"/>
    </row>
    <row r="25" customFormat="false" ht="12.75" hidden="false" customHeight="false" outlineLevel="0" collapsed="false">
      <c r="A25" s="54" t="s">
        <v>69</v>
      </c>
      <c r="B25" s="55" t="n">
        <v>118.28</v>
      </c>
      <c r="C25" s="54"/>
      <c r="D25" s="56"/>
      <c r="E25" s="56"/>
      <c r="F25" s="57" t="n">
        <f aca="false">(7*B24/11)+(4*B25/11)</f>
        <v>119.947272727273</v>
      </c>
      <c r="G25" s="0" t="s">
        <v>70</v>
      </c>
    </row>
    <row r="26" customFormat="false" ht="12.75" hidden="false" customHeight="false" outlineLevel="0" collapsed="false">
      <c r="A26" s="54" t="s">
        <v>71</v>
      </c>
      <c r="B26" s="55" t="n">
        <v>118.16</v>
      </c>
      <c r="C26" s="54"/>
      <c r="D26" s="57" t="n">
        <f aca="false">(0.3*B25)+(0.7*B26)</f>
        <v>118.196</v>
      </c>
      <c r="E26" s="56"/>
      <c r="F26" s="56"/>
      <c r="G26" s="0" t="s">
        <v>72</v>
      </c>
    </row>
    <row r="27" customFormat="false" ht="12.75" hidden="false" customHeight="false" outlineLevel="0" collapsed="false">
      <c r="A27" s="54" t="s">
        <v>73</v>
      </c>
      <c r="B27" s="55" t="n">
        <v>120.05</v>
      </c>
      <c r="C27" s="54"/>
      <c r="D27" s="56"/>
      <c r="F27" s="56"/>
    </row>
    <row r="28" customFormat="false" ht="12.75" hidden="false" customHeight="false" outlineLevel="0" collapsed="false">
      <c r="A28" s="54" t="s">
        <v>74</v>
      </c>
      <c r="B28" s="55" t="n">
        <v>121.14</v>
      </c>
      <c r="C28" s="54"/>
      <c r="D28" s="56"/>
      <c r="E28" s="57" t="n">
        <f aca="false">(0.7*B27)+(0.3*B28)</f>
        <v>120.377</v>
      </c>
      <c r="F28" s="56"/>
      <c r="G28" s="0" t="s">
        <v>75</v>
      </c>
    </row>
    <row r="29" customFormat="false" ht="12.75" hidden="false" customHeight="false" outlineLevel="0" collapsed="false">
      <c r="A29" s="54" t="s">
        <v>76</v>
      </c>
      <c r="B29" s="55" t="n">
        <v>119.74</v>
      </c>
      <c r="C29" s="54"/>
      <c r="D29" s="56"/>
      <c r="E29" s="56"/>
      <c r="F29" s="57" t="n">
        <f aca="false">(0.4*B28)+(0.6*B29)</f>
        <v>120.3</v>
      </c>
      <c r="G29" s="0" t="s">
        <v>77</v>
      </c>
    </row>
    <row r="30" customFormat="false" ht="12.75" hidden="false" customHeight="false" outlineLevel="0" collapsed="false">
      <c r="A30" s="54" t="s">
        <v>78</v>
      </c>
      <c r="B30" s="55" t="n">
        <v>118.9</v>
      </c>
      <c r="C30" s="54"/>
      <c r="D30" s="56"/>
      <c r="E30" s="56"/>
      <c r="F30" s="56"/>
    </row>
    <row r="31" customFormat="false" ht="12.75" hidden="false" customHeight="false" outlineLevel="0" collapsed="false">
      <c r="A31" s="54" t="s">
        <v>79</v>
      </c>
      <c r="B31" s="55" t="n">
        <v>119.36</v>
      </c>
      <c r="C31" s="54"/>
      <c r="D31" s="57" t="n">
        <f aca="false">(0.1*B29)+(0.7*B30)+(0.2*B31)</f>
        <v>119.076</v>
      </c>
      <c r="E31" s="56"/>
      <c r="F31" s="56"/>
      <c r="G31" s="0" t="s">
        <v>80</v>
      </c>
    </row>
    <row r="32" customFormat="false" ht="12.75" hidden="false" customHeight="false" outlineLevel="0" collapsed="false">
      <c r="A32" s="54" t="s">
        <v>81</v>
      </c>
      <c r="B32" s="55" t="n">
        <v>120.34</v>
      </c>
      <c r="C32" s="54"/>
      <c r="D32" s="56"/>
      <c r="E32" s="57" t="n">
        <f aca="false">(0.5*B31)+(0.5*B32)</f>
        <v>119.85</v>
      </c>
      <c r="F32" s="56"/>
      <c r="G32" s="0" t="s">
        <v>82</v>
      </c>
    </row>
    <row r="33" customFormat="false" ht="12.75" hidden="false" customHeight="false" outlineLevel="0" collapsed="false">
      <c r="A33" s="54" t="s">
        <v>83</v>
      </c>
      <c r="B33" s="55" t="n">
        <v>121.07</v>
      </c>
      <c r="C33" s="54"/>
      <c r="D33" s="56"/>
      <c r="E33" s="56"/>
      <c r="F33" s="56"/>
    </row>
    <row r="34" customFormat="false" ht="12.75" hidden="false" customHeight="false" outlineLevel="0" collapsed="false">
      <c r="A34" s="54" t="s">
        <v>84</v>
      </c>
      <c r="B34" s="55" t="n">
        <v>123.65</v>
      </c>
      <c r="C34" s="54"/>
      <c r="D34" s="56"/>
      <c r="E34" s="56"/>
      <c r="F34" s="57" t="n">
        <f aca="false">((2/11)*B32)+((7/11)*B33)+((2/11)*B34)</f>
        <v>121.406363636364</v>
      </c>
      <c r="G34" s="0" t="s">
        <v>85</v>
      </c>
    </row>
    <row r="35" customFormat="false" ht="12.75" hidden="false" customHeight="false" outlineLevel="0" collapsed="false">
      <c r="A35" s="54" t="s">
        <v>86</v>
      </c>
      <c r="B35" s="55" t="n">
        <v>122.47</v>
      </c>
      <c r="C35" s="54"/>
      <c r="D35" s="57" t="n">
        <f aca="false">(0.5*B34)+(0.5*B35)</f>
        <v>123.06</v>
      </c>
      <c r="E35" s="56"/>
      <c r="F35" s="56"/>
      <c r="G35" s="0" t="s">
        <v>87</v>
      </c>
    </row>
    <row r="36" customFormat="false" ht="12.75" hidden="false" customHeight="false" outlineLevel="0" collapsed="false">
      <c r="A36" s="54" t="s">
        <v>88</v>
      </c>
      <c r="B36" s="55" t="n">
        <v>121.41</v>
      </c>
      <c r="C36" s="54"/>
      <c r="D36" s="56"/>
      <c r="E36" s="56"/>
      <c r="F36" s="56"/>
    </row>
    <row r="37" customFormat="false" ht="12.75" hidden="false" customHeight="false" outlineLevel="0" collapsed="false">
      <c r="A37" s="54" t="s">
        <v>89</v>
      </c>
      <c r="B37" s="55" t="n">
        <v>120.08</v>
      </c>
      <c r="C37" s="54"/>
      <c r="D37" s="56"/>
      <c r="E37" s="57" t="n">
        <f aca="false">(0.2*B35)+(0.7*B36)+(0.1*B37)</f>
        <v>121.489</v>
      </c>
      <c r="F37" s="56"/>
      <c r="G37" s="0" t="s">
        <v>90</v>
      </c>
    </row>
    <row r="38" customFormat="false" ht="12.75" hidden="false" customHeight="false" outlineLevel="0" collapsed="false">
      <c r="A38" s="54" t="s">
        <v>91</v>
      </c>
      <c r="B38" s="55" t="n">
        <v>120.01</v>
      </c>
      <c r="C38" s="54"/>
      <c r="D38" s="56"/>
      <c r="E38" s="56"/>
      <c r="F38" s="57" t="n">
        <f aca="false">(0.6*B37)+(0.4*B38)</f>
        <v>120.052</v>
      </c>
      <c r="G38" s="0" t="s">
        <v>92</v>
      </c>
    </row>
    <row r="39" customFormat="false" ht="12.75" hidden="false" customHeight="false" outlineLevel="0" collapsed="false">
      <c r="A39" s="54" t="s">
        <v>93</v>
      </c>
      <c r="B39" s="55" t="n">
        <v>122</v>
      </c>
      <c r="C39" s="54"/>
      <c r="D39" s="57" t="n">
        <f aca="false">(0.3*B38)+(0.7*B39)</f>
        <v>121.403</v>
      </c>
      <c r="E39" s="56"/>
      <c r="F39" s="56"/>
      <c r="G39" s="0" t="s">
        <v>94</v>
      </c>
    </row>
    <row r="40" customFormat="false" ht="12.75" hidden="false" customHeight="false" outlineLevel="0" collapsed="false">
      <c r="A40" s="54" t="s">
        <v>95</v>
      </c>
      <c r="B40" s="55" t="n">
        <v>121.11</v>
      </c>
      <c r="C40" s="54"/>
      <c r="D40" s="56"/>
      <c r="E40" s="56"/>
      <c r="F40" s="56"/>
    </row>
    <row r="41" customFormat="false" ht="12.75" hidden="false" customHeight="false" outlineLevel="0" collapsed="false">
      <c r="A41" s="54" t="s">
        <v>96</v>
      </c>
      <c r="B41" s="55" t="n">
        <v>122.4</v>
      </c>
      <c r="C41" s="54"/>
      <c r="D41" s="56"/>
      <c r="E41" s="57" t="n">
        <f aca="false">(0.7*B40)+(0.3*B41)</f>
        <v>121.497</v>
      </c>
      <c r="F41" s="56"/>
      <c r="G41" s="0" t="s">
        <v>97</v>
      </c>
    </row>
    <row r="42" customFormat="false" ht="12.75" hidden="false" customHeight="false" outlineLevel="0" collapsed="false">
      <c r="A42" s="54" t="s">
        <v>98</v>
      </c>
      <c r="B42" s="55" t="n">
        <v>121.41</v>
      </c>
      <c r="C42" s="54"/>
      <c r="D42" s="56"/>
      <c r="E42" s="56"/>
      <c r="F42" s="57" t="n">
        <f aca="false">((4/11)*B41)+((7/11)*B42)</f>
        <v>121.77</v>
      </c>
      <c r="G42" s="0" t="s">
        <v>99</v>
      </c>
    </row>
    <row r="43" customFormat="false" ht="12.75" hidden="false" customHeight="false" outlineLevel="0" collapsed="false">
      <c r="A43" s="54" t="s">
        <v>100</v>
      </c>
      <c r="B43" s="55" t="n">
        <v>118.86</v>
      </c>
      <c r="C43" s="54"/>
      <c r="D43" s="56"/>
      <c r="E43" s="56"/>
      <c r="F43" s="56"/>
    </row>
    <row r="44" customFormat="false" ht="12.75" hidden="false" customHeight="false" outlineLevel="0" collapsed="false">
      <c r="A44" s="54" t="s">
        <v>101</v>
      </c>
      <c r="B44" s="55" t="n">
        <v>116.14</v>
      </c>
      <c r="C44" s="54"/>
      <c r="D44" s="57" t="n">
        <f aca="false">(0.7*B43)+(0.3*B44)</f>
        <v>118.044</v>
      </c>
      <c r="E44" s="56"/>
      <c r="F44" s="56"/>
      <c r="G44" s="0" t="s">
        <v>102</v>
      </c>
    </row>
    <row r="45" customFormat="false" ht="12.75" hidden="false" customHeight="false" outlineLevel="0" collapsed="false">
      <c r="A45" s="54" t="s">
        <v>103</v>
      </c>
      <c r="B45" s="55" t="n">
        <v>114.55</v>
      </c>
      <c r="C45" s="54"/>
      <c r="D45" s="56"/>
      <c r="E45" s="57" t="n">
        <f aca="false">(0.4*B44)+(0.6*B45)</f>
        <v>115.186</v>
      </c>
      <c r="F45" s="56"/>
      <c r="G45" s="0" t="s">
        <v>104</v>
      </c>
    </row>
    <row r="46" customFormat="false" ht="12.75" hidden="false" customHeight="false" outlineLevel="0" collapsed="false">
      <c r="A46" s="54" t="s">
        <v>105</v>
      </c>
      <c r="B46" s="55" t="n">
        <v>115.13</v>
      </c>
      <c r="C46" s="54"/>
      <c r="D46" s="56"/>
      <c r="E46" s="56"/>
      <c r="F46" s="56"/>
    </row>
    <row r="47" customFormat="false" ht="12.75" hidden="false" customHeight="false" outlineLevel="0" collapsed="false">
      <c r="A47" s="54" t="s">
        <v>106</v>
      </c>
      <c r="B47" s="55" t="n">
        <v>113.5</v>
      </c>
      <c r="C47" s="54"/>
      <c r="D47" s="56"/>
      <c r="E47" s="56"/>
      <c r="F47" s="57" t="n">
        <f aca="false">((1/11)*B45)+((7/11)*B46)+((3/11)*B47)</f>
        <v>114.632727272727</v>
      </c>
      <c r="G47" s="0" t="s">
        <v>107</v>
      </c>
    </row>
    <row r="48" customFormat="false" ht="12.75" hidden="false" customHeight="false" outlineLevel="0" collapsed="false">
      <c r="A48" s="54" t="s">
        <v>108</v>
      </c>
      <c r="B48" s="55" t="n">
        <v>111.41</v>
      </c>
      <c r="C48" s="54"/>
      <c r="D48" s="57" t="n">
        <f aca="false">(0.4*B47)+(0.6*B48)</f>
        <v>112.246</v>
      </c>
      <c r="E48" s="56"/>
      <c r="F48" s="56"/>
      <c r="G48" s="0" t="s">
        <v>109</v>
      </c>
    </row>
    <row r="49" customFormat="false" ht="12.75" hidden="false" customHeight="false" outlineLevel="0" collapsed="false">
      <c r="A49" s="54" t="s">
        <v>110</v>
      </c>
      <c r="B49" s="55" t="n">
        <v>110.08</v>
      </c>
      <c r="C49" s="54"/>
      <c r="D49" s="56"/>
      <c r="E49" s="56"/>
      <c r="F49" s="56"/>
    </row>
    <row r="50" customFormat="false" ht="12.75" hidden="false" customHeight="false" outlineLevel="0" collapsed="false">
      <c r="A50" s="54" t="s">
        <v>111</v>
      </c>
      <c r="B50" s="55" t="n">
        <v>109.71</v>
      </c>
      <c r="C50" s="54"/>
      <c r="D50" s="56"/>
      <c r="E50" s="57" t="n">
        <f aca="false">(0.1*B48)+(0.7*B49)+(0.2*B50)</f>
        <v>110.139</v>
      </c>
      <c r="F50" s="56"/>
      <c r="G50" s="0" t="s">
        <v>112</v>
      </c>
    </row>
    <row r="51" customFormat="false" ht="12.75" hidden="false" customHeight="false" outlineLevel="0" collapsed="false">
      <c r="A51" s="54" t="s">
        <v>113</v>
      </c>
      <c r="B51" s="55" t="n">
        <v>106.56</v>
      </c>
      <c r="C51" s="54"/>
      <c r="D51" s="56"/>
      <c r="E51" s="56"/>
      <c r="F51" s="57" t="n">
        <f aca="false">(0.5*B50)+(0.5*B51)</f>
        <v>108.135</v>
      </c>
      <c r="G51" s="0" t="s">
        <v>114</v>
      </c>
    </row>
    <row r="52" customFormat="false" ht="12.75" hidden="false" customHeight="false" outlineLevel="0" collapsed="false">
      <c r="A52" s="54" t="s">
        <v>115</v>
      </c>
      <c r="B52" s="55" t="n">
        <v>105.92</v>
      </c>
      <c r="C52" s="54"/>
      <c r="D52" s="56"/>
      <c r="E52" s="56"/>
      <c r="F52" s="56"/>
    </row>
    <row r="53" customFormat="false" ht="12.75" hidden="false" customHeight="false" outlineLevel="0" collapsed="false">
      <c r="A53" s="54" t="s">
        <v>116</v>
      </c>
      <c r="B53" s="54" t="n">
        <v>106.09</v>
      </c>
      <c r="C53" s="54"/>
      <c r="D53" s="57" t="n">
        <f aca="false">(0.2*B51)+(0.7*B52)+(0.1*B53)</f>
        <v>106.065</v>
      </c>
      <c r="E53" s="54"/>
      <c r="F53" s="54"/>
      <c r="G53" s="0" t="s">
        <v>117</v>
      </c>
    </row>
    <row r="54" customFormat="false" ht="12.75" hidden="false" customHeight="false" outlineLevel="0" collapsed="false">
      <c r="A54" s="54" t="s">
        <v>118</v>
      </c>
      <c r="B54" s="54" t="n">
        <v>106.78</v>
      </c>
      <c r="C54" s="54"/>
      <c r="D54" s="54"/>
      <c r="E54" s="57" t="n">
        <f aca="false">(0.6*B53)+(0.4*B54)</f>
        <v>106.366</v>
      </c>
      <c r="F54" s="54"/>
      <c r="G54" s="0" t="s">
        <v>119</v>
      </c>
    </row>
    <row r="55" customFormat="false" ht="12.75" hidden="false" customHeight="false" outlineLevel="0" collapsed="false">
      <c r="A55" s="58" t="s">
        <v>120</v>
      </c>
      <c r="B55" s="58" t="n">
        <v>106.59</v>
      </c>
      <c r="C55" s="58"/>
      <c r="D55" s="58"/>
      <c r="E55" s="58"/>
      <c r="F55" s="58"/>
    </row>
    <row r="56" customFormat="false" ht="12.75" hidden="false" customHeight="false" outlineLevel="0" collapsed="false">
      <c r="A56" s="58" t="s">
        <v>121</v>
      </c>
      <c r="B56" s="58" t="n">
        <v>105.88</v>
      </c>
      <c r="C56" s="58"/>
      <c r="D56" s="58"/>
      <c r="E56" s="58"/>
      <c r="F56" s="59" t="n">
        <f aca="false">((3/11)*B54)+((7/11)*B55)+((1/11)*B56)</f>
        <v>106.577272727273</v>
      </c>
      <c r="G56" s="0" t="s">
        <v>122</v>
      </c>
    </row>
    <row r="57" customFormat="false" ht="12.75" hidden="false" customHeight="false" outlineLevel="0" collapsed="false">
      <c r="A57" s="58" t="s">
        <v>123</v>
      </c>
      <c r="B57" s="58" t="n">
        <v>104.78</v>
      </c>
      <c r="C57" s="58"/>
      <c r="D57" s="60" t="n">
        <f aca="false">(0.6*B56)+(0.4*B57)</f>
        <v>105.44</v>
      </c>
      <c r="E57" s="58"/>
      <c r="F57" s="58"/>
      <c r="G57" s="0" t="s">
        <v>124</v>
      </c>
    </row>
    <row r="58" customFormat="false" ht="12.75" hidden="false" customHeight="false" outlineLevel="0" collapsed="false">
      <c r="A58" s="58" t="s">
        <v>125</v>
      </c>
      <c r="B58" s="58" t="n">
        <v>104.81</v>
      </c>
      <c r="C58" s="58"/>
      <c r="D58" s="58"/>
      <c r="E58" s="59" t="n">
        <f aca="false">(0.3*B57)+(0.7*B58)</f>
        <v>104.801</v>
      </c>
      <c r="F58" s="58"/>
      <c r="G58" s="0" t="s">
        <v>126</v>
      </c>
    </row>
    <row r="59" customFormat="false" ht="12.75" hidden="false" customHeight="false" outlineLevel="0" collapsed="false">
      <c r="A59" s="58" t="s">
        <v>127</v>
      </c>
      <c r="B59" s="58" t="n">
        <v>105.27</v>
      </c>
      <c r="C59" s="58"/>
      <c r="D59" s="58"/>
      <c r="E59" s="58"/>
      <c r="F59" s="58"/>
    </row>
    <row r="60" customFormat="false" ht="12.75" hidden="false" customHeight="false" outlineLevel="0" collapsed="false">
      <c r="A60" s="58" t="s">
        <v>128</v>
      </c>
      <c r="B60" s="58" t="n">
        <v>105.57</v>
      </c>
      <c r="C60" s="58"/>
      <c r="D60" s="58"/>
      <c r="E60" s="58"/>
      <c r="F60" s="60" t="n">
        <f aca="false">(0.7*B59)+(0.3*B60)</f>
        <v>105.36</v>
      </c>
      <c r="G60" s="0" t="s">
        <v>129</v>
      </c>
    </row>
    <row r="61" customFormat="false" ht="12.75" hidden="false" customHeight="false" outlineLevel="0" collapsed="false">
      <c r="A61" s="58" t="s">
        <v>130</v>
      </c>
      <c r="B61" s="58" t="n">
        <v>104.89</v>
      </c>
      <c r="C61" s="58"/>
      <c r="D61" s="59" t="n">
        <f aca="false">(0.4*B60)+(0.6*B61)</f>
        <v>105.162</v>
      </c>
      <c r="E61" s="58"/>
      <c r="F61" s="58"/>
      <c r="G61" s="0" t="s">
        <v>131</v>
      </c>
    </row>
    <row r="62" customFormat="false" ht="12.75" hidden="false" customHeight="false" outlineLevel="0" collapsed="false">
      <c r="A62" s="58" t="s">
        <v>132</v>
      </c>
      <c r="B62" s="58" t="n">
        <v>102.64</v>
      </c>
      <c r="C62" s="58"/>
      <c r="D62" s="58"/>
      <c r="E62" s="58"/>
      <c r="F62" s="58"/>
    </row>
    <row r="63" customFormat="false" ht="12.75" hidden="false" customHeight="false" outlineLevel="0" collapsed="false">
      <c r="A63" s="58" t="s">
        <v>133</v>
      </c>
      <c r="B63" s="58" t="n">
        <v>102.65</v>
      </c>
      <c r="C63" s="58"/>
      <c r="D63" s="58"/>
      <c r="E63" s="59" t="n">
        <f aca="false">(0.1*B61)+(0.7*B62)+(0.2*B63)</f>
        <v>102.867</v>
      </c>
      <c r="F63" s="58"/>
      <c r="G63" s="0" t="s">
        <v>134</v>
      </c>
    </row>
    <row r="64" customFormat="false" ht="12.75" hidden="false" customHeight="false" outlineLevel="0" collapsed="false">
      <c r="A64" s="58" t="s">
        <v>135</v>
      </c>
      <c r="B64" s="61" t="n">
        <v>103.1</v>
      </c>
      <c r="C64" s="58"/>
      <c r="D64" s="58"/>
      <c r="E64" s="58"/>
      <c r="F64" s="59" t="n">
        <f aca="false">((5/11)*B63)+((6/11)*B64)</f>
        <v>102.895454545455</v>
      </c>
      <c r="G64" s="0" t="s">
        <v>136</v>
      </c>
    </row>
    <row r="65" customFormat="false" ht="12.75" hidden="false" customHeight="false" outlineLevel="0" collapsed="false">
      <c r="A65" s="58" t="s">
        <v>137</v>
      </c>
      <c r="B65" s="61" t="n">
        <v>102.7</v>
      </c>
      <c r="C65" s="58"/>
      <c r="D65" s="58"/>
      <c r="E65" s="58"/>
      <c r="F65" s="58"/>
    </row>
    <row r="66" customFormat="false" ht="12.75" hidden="false" customHeight="false" outlineLevel="0" collapsed="false">
      <c r="A66" s="54" t="s">
        <v>138</v>
      </c>
      <c r="B66" s="54" t="n">
        <v>102.41</v>
      </c>
      <c r="C66" s="54"/>
      <c r="D66" s="62" t="n">
        <f aca="false">(0.1*B64)+(0.7*B65)+(0.2*B66)</f>
        <v>102.682</v>
      </c>
      <c r="E66" s="54"/>
      <c r="F66" s="54"/>
      <c r="G66" s="0" t="s">
        <v>139</v>
      </c>
    </row>
    <row r="67" customFormat="false" ht="12.75" hidden="false" customHeight="false" outlineLevel="0" collapsed="false">
      <c r="A67" s="58" t="s">
        <v>140</v>
      </c>
      <c r="B67" s="58" t="n">
        <v>103.81</v>
      </c>
      <c r="C67" s="58"/>
      <c r="D67" s="58"/>
      <c r="E67" s="60" t="n">
        <f aca="false">(0.5*B66)+(0.5*B67)</f>
        <v>103.11</v>
      </c>
      <c r="F67" s="58"/>
      <c r="G67" s="0" t="s">
        <v>53</v>
      </c>
    </row>
    <row r="68" customFormat="false" ht="12.75" hidden="false" customHeight="false" outlineLevel="0" collapsed="false">
      <c r="A68" s="58" t="s">
        <v>141</v>
      </c>
      <c r="B68" s="58" t="n">
        <v>105.76</v>
      </c>
      <c r="C68" s="58"/>
      <c r="D68" s="58"/>
      <c r="E68" s="58"/>
      <c r="F68" s="58"/>
    </row>
    <row r="69" customFormat="false" ht="12.75" hidden="false" customHeight="false" outlineLevel="0" collapsed="false">
      <c r="A69" s="58" t="s">
        <v>142</v>
      </c>
      <c r="B69" s="58" t="n">
        <v>105.21</v>
      </c>
      <c r="C69" s="58"/>
      <c r="D69" s="58"/>
      <c r="E69" s="58"/>
      <c r="F69" s="59" t="n">
        <f aca="false">((2/11)*B67)+((7/11)*B68)+((2/11)*B69)</f>
        <v>105.305454545455</v>
      </c>
      <c r="G69" s="0" t="s">
        <v>56</v>
      </c>
    </row>
    <row r="70" customFormat="false" ht="12.75" hidden="false" customHeight="false" outlineLevel="0" collapsed="false">
      <c r="A70" s="58" t="s">
        <v>143</v>
      </c>
      <c r="B70" s="58" t="n">
        <v>105.38</v>
      </c>
      <c r="C70" s="58"/>
      <c r="D70" s="59" t="n">
        <f aca="false">(0.5*B69)+(0.5*B70)</f>
        <v>105.295</v>
      </c>
      <c r="E70" s="58"/>
      <c r="F70" s="58"/>
      <c r="G70" s="0" t="s">
        <v>58</v>
      </c>
    </row>
    <row r="71" customFormat="false" ht="12.75" hidden="false" customHeight="false" outlineLevel="0" collapsed="false">
      <c r="A71" s="58" t="s">
        <v>144</v>
      </c>
      <c r="B71" s="58" t="n">
        <v>107.64</v>
      </c>
      <c r="C71" s="58"/>
      <c r="D71" s="58"/>
      <c r="E71" s="58"/>
      <c r="F71" s="58"/>
    </row>
    <row r="72" customFormat="false" ht="12.75" hidden="false" customHeight="false" outlineLevel="0" collapsed="false">
      <c r="A72" s="58" t="s">
        <v>145</v>
      </c>
      <c r="B72" s="58" t="n">
        <v>108.66</v>
      </c>
      <c r="C72" s="58"/>
      <c r="D72" s="58"/>
      <c r="E72" s="60" t="n">
        <f aca="false">(0.2*B70)+(0.7*B71)+(0.1*B72)</f>
        <v>107.29</v>
      </c>
      <c r="F72" s="58"/>
      <c r="G72" s="0" t="s">
        <v>60</v>
      </c>
    </row>
    <row r="73" customFormat="false" ht="12.75" hidden="false" customHeight="false" outlineLevel="0" collapsed="false">
      <c r="A73" s="58" t="s">
        <v>146</v>
      </c>
      <c r="B73" s="58" t="n">
        <v>109.42</v>
      </c>
      <c r="C73" s="58"/>
      <c r="D73" s="58"/>
      <c r="E73" s="58"/>
      <c r="F73" s="59" t="n">
        <f aca="false">((6/9)*B72)+((3/9)*B73)</f>
        <v>108.913333333333</v>
      </c>
      <c r="G73" s="0" t="s">
        <v>63</v>
      </c>
    </row>
    <row r="74" customFormat="false" ht="12.75" hidden="false" customHeight="false" outlineLevel="0" collapsed="false">
      <c r="A74" s="58" t="s">
        <v>147</v>
      </c>
      <c r="B74" s="58" t="n">
        <v>110.94</v>
      </c>
      <c r="C74" s="58"/>
      <c r="D74" s="59" t="n">
        <f aca="false">(0.4*B73)+(0.6*B74)</f>
        <v>110.332</v>
      </c>
      <c r="E74" s="58"/>
      <c r="F74" s="58"/>
      <c r="G74" s="0" t="s">
        <v>65</v>
      </c>
    </row>
    <row r="75" customFormat="false" ht="12.75" hidden="false" customHeight="false" outlineLevel="0" collapsed="false">
      <c r="A75" s="58" t="s">
        <v>148</v>
      </c>
      <c r="B75" s="58" t="n">
        <v>108.67</v>
      </c>
      <c r="C75" s="58"/>
      <c r="D75" s="58"/>
      <c r="E75" s="58"/>
      <c r="F75" s="58"/>
    </row>
    <row r="76" customFormat="false" ht="12.75" hidden="false" customHeight="false" outlineLevel="0" collapsed="false">
      <c r="A76" s="58" t="s">
        <v>149</v>
      </c>
      <c r="B76" s="58" t="n">
        <v>107.16</v>
      </c>
      <c r="C76" s="58"/>
      <c r="D76" s="58"/>
      <c r="E76" s="59" t="n">
        <f aca="false">(0.1*B74)+(0.7*B75)+(0.2*B76)</f>
        <v>108.595</v>
      </c>
      <c r="F76" s="58"/>
      <c r="G76" s="0" t="s">
        <v>67</v>
      </c>
    </row>
    <row r="77" customFormat="false" ht="12.75" hidden="false" customHeight="false" outlineLevel="0" collapsed="false">
      <c r="A77" s="58" t="s">
        <v>150</v>
      </c>
      <c r="B77" s="58" t="n">
        <v>105.74</v>
      </c>
      <c r="C77" s="58"/>
      <c r="D77" s="58"/>
      <c r="E77" s="58"/>
      <c r="F77" s="59" t="n">
        <f aca="false">(5/11*B76)+(6/11*B77)</f>
        <v>106.385454545455</v>
      </c>
      <c r="G77" s="0" t="s">
        <v>70</v>
      </c>
    </row>
    <row r="78" customFormat="false" ht="12.75" hidden="false" customHeight="false" outlineLevel="0" collapsed="false">
      <c r="A78" s="54" t="s">
        <v>151</v>
      </c>
      <c r="B78" s="56" t="n">
        <v>107</v>
      </c>
      <c r="C78" s="54"/>
      <c r="D78" s="54"/>
      <c r="E78" s="54"/>
      <c r="F78" s="54"/>
    </row>
    <row r="79" customFormat="false" ht="12.75" hidden="false" customHeight="false" outlineLevel="0" collapsed="false">
      <c r="A79" s="58" t="s">
        <v>152</v>
      </c>
      <c r="B79" s="58" t="n">
        <v>106.16</v>
      </c>
      <c r="C79" s="58"/>
      <c r="D79" s="59" t="n">
        <f aca="false">(0.1*B77)+(0.7*B78)+(0.2*B79)</f>
        <v>106.706</v>
      </c>
      <c r="E79" s="58"/>
      <c r="F79" s="58"/>
      <c r="G79" s="0" t="s">
        <v>72</v>
      </c>
    </row>
    <row r="80" customFormat="false" ht="12.75" hidden="false" customHeight="false" outlineLevel="0" collapsed="false">
      <c r="A80" s="58" t="s">
        <v>153</v>
      </c>
      <c r="B80" s="58" t="n">
        <v>104.96</v>
      </c>
      <c r="C80" s="58"/>
      <c r="D80" s="58"/>
      <c r="E80" s="59" t="n">
        <f aca="false">(0.5*B79)+(0.5*B80)</f>
        <v>105.56</v>
      </c>
      <c r="F80" s="58"/>
      <c r="G80" s="0" t="s">
        <v>75</v>
      </c>
    </row>
    <row r="81" customFormat="false" ht="12.75" hidden="false" customHeight="false" outlineLevel="0" collapsed="false">
      <c r="A81" s="58" t="s">
        <v>154</v>
      </c>
      <c r="B81" s="58" t="n">
        <v>106.19</v>
      </c>
      <c r="C81" s="58"/>
      <c r="D81" s="58"/>
      <c r="E81" s="58"/>
      <c r="F81" s="58"/>
    </row>
    <row r="82" customFormat="false" ht="12.75" hidden="false" customHeight="false" outlineLevel="0" collapsed="false">
      <c r="A82" s="58" t="s">
        <v>155</v>
      </c>
      <c r="B82" s="58" t="n">
        <v>104.81</v>
      </c>
      <c r="C82" s="58"/>
      <c r="D82" s="58"/>
      <c r="E82" s="58"/>
      <c r="F82" s="59" t="n">
        <f aca="false">(0.2*B80)+(0.7*B81)+(0.1*B82)</f>
        <v>105.806</v>
      </c>
      <c r="G82" s="0" t="s">
        <v>77</v>
      </c>
    </row>
    <row r="83" customFormat="false" ht="12.75" hidden="false" customHeight="false" outlineLevel="0" collapsed="false">
      <c r="A83" s="54" t="s">
        <v>156</v>
      </c>
      <c r="B83" s="54" t="n">
        <v>105.98</v>
      </c>
      <c r="C83" s="54"/>
      <c r="D83" s="59" t="n">
        <f aca="false">(0.6*B82)+(0.4*B83)</f>
        <v>105.278</v>
      </c>
      <c r="E83" s="54"/>
      <c r="F83" s="54"/>
      <c r="G83" s="0" t="s">
        <v>80</v>
      </c>
    </row>
    <row r="84" customFormat="false" ht="12.75" hidden="false" customHeight="false" outlineLevel="0" collapsed="false">
      <c r="A84" s="58" t="s">
        <v>157</v>
      </c>
      <c r="B84" s="61" t="n">
        <v>108.2</v>
      </c>
      <c r="C84" s="58"/>
      <c r="D84" s="58"/>
      <c r="E84" s="59" t="n">
        <f aca="false">(0.3*B83)+(0.7*B84)</f>
        <v>107.534</v>
      </c>
      <c r="F84" s="58"/>
      <c r="G84" s="0" t="s">
        <v>82</v>
      </c>
    </row>
    <row r="85" customFormat="false" ht="12.75" hidden="false" customHeight="false" outlineLevel="0" collapsed="false">
      <c r="A85" s="58" t="s">
        <v>158</v>
      </c>
      <c r="B85" s="61" t="n">
        <v>109.03</v>
      </c>
      <c r="C85" s="58"/>
      <c r="D85" s="58"/>
      <c r="E85" s="58"/>
      <c r="F85" s="58"/>
    </row>
    <row r="86" customFormat="false" ht="12.75" hidden="false" customHeight="false" outlineLevel="0" collapsed="false">
      <c r="A86" s="58" t="s">
        <v>159</v>
      </c>
      <c r="B86" s="61" t="n">
        <v>108.87</v>
      </c>
      <c r="C86" s="58"/>
      <c r="D86" s="58"/>
      <c r="E86" s="58"/>
      <c r="F86" s="59" t="n">
        <f aca="false">(7/11*B85)+(4/11*B86)</f>
        <v>108.971818181818</v>
      </c>
      <c r="G86" s="0" t="s">
        <v>85</v>
      </c>
    </row>
    <row r="87" customFormat="false" ht="12.75" hidden="false" customHeight="false" outlineLevel="0" collapsed="false">
      <c r="A87" s="58" t="s">
        <v>160</v>
      </c>
      <c r="B87" s="61" t="n">
        <v>107.18</v>
      </c>
      <c r="C87" s="58"/>
      <c r="D87" s="59" t="n">
        <f aca="false">(0.3*B86)+(0.7*B87)</f>
        <v>107.687</v>
      </c>
      <c r="E87" s="58"/>
      <c r="F87" s="58"/>
      <c r="G87" s="0" t="s">
        <v>87</v>
      </c>
    </row>
    <row r="88" customFormat="false" ht="12.75" hidden="false" customHeight="false" outlineLevel="0" collapsed="false">
      <c r="A88" s="58" t="s">
        <v>161</v>
      </c>
      <c r="B88" s="61" t="n">
        <v>107.55</v>
      </c>
      <c r="C88" s="58"/>
      <c r="D88" s="58"/>
      <c r="E88" s="58"/>
      <c r="F88" s="58"/>
    </row>
    <row r="89" customFormat="false" ht="12.75" hidden="false" customHeight="false" outlineLevel="0" collapsed="false">
      <c r="A89" s="58" t="s">
        <v>162</v>
      </c>
      <c r="B89" s="61" t="n">
        <v>106.65</v>
      </c>
      <c r="C89" s="58"/>
      <c r="D89" s="58"/>
      <c r="E89" s="59" t="n">
        <f aca="false">(0.7*B88)+(0.3*B89)</f>
        <v>107.28</v>
      </c>
      <c r="F89" s="58"/>
      <c r="G89" s="0" t="s">
        <v>90</v>
      </c>
    </row>
    <row r="90" customFormat="false" ht="12.75" hidden="false" customHeight="false" outlineLevel="0" collapsed="false">
      <c r="A90" s="58" t="s">
        <v>163</v>
      </c>
      <c r="B90" s="61" t="n">
        <v>106.66</v>
      </c>
      <c r="C90" s="58"/>
      <c r="D90" s="58"/>
      <c r="E90" s="58"/>
      <c r="F90" s="59" t="n">
        <f aca="false">(0.4*B89)+(0.6*B90)</f>
        <v>106.656</v>
      </c>
      <c r="G90" s="0" t="s">
        <v>92</v>
      </c>
    </row>
    <row r="91" customFormat="false" ht="12.75" hidden="false" customHeight="false" outlineLevel="0" collapsed="false">
      <c r="A91" s="58" t="s">
        <v>164</v>
      </c>
      <c r="B91" s="61" t="n">
        <v>105.42</v>
      </c>
      <c r="C91" s="58"/>
      <c r="D91" s="58"/>
      <c r="E91" s="58"/>
      <c r="F91" s="58"/>
    </row>
    <row r="92" customFormat="false" ht="12.75" hidden="false" customHeight="false" outlineLevel="0" collapsed="false">
      <c r="A92" s="58" t="s">
        <v>165</v>
      </c>
      <c r="B92" s="61" t="n">
        <v>105.2</v>
      </c>
      <c r="C92" s="58"/>
      <c r="D92" s="59" t="n">
        <f aca="false">(0.1*B90)+(0.7*B91)+(0.2*B92)</f>
        <v>105.5</v>
      </c>
      <c r="E92" s="58"/>
      <c r="F92" s="58"/>
      <c r="G92" s="0" t="s">
        <v>94</v>
      </c>
    </row>
    <row r="93" customFormat="false" ht="12.75" hidden="false" customHeight="false" outlineLevel="0" collapsed="false">
      <c r="A93" s="58" t="s">
        <v>166</v>
      </c>
      <c r="B93" s="58" t="n">
        <v>106.56</v>
      </c>
      <c r="C93" s="58"/>
      <c r="D93" s="58"/>
      <c r="E93" s="59" t="n">
        <f aca="false">(0.5*B92)+(0.5*B93)</f>
        <v>105.88</v>
      </c>
      <c r="F93" s="58"/>
      <c r="G93" s="0" t="s">
        <v>97</v>
      </c>
    </row>
    <row r="94" customFormat="false" ht="12.75" hidden="false" customHeight="false" outlineLevel="0" collapsed="false">
      <c r="A94" s="58" t="s">
        <v>167</v>
      </c>
      <c r="B94" s="61" t="n">
        <v>107.6</v>
      </c>
      <c r="C94" s="58"/>
      <c r="D94" s="58"/>
      <c r="E94" s="58"/>
      <c r="F94" s="58"/>
    </row>
    <row r="95" customFormat="false" ht="12.75" hidden="false" customHeight="false" outlineLevel="0" collapsed="false">
      <c r="A95" s="58" t="s">
        <v>168</v>
      </c>
      <c r="B95" s="61" t="n">
        <v>108.18</v>
      </c>
      <c r="C95" s="58"/>
      <c r="D95" s="58"/>
      <c r="E95" s="58"/>
      <c r="F95" s="59" t="n">
        <f aca="false">(2/11*B93)+(7/11*B94)+(2/11*B95)</f>
        <v>107.516363636364</v>
      </c>
      <c r="G95" s="0" t="s">
        <v>99</v>
      </c>
    </row>
    <row r="96" customFormat="false" ht="12.75" hidden="false" customHeight="false" outlineLevel="0" collapsed="false">
      <c r="A96" s="58" t="s">
        <v>169</v>
      </c>
      <c r="B96" s="61" t="n">
        <v>109</v>
      </c>
      <c r="C96" s="58"/>
      <c r="D96" s="59" t="n">
        <f aca="false">(0.5*B95)+(0.5*B96)</f>
        <v>108.59</v>
      </c>
      <c r="E96" s="58"/>
      <c r="F96" s="58"/>
      <c r="G96" s="0" t="s">
        <v>102</v>
      </c>
    </row>
    <row r="97" customFormat="false" ht="12.75" hidden="false" customHeight="false" outlineLevel="0" collapsed="false">
      <c r="A97" s="58" t="s">
        <v>170</v>
      </c>
      <c r="B97" s="61" t="n">
        <v>109.02</v>
      </c>
      <c r="C97" s="58"/>
      <c r="D97" s="58"/>
      <c r="E97" s="58"/>
      <c r="F97" s="58"/>
    </row>
    <row r="98" customFormat="false" ht="12.75" hidden="false" customHeight="false" outlineLevel="0" collapsed="false">
      <c r="A98" s="58" t="s">
        <v>171</v>
      </c>
      <c r="B98" s="61" t="n">
        <v>108.44</v>
      </c>
      <c r="C98" s="58"/>
      <c r="D98" s="58"/>
      <c r="E98" s="59" t="n">
        <f aca="false">(0.2*B96)+(0.7*B97)+(0.1*B98)</f>
        <v>108.958</v>
      </c>
      <c r="F98" s="58"/>
      <c r="G98" s="0" t="s">
        <v>104</v>
      </c>
    </row>
    <row r="99" customFormat="false" ht="12.75" hidden="false" customHeight="false" outlineLevel="0" collapsed="false">
      <c r="A99" s="58" t="s">
        <v>172</v>
      </c>
      <c r="B99" s="61"/>
      <c r="C99" s="58"/>
      <c r="D99" s="58"/>
      <c r="E99" s="58"/>
      <c r="F99" s="60"/>
      <c r="G99" s="0" t="s">
        <v>107</v>
      </c>
    </row>
    <row r="100" customFormat="false" ht="12.75" hidden="false" customHeight="false" outlineLevel="0" collapsed="false">
      <c r="A100" s="58" t="s">
        <v>173</v>
      </c>
      <c r="B100" s="61"/>
      <c r="C100" s="58"/>
      <c r="D100" s="58"/>
      <c r="E100" s="58"/>
      <c r="F100" s="58"/>
    </row>
    <row r="101" customFormat="false" ht="12.75" hidden="false" customHeight="false" outlineLevel="0" collapsed="false">
      <c r="A101" s="58" t="s">
        <v>174</v>
      </c>
      <c r="B101" s="61"/>
      <c r="C101" s="58"/>
      <c r="D101" s="60"/>
      <c r="E101" s="58"/>
      <c r="F101" s="58"/>
      <c r="G101" s="0" t="s">
        <v>109</v>
      </c>
    </row>
    <row r="102" customFormat="false" ht="12.75" hidden="false" customHeight="false" outlineLevel="0" collapsed="false">
      <c r="A102" s="58" t="s">
        <v>175</v>
      </c>
      <c r="B102" s="61"/>
      <c r="C102" s="58"/>
      <c r="D102" s="58"/>
      <c r="E102" s="60"/>
      <c r="F102" s="58"/>
      <c r="G102" s="0" t="s">
        <v>112</v>
      </c>
    </row>
    <row r="103" customFormat="false" ht="12.75" hidden="false" customHeight="false" outlineLevel="0" collapsed="false">
      <c r="A103" s="58" t="s">
        <v>176</v>
      </c>
      <c r="B103" s="61"/>
      <c r="C103" s="58"/>
      <c r="D103" s="58"/>
      <c r="E103" s="58"/>
      <c r="F103" s="60"/>
      <c r="G103" s="0" t="s">
        <v>114</v>
      </c>
    </row>
    <row r="104" customFormat="false" ht="12.75" hidden="false" customHeight="false" outlineLevel="0" collapsed="false">
      <c r="A104" s="58" t="s">
        <v>177</v>
      </c>
      <c r="B104" s="61"/>
      <c r="C104" s="58"/>
      <c r="D104" s="58"/>
      <c r="E104" s="58"/>
      <c r="F104" s="58"/>
    </row>
    <row r="105" customFormat="false" ht="12.75" hidden="false" customHeight="false" outlineLevel="0" collapsed="false">
      <c r="A105" s="58" t="s">
        <v>178</v>
      </c>
      <c r="B105" s="61"/>
      <c r="C105" s="58"/>
      <c r="D105" s="60"/>
      <c r="E105" s="58"/>
      <c r="F105" s="58"/>
      <c r="G105" s="0" t="s">
        <v>117</v>
      </c>
    </row>
    <row r="106" customFormat="false" ht="12.75" hidden="false" customHeight="false" outlineLevel="0" collapsed="false">
      <c r="A106" s="58" t="s">
        <v>179</v>
      </c>
      <c r="B106" s="61"/>
      <c r="C106" s="58"/>
      <c r="D106" s="58"/>
      <c r="E106" s="60"/>
      <c r="F106" s="58"/>
      <c r="G106" s="0" t="s">
        <v>119</v>
      </c>
    </row>
    <row r="107" customFormat="false" ht="12.75" hidden="false" customHeight="false" outlineLevel="0" collapsed="false">
      <c r="A107" s="54" t="s">
        <v>180</v>
      </c>
      <c r="B107" s="54"/>
      <c r="C107" s="54"/>
      <c r="D107" s="54"/>
      <c r="E107" s="54"/>
      <c r="F107" s="54"/>
    </row>
    <row r="108" customFormat="false" ht="12.75" hidden="false" customHeight="false" outlineLevel="0" collapsed="false">
      <c r="A108" s="54" t="s">
        <v>181</v>
      </c>
      <c r="B108" s="54"/>
      <c r="C108" s="54"/>
      <c r="D108" s="54"/>
      <c r="E108" s="54"/>
      <c r="F108" s="62"/>
      <c r="G108" s="0" t="s">
        <v>122</v>
      </c>
    </row>
    <row r="109" customFormat="false" ht="12.75" hidden="false" customHeight="false" outlineLevel="0" collapsed="false">
      <c r="A109" s="54" t="s">
        <v>182</v>
      </c>
      <c r="B109" s="54"/>
      <c r="C109" s="54"/>
      <c r="D109" s="62"/>
      <c r="E109" s="54"/>
      <c r="F109" s="54"/>
      <c r="G109" s="0" t="s">
        <v>124</v>
      </c>
    </row>
    <row r="110" customFormat="false" ht="12.75" hidden="false" customHeight="false" outlineLevel="0" collapsed="false">
      <c r="A110" s="54" t="s">
        <v>183</v>
      </c>
      <c r="B110" s="54"/>
      <c r="C110" s="54"/>
      <c r="D110" s="54"/>
      <c r="E110" s="54"/>
      <c r="F110" s="54"/>
    </row>
    <row r="111" customFormat="false" ht="12.75" hidden="false" customHeight="false" outlineLevel="0" collapsed="false">
      <c r="A111" s="54" t="s">
        <v>184</v>
      </c>
      <c r="B111" s="54"/>
      <c r="C111" s="54"/>
      <c r="D111" s="54"/>
      <c r="E111" s="62"/>
      <c r="F111" s="54"/>
      <c r="G111" s="0" t="s">
        <v>126</v>
      </c>
    </row>
    <row r="112" customFormat="false" ht="12.75" hidden="false" customHeight="false" outlineLevel="0" collapsed="false">
      <c r="A112" s="54" t="s">
        <v>185</v>
      </c>
      <c r="B112" s="54"/>
      <c r="C112" s="54"/>
      <c r="D112" s="54"/>
      <c r="E112" s="54"/>
      <c r="F112" s="62"/>
      <c r="G112" s="0" t="s">
        <v>129</v>
      </c>
    </row>
    <row r="113" customFormat="false" ht="12.75" hidden="false" customHeight="false" outlineLevel="0" collapsed="false">
      <c r="A113" s="54" t="s">
        <v>186</v>
      </c>
      <c r="B113" s="54"/>
      <c r="C113" s="54"/>
      <c r="D113" s="54"/>
      <c r="E113" s="54"/>
      <c r="F113" s="54"/>
    </row>
    <row r="114" customFormat="false" ht="12.75" hidden="false" customHeight="false" outlineLevel="0" collapsed="false">
      <c r="A114" s="54" t="s">
        <v>187</v>
      </c>
      <c r="B114" s="54"/>
      <c r="C114" s="54"/>
      <c r="D114" s="62"/>
      <c r="E114" s="54"/>
      <c r="F114" s="54"/>
      <c r="G114" s="0" t="s">
        <v>131</v>
      </c>
    </row>
    <row r="115" customFormat="false" ht="12.75" hidden="false" customHeight="false" outlineLevel="0" collapsed="false">
      <c r="A115" s="54" t="s">
        <v>188</v>
      </c>
      <c r="B115" s="54"/>
      <c r="C115" s="54"/>
      <c r="D115" s="54"/>
      <c r="E115" s="62"/>
      <c r="F115" s="54"/>
      <c r="G115" s="0" t="s">
        <v>134</v>
      </c>
    </row>
    <row r="116" customFormat="false" ht="12.75" hidden="false" customHeight="false" outlineLevel="0" collapsed="false">
      <c r="A116" s="54" t="s">
        <v>189</v>
      </c>
      <c r="B116" s="54"/>
      <c r="C116" s="54"/>
      <c r="D116" s="54"/>
      <c r="E116" s="54"/>
      <c r="F116" s="54"/>
    </row>
    <row r="117" customFormat="false" ht="12.75" hidden="false" customHeight="false" outlineLevel="0" collapsed="false">
      <c r="A117" s="54" t="s">
        <v>190</v>
      </c>
      <c r="B117" s="54"/>
      <c r="C117" s="54"/>
      <c r="D117" s="54"/>
      <c r="E117" s="54"/>
      <c r="F117" s="62"/>
      <c r="G117" s="0" t="s">
        <v>136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28"/>
    <col collapsed="false" customWidth="true" hidden="false" outlineLevel="0" max="3" min="3" style="0" width="12.85"/>
    <col collapsed="false" customWidth="true" hidden="false" outlineLevel="0" max="6" min="4" style="0" width="10.28"/>
    <col collapsed="false" customWidth="true" hidden="false" outlineLevel="0" max="7" min="7" style="0" width="10.85"/>
  </cols>
  <sheetData>
    <row r="1" customFormat="false" ht="20.25" hidden="false" customHeight="false" outlineLevel="0" collapsed="false">
      <c r="A1" s="1" t="s">
        <v>191</v>
      </c>
    </row>
    <row r="2" customFormat="false" ht="12.75" hidden="false" customHeight="false" outlineLevel="0" collapsed="false">
      <c r="A2" s="0" t="s">
        <v>192</v>
      </c>
    </row>
    <row r="3" customFormat="false" ht="12.75" hidden="false" customHeight="false" outlineLevel="0" collapsed="false">
      <c r="A3" s="0" t="s">
        <v>193</v>
      </c>
    </row>
    <row r="4" customFormat="false" ht="12.75" hidden="false" customHeight="false" outlineLevel="0" collapsed="false">
      <c r="A4" s="0" t="s">
        <v>194</v>
      </c>
    </row>
    <row r="5" customFormat="false" ht="12.75" hidden="false" customHeight="false" outlineLevel="0" collapsed="false">
      <c r="A5" s="0" t="s">
        <v>195</v>
      </c>
    </row>
    <row r="6" customFormat="false" ht="12.75" hidden="false" customHeight="false" outlineLevel="0" collapsed="false">
      <c r="A6" s="63" t="s">
        <v>196</v>
      </c>
    </row>
    <row r="7" customFormat="false" ht="12.75" hidden="false" customHeight="false" outlineLevel="0" collapsed="false">
      <c r="A7" s="63"/>
    </row>
    <row r="8" customFormat="false" ht="12.75" hidden="false" customHeight="false" outlineLevel="0" collapsed="false">
      <c r="A8" s="63"/>
    </row>
    <row r="9" customFormat="false" ht="12.75" hidden="false" customHeight="false" outlineLevel="0" collapsed="false">
      <c r="B9" s="64" t="s">
        <v>197</v>
      </c>
      <c r="C9" s="64" t="s">
        <v>197</v>
      </c>
      <c r="D9" s="65" t="s">
        <v>198</v>
      </c>
    </row>
    <row r="10" customFormat="false" ht="12.75" hidden="false" customHeight="false" outlineLevel="0" collapsed="false">
      <c r="B10" s="64" t="s">
        <v>199</v>
      </c>
      <c r="C10" s="64" t="s">
        <v>200</v>
      </c>
      <c r="D10" s="65" t="s">
        <v>201</v>
      </c>
    </row>
    <row r="11" customFormat="false" ht="13.5" hidden="false" customHeight="false" outlineLevel="0" collapsed="false">
      <c r="A11" s="49" t="s">
        <v>4</v>
      </c>
      <c r="B11" s="49" t="s">
        <v>202</v>
      </c>
      <c r="C11" s="49" t="s">
        <v>203</v>
      </c>
      <c r="D11" s="66" t="s">
        <v>204</v>
      </c>
      <c r="E11" s="49" t="s">
        <v>205</v>
      </c>
      <c r="F11" s="49" t="s">
        <v>206</v>
      </c>
      <c r="G11" s="49" t="s">
        <v>207</v>
      </c>
    </row>
    <row r="12" customFormat="false" ht="12.75" hidden="false" customHeight="false" outlineLevel="0" collapsed="false">
      <c r="A12" s="29" t="s">
        <v>10</v>
      </c>
      <c r="B12" s="67" t="n">
        <v>731733</v>
      </c>
      <c r="C12" s="67" t="n">
        <v>1803693</v>
      </c>
      <c r="D12" s="68" t="n">
        <v>2692107</v>
      </c>
      <c r="E12" s="67" t="n">
        <f aca="false">B12</f>
        <v>731733</v>
      </c>
      <c r="F12" s="67" t="n">
        <f aca="false">C12-B12</f>
        <v>1071960</v>
      </c>
      <c r="G12" s="69" t="n">
        <f aca="false">D12-C12</f>
        <v>888414</v>
      </c>
    </row>
    <row r="13" customFormat="false" ht="12.75" hidden="false" customHeight="false" outlineLevel="0" collapsed="false">
      <c r="A13" s="20" t="s">
        <v>11</v>
      </c>
      <c r="B13" s="70" t="n">
        <v>1144677</v>
      </c>
      <c r="C13" s="70" t="n">
        <v>1984313</v>
      </c>
      <c r="D13" s="71" t="n">
        <v>2657132</v>
      </c>
      <c r="E13" s="70" t="n">
        <f aca="false">B13</f>
        <v>1144677</v>
      </c>
      <c r="F13" s="70" t="n">
        <f aca="false">C13-B13</f>
        <v>839636</v>
      </c>
      <c r="G13" s="72" t="n">
        <f aca="false">D13-C13</f>
        <v>672819</v>
      </c>
    </row>
    <row r="14" customFormat="false" ht="12.75" hidden="false" customHeight="false" outlineLevel="0" collapsed="false">
      <c r="A14" s="20" t="s">
        <v>12</v>
      </c>
      <c r="B14" s="70" t="n">
        <v>1065941</v>
      </c>
      <c r="C14" s="70" t="n">
        <v>1971020</v>
      </c>
      <c r="D14" s="71" t="n">
        <v>2995096</v>
      </c>
      <c r="E14" s="70" t="n">
        <f aca="false">B14</f>
        <v>1065941</v>
      </c>
      <c r="F14" s="70" t="n">
        <f aca="false">C14-B14</f>
        <v>905079</v>
      </c>
      <c r="G14" s="72" t="n">
        <f aca="false">D14-C14</f>
        <v>1024076</v>
      </c>
    </row>
    <row r="15" customFormat="false" ht="12.75" hidden="false" customHeight="false" outlineLevel="0" collapsed="false">
      <c r="A15" s="20" t="s">
        <v>13</v>
      </c>
      <c r="B15" s="70" t="n">
        <v>1022945</v>
      </c>
      <c r="C15" s="70" t="n">
        <v>1987229</v>
      </c>
      <c r="D15" s="71" t="n">
        <v>2979455</v>
      </c>
      <c r="E15" s="70" t="n">
        <f aca="false">B15</f>
        <v>1022945</v>
      </c>
      <c r="F15" s="70" t="n">
        <f aca="false">C15-B15</f>
        <v>964284</v>
      </c>
      <c r="G15" s="72" t="n">
        <f aca="false">D15-C15</f>
        <v>992226</v>
      </c>
    </row>
    <row r="16" customFormat="false" ht="12.75" hidden="false" customHeight="false" outlineLevel="0" collapsed="false">
      <c r="A16" s="20" t="s">
        <v>14</v>
      </c>
      <c r="B16" s="70" t="n">
        <v>616179</v>
      </c>
      <c r="C16" s="70" t="n">
        <v>1783013</v>
      </c>
      <c r="D16" s="71" t="n">
        <v>2733126</v>
      </c>
      <c r="E16" s="70" t="n">
        <f aca="false">B16</f>
        <v>616179</v>
      </c>
      <c r="F16" s="70" t="n">
        <f aca="false">C16-B16</f>
        <v>1166834</v>
      </c>
      <c r="G16" s="72" t="n">
        <f aca="false">D16-C16</f>
        <v>950113</v>
      </c>
    </row>
    <row r="17" customFormat="false" ht="12.75" hidden="false" customHeight="false" outlineLevel="0" collapsed="false">
      <c r="A17" s="20" t="s">
        <v>15</v>
      </c>
      <c r="B17" s="70" t="n">
        <v>1046410</v>
      </c>
      <c r="C17" s="70" t="n">
        <v>1866002</v>
      </c>
      <c r="D17" s="71" t="n">
        <v>2918379</v>
      </c>
      <c r="E17" s="70" t="n">
        <f aca="false">B17</f>
        <v>1046410</v>
      </c>
      <c r="F17" s="70" t="n">
        <f aca="false">C17-B17</f>
        <v>819592</v>
      </c>
      <c r="G17" s="72" t="n">
        <f aca="false">D17-C17</f>
        <v>1052377</v>
      </c>
      <c r="I17" s="73" t="n">
        <v>1999</v>
      </c>
    </row>
    <row r="18" customFormat="false" ht="12.75" hidden="false" customHeight="false" outlineLevel="0" collapsed="false">
      <c r="A18" s="20" t="s">
        <v>16</v>
      </c>
      <c r="B18" s="70" t="n">
        <v>977646</v>
      </c>
      <c r="C18" s="70" t="n">
        <v>1852901</v>
      </c>
      <c r="D18" s="71" t="n">
        <v>2970223</v>
      </c>
      <c r="E18" s="70" t="n">
        <f aca="false">B18</f>
        <v>977646</v>
      </c>
      <c r="F18" s="70" t="n">
        <f aca="false">C18-B18</f>
        <v>875255</v>
      </c>
      <c r="G18" s="72" t="n">
        <f aca="false">D18-C18</f>
        <v>1117322</v>
      </c>
    </row>
    <row r="19" customFormat="false" ht="12.75" hidden="false" customHeight="false" outlineLevel="0" collapsed="false">
      <c r="A19" s="20" t="s">
        <v>17</v>
      </c>
      <c r="B19" s="70" t="n">
        <v>1024364</v>
      </c>
      <c r="C19" s="70" t="n">
        <v>2072510</v>
      </c>
      <c r="D19" s="71" t="n">
        <v>3036064</v>
      </c>
      <c r="E19" s="70" t="n">
        <f aca="false">B19</f>
        <v>1024364</v>
      </c>
      <c r="F19" s="70" t="n">
        <f aca="false">C19-B19</f>
        <v>1048146</v>
      </c>
      <c r="G19" s="72" t="n">
        <f aca="false">D19-C19</f>
        <v>963554</v>
      </c>
    </row>
    <row r="20" customFormat="false" ht="12.75" hidden="false" customHeight="false" outlineLevel="0" collapsed="false">
      <c r="A20" s="20" t="s">
        <v>18</v>
      </c>
      <c r="B20" s="70" t="n">
        <v>1068609</v>
      </c>
      <c r="C20" s="70" t="n">
        <v>1896435</v>
      </c>
      <c r="D20" s="71" t="n">
        <v>2887621</v>
      </c>
      <c r="E20" s="70" t="n">
        <f aca="false">B20</f>
        <v>1068609</v>
      </c>
      <c r="F20" s="70" t="n">
        <f aca="false">C20-B20</f>
        <v>827826</v>
      </c>
      <c r="G20" s="72" t="n">
        <f aca="false">D20-C20</f>
        <v>991186</v>
      </c>
    </row>
    <row r="21" customFormat="false" ht="12.75" hidden="false" customHeight="false" outlineLevel="0" collapsed="false">
      <c r="A21" s="20" t="s">
        <v>19</v>
      </c>
      <c r="B21" s="70" t="n">
        <v>938259</v>
      </c>
      <c r="C21" s="70" t="n">
        <v>1971131</v>
      </c>
      <c r="D21" s="71" t="n">
        <v>2962388</v>
      </c>
      <c r="E21" s="70" t="n">
        <f aca="false">B21</f>
        <v>938259</v>
      </c>
      <c r="F21" s="70" t="n">
        <f aca="false">C21-B21</f>
        <v>1032872</v>
      </c>
      <c r="G21" s="72" t="n">
        <f aca="false">D21-C21</f>
        <v>991257</v>
      </c>
    </row>
    <row r="22" customFormat="false" ht="12.75" hidden="false" customHeight="false" outlineLevel="0" collapsed="false">
      <c r="A22" s="20" t="s">
        <v>20</v>
      </c>
      <c r="B22" s="70" t="n">
        <v>1178430</v>
      </c>
      <c r="C22" s="70" t="n">
        <v>2211694</v>
      </c>
      <c r="D22" s="71" t="n">
        <v>3224473</v>
      </c>
      <c r="E22" s="70" t="n">
        <f aca="false">B22</f>
        <v>1178430</v>
      </c>
      <c r="F22" s="70" t="n">
        <f aca="false">C22-B22</f>
        <v>1033264</v>
      </c>
      <c r="G22" s="72" t="n">
        <f aca="false">D22-C22</f>
        <v>1012779</v>
      </c>
    </row>
    <row r="23" customFormat="false" ht="13.5" hidden="false" customHeight="false" outlineLevel="0" collapsed="false">
      <c r="A23" s="27" t="s">
        <v>21</v>
      </c>
      <c r="B23" s="74" t="n">
        <v>1193876</v>
      </c>
      <c r="C23" s="74" t="n">
        <v>2255428</v>
      </c>
      <c r="D23" s="75" t="n">
        <v>3152498</v>
      </c>
      <c r="E23" s="74" t="n">
        <f aca="false">B23</f>
        <v>1193876</v>
      </c>
      <c r="F23" s="74" t="n">
        <f aca="false">C23-B23</f>
        <v>1061552</v>
      </c>
      <c r="G23" s="76" t="n">
        <f aca="false">D23-C23</f>
        <v>897070</v>
      </c>
    </row>
    <row r="24" customFormat="false" ht="12.75" hidden="false" customHeight="false" outlineLevel="0" collapsed="false">
      <c r="A24" s="29" t="s">
        <v>10</v>
      </c>
      <c r="B24" s="67" t="n">
        <v>603670</v>
      </c>
      <c r="C24" s="67" t="n">
        <v>1962866</v>
      </c>
      <c r="D24" s="68" t="n">
        <v>2990462</v>
      </c>
      <c r="E24" s="67" t="n">
        <f aca="false">B24</f>
        <v>603670</v>
      </c>
      <c r="F24" s="67" t="n">
        <f aca="false">C24-B24</f>
        <v>1359196</v>
      </c>
      <c r="G24" s="69" t="n">
        <f aca="false">D24-C24</f>
        <v>1027596</v>
      </c>
    </row>
    <row r="25" customFormat="false" ht="12.75" hidden="false" customHeight="false" outlineLevel="0" collapsed="false">
      <c r="A25" s="20" t="s">
        <v>11</v>
      </c>
      <c r="B25" s="70" t="n">
        <v>1143424</v>
      </c>
      <c r="C25" s="70" t="n">
        <v>1940386</v>
      </c>
      <c r="D25" s="71" t="n">
        <v>2956747</v>
      </c>
      <c r="E25" s="70" t="n">
        <f aca="false">B25</f>
        <v>1143424</v>
      </c>
      <c r="F25" s="70" t="n">
        <f aca="false">C25-B25</f>
        <v>796962</v>
      </c>
      <c r="G25" s="72" t="n">
        <f aca="false">D25-C25</f>
        <v>1016361</v>
      </c>
    </row>
    <row r="26" customFormat="false" ht="12.75" hidden="false" customHeight="false" outlineLevel="0" collapsed="false">
      <c r="A26" s="20" t="s">
        <v>12</v>
      </c>
      <c r="B26" s="70" t="n">
        <v>1285192</v>
      </c>
      <c r="C26" s="70" t="s">
        <v>208</v>
      </c>
      <c r="D26" s="71" t="n">
        <v>3593331</v>
      </c>
      <c r="E26" s="70" t="n">
        <f aca="false">B26</f>
        <v>1285192</v>
      </c>
      <c r="F26" s="70" t="e">
        <f aca="false">C26-B26</f>
        <v>#VALUE!</v>
      </c>
      <c r="G26" s="72" t="e">
        <f aca="false">D26-C26</f>
        <v>#VALUE!</v>
      </c>
    </row>
    <row r="27" customFormat="false" ht="12.75" hidden="false" customHeight="false" outlineLevel="0" collapsed="false">
      <c r="A27" s="20" t="s">
        <v>13</v>
      </c>
      <c r="B27" s="70" t="n">
        <v>1097967</v>
      </c>
      <c r="C27" s="70" t="n">
        <v>2319387</v>
      </c>
      <c r="D27" s="71" t="n">
        <v>3234880</v>
      </c>
      <c r="E27" s="70" t="n">
        <f aca="false">B27</f>
        <v>1097967</v>
      </c>
      <c r="F27" s="70" t="n">
        <f aca="false">C27-B27</f>
        <v>1221420</v>
      </c>
      <c r="G27" s="72" t="n">
        <f aca="false">D27-C27</f>
        <v>915493</v>
      </c>
    </row>
    <row r="28" customFormat="false" ht="12.75" hidden="false" customHeight="false" outlineLevel="0" collapsed="false">
      <c r="A28" s="20" t="s">
        <v>14</v>
      </c>
      <c r="B28" s="70" t="n">
        <v>958983</v>
      </c>
      <c r="C28" s="70" t="n">
        <v>2077639</v>
      </c>
      <c r="D28" s="71" t="n">
        <v>3273584</v>
      </c>
      <c r="E28" s="70" t="n">
        <f aca="false">B28</f>
        <v>958983</v>
      </c>
      <c r="F28" s="70" t="n">
        <f aca="false">C28-B28</f>
        <v>1118656</v>
      </c>
      <c r="G28" s="72" t="n">
        <f aca="false">D28-C28</f>
        <v>1195945</v>
      </c>
    </row>
    <row r="29" customFormat="false" ht="12.75" hidden="false" customHeight="false" outlineLevel="0" collapsed="false">
      <c r="A29" s="20" t="s">
        <v>15</v>
      </c>
      <c r="B29" s="70" t="n">
        <v>1010552</v>
      </c>
      <c r="C29" s="70" t="n">
        <v>2128455</v>
      </c>
      <c r="D29" s="70" t="s">
        <v>208</v>
      </c>
      <c r="E29" s="70" t="n">
        <f aca="false">B29</f>
        <v>1010552</v>
      </c>
      <c r="F29" s="70" t="n">
        <f aca="false">C29-B29</f>
        <v>1117903</v>
      </c>
      <c r="G29" s="72" t="e">
        <f aca="false">D29-C29</f>
        <v>#VALUE!</v>
      </c>
      <c r="I29" s="73" t="n">
        <v>2000</v>
      </c>
    </row>
    <row r="30" customFormat="false" ht="12.75" hidden="false" customHeight="false" outlineLevel="0" collapsed="false">
      <c r="A30" s="20" t="s">
        <v>16</v>
      </c>
      <c r="B30" s="70" t="n">
        <v>993089</v>
      </c>
      <c r="C30" s="70" t="n">
        <v>2684440</v>
      </c>
      <c r="D30" s="70" t="s">
        <v>208</v>
      </c>
      <c r="E30" s="70" t="n">
        <f aca="false">B30</f>
        <v>993089</v>
      </c>
      <c r="F30" s="70" t="n">
        <f aca="false">C30-B30</f>
        <v>1691351</v>
      </c>
      <c r="G30" s="72" t="e">
        <f aca="false">D30-C30</f>
        <v>#VALUE!</v>
      </c>
    </row>
    <row r="31" customFormat="false" ht="12.75" hidden="false" customHeight="false" outlineLevel="0" collapsed="false">
      <c r="A31" s="20" t="s">
        <v>17</v>
      </c>
      <c r="B31" s="70" t="n">
        <v>1302561</v>
      </c>
      <c r="C31" s="70" t="n">
        <v>2158988</v>
      </c>
      <c r="D31" s="70" t="s">
        <v>208</v>
      </c>
      <c r="E31" s="70" t="n">
        <f aca="false">B31</f>
        <v>1302561</v>
      </c>
      <c r="F31" s="70" t="n">
        <f aca="false">C31-B31</f>
        <v>856427</v>
      </c>
      <c r="G31" s="72" t="e">
        <f aca="false">D31-C31</f>
        <v>#VALUE!</v>
      </c>
    </row>
    <row r="32" customFormat="false" ht="12.75" hidden="false" customHeight="false" outlineLevel="0" collapsed="false">
      <c r="A32" s="20" t="s">
        <v>18</v>
      </c>
      <c r="B32" s="70"/>
      <c r="C32" s="70"/>
      <c r="D32" s="71"/>
      <c r="E32" s="70" t="n">
        <f aca="false">B32</f>
        <v>0</v>
      </c>
      <c r="F32" s="70" t="n">
        <f aca="false">C32-B32</f>
        <v>0</v>
      </c>
      <c r="G32" s="72" t="n">
        <f aca="false">D32-C32</f>
        <v>0</v>
      </c>
    </row>
    <row r="33" customFormat="false" ht="12.75" hidden="false" customHeight="false" outlineLevel="0" collapsed="false">
      <c r="A33" s="20" t="s">
        <v>19</v>
      </c>
      <c r="B33" s="70"/>
      <c r="C33" s="70"/>
      <c r="D33" s="71"/>
      <c r="E33" s="70" t="n">
        <f aca="false">B33</f>
        <v>0</v>
      </c>
      <c r="F33" s="70" t="n">
        <f aca="false">C33-B33</f>
        <v>0</v>
      </c>
      <c r="G33" s="72" t="n">
        <f aca="false">D33-C33</f>
        <v>0</v>
      </c>
    </row>
    <row r="34" customFormat="false" ht="12.75" hidden="false" customHeight="false" outlineLevel="0" collapsed="false">
      <c r="A34" s="20" t="s">
        <v>20</v>
      </c>
      <c r="B34" s="70"/>
      <c r="C34" s="70"/>
      <c r="D34" s="71"/>
      <c r="E34" s="70" t="n">
        <f aca="false">B34</f>
        <v>0</v>
      </c>
      <c r="F34" s="70" t="n">
        <f aca="false">C34-B34</f>
        <v>0</v>
      </c>
      <c r="G34" s="72" t="n">
        <f aca="false">D34-C34</f>
        <v>0</v>
      </c>
    </row>
    <row r="35" customFormat="false" ht="13.5" hidden="false" customHeight="false" outlineLevel="0" collapsed="false">
      <c r="A35" s="27" t="s">
        <v>21</v>
      </c>
      <c r="B35" s="74"/>
      <c r="C35" s="74"/>
      <c r="D35" s="75"/>
      <c r="E35" s="74" t="n">
        <f aca="false">B35</f>
        <v>0</v>
      </c>
      <c r="F35" s="74" t="n">
        <f aca="false">C35-B35</f>
        <v>0</v>
      </c>
      <c r="G35" s="76" t="n">
        <f aca="false">D35-C35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1.28"/>
    <col collapsed="false" customWidth="true" hidden="false" outlineLevel="0" max="4" min="3" style="0" width="11.85"/>
    <col collapsed="false" customWidth="true" hidden="false" outlineLevel="0" max="5" min="5" style="0" width="11.28"/>
    <col collapsed="false" customWidth="true" hidden="false" outlineLevel="0" max="6" min="6" style="0" width="12.85"/>
  </cols>
  <sheetData>
    <row r="1" customFormat="false" ht="20.25" hidden="false" customHeight="false" outlineLevel="0" collapsed="false">
      <c r="A1" s="1" t="s">
        <v>209</v>
      </c>
    </row>
    <row r="2" customFormat="false" ht="12.75" hidden="false" customHeight="false" outlineLevel="0" collapsed="false">
      <c r="A2" s="15" t="s">
        <v>210</v>
      </c>
    </row>
    <row r="4" customFormat="false" ht="12.75" hidden="false" customHeight="false" outlineLevel="0" collapsed="false">
      <c r="A4" s="15" t="s">
        <v>211</v>
      </c>
    </row>
    <row r="5" customFormat="false" ht="12.75" hidden="false" customHeight="false" outlineLevel="0" collapsed="false">
      <c r="A5" s="15"/>
    </row>
    <row r="6" customFormat="false" ht="12.75" hidden="false" customHeight="false" outlineLevel="0" collapsed="false">
      <c r="A6" s="15" t="s">
        <v>212</v>
      </c>
    </row>
    <row r="7" customFormat="false" ht="12.75" hidden="false" customHeight="false" outlineLevel="0" collapsed="false">
      <c r="E7" s="77" t="s">
        <v>213</v>
      </c>
      <c r="F7" s="77" t="s">
        <v>214</v>
      </c>
      <c r="G7" s="77" t="s">
        <v>215</v>
      </c>
    </row>
    <row r="8" customFormat="false" ht="13.5" hidden="false" customHeight="false" outlineLevel="0" collapsed="false">
      <c r="A8" s="49" t="s">
        <v>4</v>
      </c>
      <c r="B8" s="49" t="s">
        <v>216</v>
      </c>
      <c r="C8" s="49" t="s">
        <v>217</v>
      </c>
      <c r="D8" s="49" t="s">
        <v>218</v>
      </c>
      <c r="E8" s="49" t="s">
        <v>219</v>
      </c>
      <c r="F8" s="49" t="s">
        <v>220</v>
      </c>
      <c r="G8" s="49" t="s">
        <v>7</v>
      </c>
    </row>
    <row r="9" customFormat="false" ht="12.75" hidden="false" customHeight="false" outlineLevel="0" collapsed="false">
      <c r="A9" s="29" t="s">
        <v>10</v>
      </c>
      <c r="B9" s="78" t="s">
        <v>9</v>
      </c>
      <c r="C9" s="79" t="n">
        <f aca="false">'X1, X2, X3 Calculation'!F12/'Yen-$ Rates'!E15</f>
        <v>9365.85877295682</v>
      </c>
      <c r="D9" s="79" t="n">
        <f aca="false">'X1, X2, X3 Calculation'!G12/'Yen-$ Rates'!F17</f>
        <v>7921.4016487124</v>
      </c>
      <c r="E9" s="78" t="s">
        <v>9</v>
      </c>
      <c r="F9" s="80" t="n">
        <f aca="false">'X1, X2, X3 Calculation'!D12</f>
        <v>2692107</v>
      </c>
      <c r="G9" s="81" t="s">
        <v>9</v>
      </c>
    </row>
    <row r="10" customFormat="false" ht="12.75" hidden="false" customHeight="false" outlineLevel="0" collapsed="false">
      <c r="A10" s="20" t="s">
        <v>11</v>
      </c>
      <c r="B10" s="82" t="n">
        <f aca="false">'X1, X2, X3 Calculation'!E13/'Yen-$ Rates'!D18</f>
        <v>10032.7536943222</v>
      </c>
      <c r="C10" s="82" t="n">
        <f aca="false">'X1, X2, X3 Calculation'!F13/'Yen-$ Rates'!E19</f>
        <v>7366.26193149916</v>
      </c>
      <c r="D10" s="82" t="n">
        <f aca="false">'X1, X2, X3 Calculation'!G13/'Yen-$ Rates'!F21</f>
        <v>5874.5451568895</v>
      </c>
      <c r="E10" s="82" t="n">
        <f aca="false">SUM(B10:D10)</f>
        <v>23273.5607827109</v>
      </c>
      <c r="F10" s="83" t="n">
        <f aca="false">'X1, X2, X3 Calculation'!D13</f>
        <v>2657132</v>
      </c>
      <c r="G10" s="38" t="n">
        <f aca="false">F10/E10</f>
        <v>114.169551655967</v>
      </c>
    </row>
    <row r="11" customFormat="false" ht="12.75" hidden="false" customHeight="false" outlineLevel="0" collapsed="false">
      <c r="A11" s="20" t="s">
        <v>12</v>
      </c>
      <c r="B11" s="82" t="n">
        <f aca="false">'X1, X2, X3 Calculation'!E14/'Yen-$ Rates'!D22</f>
        <v>8967.73623637098</v>
      </c>
      <c r="C11" s="82" t="n">
        <f aca="false">'X1, X2, X3 Calculation'!F14/'Yen-$ Rates'!E23</f>
        <v>7477.64338472215</v>
      </c>
      <c r="D11" s="82" t="n">
        <f aca="false">'X1, X2, X3 Calculation'!G14/'Yen-$ Rates'!F25</f>
        <v>8537.7180882509</v>
      </c>
      <c r="E11" s="82" t="n">
        <f aca="false">SUM(B11:D11)</f>
        <v>24983.097709344</v>
      </c>
      <c r="F11" s="83" t="n">
        <f aca="false">'X1, X2, X3 Calculation'!D14</f>
        <v>2995096</v>
      </c>
      <c r="G11" s="38" t="n">
        <f aca="false">F11/E11</f>
        <v>119.884893172386</v>
      </c>
    </row>
    <row r="12" customFormat="false" ht="12.75" hidden="false" customHeight="false" outlineLevel="0" collapsed="false">
      <c r="A12" s="20" t="s">
        <v>13</v>
      </c>
      <c r="B12" s="82" t="n">
        <f aca="false">'X1, X2, X3 Calculation'!E15/'Yen-$ Rates'!D26</f>
        <v>8654.64990355004</v>
      </c>
      <c r="C12" s="82" t="n">
        <f aca="false">'X1, X2, X3 Calculation'!F15/'Yen-$ Rates'!E28</f>
        <v>8010.53357368933</v>
      </c>
      <c r="D12" s="82" t="n">
        <f aca="false">'X1, X2, X3 Calculation'!G15/'Yen-$ Rates'!F29</f>
        <v>8247.93017456359</v>
      </c>
      <c r="E12" s="82" t="n">
        <f aca="false">SUM(B12:D12)</f>
        <v>24913.113651803</v>
      </c>
      <c r="F12" s="83" t="n">
        <f aca="false">'X1, X2, X3 Calculation'!D15</f>
        <v>2979455</v>
      </c>
      <c r="G12" s="38" t="n">
        <f aca="false">F12/E12</f>
        <v>119.593842891026</v>
      </c>
    </row>
    <row r="13" customFormat="false" ht="12.75" hidden="false" customHeight="false" outlineLevel="0" collapsed="false">
      <c r="A13" s="20" t="s">
        <v>14</v>
      </c>
      <c r="B13" s="82" t="n">
        <f aca="false">'X1, X2, X3 Calculation'!E16/'Yen-$ Rates'!D31</f>
        <v>5174.66995868185</v>
      </c>
      <c r="C13" s="82" t="n">
        <f aca="false">'X1, X2, X3 Calculation'!F16/'Yen-$ Rates'!E32</f>
        <v>9735.78639966625</v>
      </c>
      <c r="D13" s="82" t="n">
        <f aca="false">'X1, X2, X3 Calculation'!G16/'Yen-$ Rates'!F34</f>
        <v>7825.89125925704</v>
      </c>
      <c r="E13" s="82" t="n">
        <f aca="false">SUM(B13:D13)</f>
        <v>22736.3476176051</v>
      </c>
      <c r="F13" s="83" t="n">
        <f aca="false">'X1, X2, X3 Calculation'!D16</f>
        <v>2733126</v>
      </c>
      <c r="G13" s="38" t="n">
        <f aca="false">F13/E13</f>
        <v>120.209544908774</v>
      </c>
    </row>
    <row r="14" customFormat="false" ht="12.75" hidden="false" customHeight="false" outlineLevel="0" collapsed="false">
      <c r="A14" s="20" t="s">
        <v>15</v>
      </c>
      <c r="B14" s="82" t="n">
        <f aca="false">'X1, X2, X3 Calculation'!E17/'Yen-$ Rates'!D35</f>
        <v>8503.25044693645</v>
      </c>
      <c r="C14" s="82" t="n">
        <f aca="false">'X1, X2, X3 Calculation'!F17/'Yen-$ Rates'!E37</f>
        <v>6746.22393796969</v>
      </c>
      <c r="D14" s="82" t="n">
        <f aca="false">'X1, X2, X3 Calculation'!G17/'Yen-$ Rates'!F38</f>
        <v>8766.00972911738</v>
      </c>
      <c r="E14" s="82" t="n">
        <f aca="false">SUM(B14:D14)</f>
        <v>24015.4841140235</v>
      </c>
      <c r="F14" s="83" t="n">
        <f aca="false">'X1, X2, X3 Calculation'!D17</f>
        <v>2918379</v>
      </c>
      <c r="G14" s="38" t="n">
        <f aca="false">F14/E14</f>
        <v>121.520723302673</v>
      </c>
    </row>
    <row r="15" customFormat="false" ht="12.75" hidden="false" customHeight="false" outlineLevel="0" collapsed="false">
      <c r="A15" s="20" t="s">
        <v>16</v>
      </c>
      <c r="B15" s="82" t="n">
        <f aca="false">'X1, X2, X3 Calculation'!E18/'Yen-$ Rates'!D39</f>
        <v>8052.89819856182</v>
      </c>
      <c r="C15" s="82" t="n">
        <f aca="false">'X1, X2, X3 Calculation'!F18/'Yen-$ Rates'!E41</f>
        <v>7203.9227306024</v>
      </c>
      <c r="D15" s="82" t="n">
        <f aca="false">'X1, X2, X3 Calculation'!G18/'Yen-$ Rates'!F42</f>
        <v>9175.67545372423</v>
      </c>
      <c r="E15" s="82" t="n">
        <f aca="false">SUM(B15:D15)</f>
        <v>24432.4963828885</v>
      </c>
      <c r="F15" s="83" t="n">
        <f aca="false">'X1, X2, X3 Calculation'!D18</f>
        <v>2970223</v>
      </c>
      <c r="G15" s="38" t="n">
        <f aca="false">F15/E15</f>
        <v>121.568543527146</v>
      </c>
    </row>
    <row r="16" customFormat="false" ht="12.75" hidden="false" customHeight="false" outlineLevel="0" collapsed="false">
      <c r="A16" s="20" t="s">
        <v>17</v>
      </c>
      <c r="B16" s="82" t="n">
        <f aca="false">'X1, X2, X3 Calculation'!E19/'Yen-$ Rates'!D44</f>
        <v>8677.8150520145</v>
      </c>
      <c r="C16" s="82" t="n">
        <f aca="false">'X1, X2, X3 Calculation'!F19/'Yen-$ Rates'!E45</f>
        <v>9099.59543694546</v>
      </c>
      <c r="D16" s="82" t="n">
        <f aca="false">'X1, X2, X3 Calculation'!G19/'Yen-$ Rates'!F47</f>
        <v>8405.57511737089</v>
      </c>
      <c r="E16" s="82" t="n">
        <f aca="false">SUM(B16:D16)</f>
        <v>26182.9856063309</v>
      </c>
      <c r="F16" s="83" t="n">
        <f aca="false">'X1, X2, X3 Calculation'!D19</f>
        <v>3036064</v>
      </c>
      <c r="G16" s="38" t="n">
        <f aca="false">F16/E16</f>
        <v>115.955607418044</v>
      </c>
    </row>
    <row r="17" customFormat="false" ht="12.75" hidden="false" customHeight="false" outlineLevel="0" collapsed="false">
      <c r="A17" s="20" t="s">
        <v>18</v>
      </c>
      <c r="B17" s="82" t="n">
        <f aca="false">'X1, X2, X3 Calculation'!E20/'Yen-$ Rates'!D48</f>
        <v>9520.24125581313</v>
      </c>
      <c r="C17" s="82" t="n">
        <f aca="false">'X1, X2, X3 Calculation'!F20/'Yen-$ Rates'!E50</f>
        <v>7516.19317408003</v>
      </c>
      <c r="D17" s="84" t="n">
        <f aca="false">'X1, X2, X3 Calculation'!G20/'Yen-$ Rates'!F51</f>
        <v>9166.19041013548</v>
      </c>
      <c r="E17" s="82" t="n">
        <f aca="false">SUM(B17:D17)</f>
        <v>26202.6248400286</v>
      </c>
      <c r="F17" s="83" t="n">
        <f aca="false">'X1, X2, X3 Calculation'!D20</f>
        <v>2887621</v>
      </c>
      <c r="G17" s="38" t="n">
        <f aca="false">F17/E17</f>
        <v>110.203501276281</v>
      </c>
    </row>
    <row r="18" customFormat="false" ht="12.75" hidden="false" customHeight="false" outlineLevel="0" collapsed="false">
      <c r="A18" s="20" t="s">
        <v>19</v>
      </c>
      <c r="B18" s="84" t="n">
        <f aca="false">'X1, X2, X3 Calculation'!E21/'Yen-$ Rates'!D53</f>
        <v>8846.07551972847</v>
      </c>
      <c r="C18" s="84" t="n">
        <f aca="false">'X1, X2, X3 Calculation'!F21/'Yen-$ Rates'!E54</f>
        <v>9710.54660323788</v>
      </c>
      <c r="D18" s="84" t="n">
        <f aca="false">'X1, X2, X3 Calculation'!G21/'Yen-$ Rates'!F56</f>
        <v>9300.82910393654</v>
      </c>
      <c r="E18" s="82" t="n">
        <f aca="false">SUM(B18:D18)</f>
        <v>27857.4512269029</v>
      </c>
      <c r="F18" s="83" t="n">
        <f aca="false">'X1, X2, X3 Calculation'!D21</f>
        <v>2962388</v>
      </c>
      <c r="G18" s="38" t="n">
        <f aca="false">F18/E18</f>
        <v>106.340956172585</v>
      </c>
    </row>
    <row r="19" customFormat="false" ht="12.75" hidden="false" customHeight="false" outlineLevel="0" collapsed="false">
      <c r="A19" s="20" t="s">
        <v>20</v>
      </c>
      <c r="B19" s="84" t="n">
        <f aca="false">'X1, X2, X3 Calculation'!E22/'Yen-$ Rates'!D57</f>
        <v>11176.308801214</v>
      </c>
      <c r="C19" s="84" t="n">
        <f aca="false">'X1, X2, X3 Calculation'!F22/'Yen-$ Rates'!E58</f>
        <v>9859.29523573249</v>
      </c>
      <c r="D19" s="84" t="n">
        <f aca="false">'X1, X2, X3 Calculation'!G22/'Yen-$ Rates'!F60</f>
        <v>9612.5569476082</v>
      </c>
      <c r="E19" s="82" t="n">
        <f aca="false">SUM(B19:D19)</f>
        <v>30648.1609845546</v>
      </c>
      <c r="F19" s="83" t="n">
        <f aca="false">'X1, X2, X3 Calculation'!D22</f>
        <v>3224473</v>
      </c>
      <c r="G19" s="38" t="n">
        <f aca="false">F19/E19</f>
        <v>105.209346871579</v>
      </c>
    </row>
    <row r="20" customFormat="false" ht="13.5" hidden="false" customHeight="false" outlineLevel="0" collapsed="false">
      <c r="A20" s="27" t="s">
        <v>21</v>
      </c>
      <c r="B20" s="85" t="n">
        <f aca="false">'X1, X2, X3 Calculation'!E23/'Yen-$ Rates'!D61</f>
        <v>11352.7319754284</v>
      </c>
      <c r="C20" s="85" t="n">
        <f aca="false">'X1, X2, X3 Calculation'!F23/'Yen-$ Rates'!E63</f>
        <v>10319.6554774612</v>
      </c>
      <c r="D20" s="85" t="n">
        <f aca="false">'X1, X2, X3 Calculation'!G23/'Yen-$ Rates'!F64</f>
        <v>8718.26655475549</v>
      </c>
      <c r="E20" s="86" t="n">
        <f aca="false">SUM(B20:D20)</f>
        <v>30390.6540076451</v>
      </c>
      <c r="F20" s="87" t="n">
        <f aca="false">'X1, X2, X3 Calculation'!D23</f>
        <v>3152498</v>
      </c>
      <c r="G20" s="40" t="n">
        <f aca="false">F20/E20</f>
        <v>103.732482993191</v>
      </c>
    </row>
    <row r="21" customFormat="false" ht="12.75" hidden="false" customHeight="false" outlineLevel="0" collapsed="false">
      <c r="A21" s="29" t="s">
        <v>10</v>
      </c>
      <c r="B21" s="78" t="n">
        <f aca="false">'X1, X2, X3 Calculation'!E24/'Yen-$ Rates'!D66</f>
        <v>5879.02456126682</v>
      </c>
      <c r="C21" s="78" t="n">
        <f aca="false">'X1, X2, X3 Calculation'!F24/'Yen-$ Rates'!E67</f>
        <v>13181.9998060324</v>
      </c>
      <c r="D21" s="78" t="n">
        <f aca="false">'X1, X2, X3 Calculation'!G24/'Yen-$ Rates'!F69</f>
        <v>9758.24096135916</v>
      </c>
      <c r="E21" s="79" t="n">
        <f aca="false">SUM(B21:D21)</f>
        <v>28819.2653286584</v>
      </c>
      <c r="F21" s="80" t="n">
        <f aca="false">'X1, X2, X3 Calculation'!D24</f>
        <v>2990462</v>
      </c>
      <c r="G21" s="88" t="n">
        <f aca="false">F21/E21</f>
        <v>103.766073350462</v>
      </c>
    </row>
    <row r="22" customFormat="false" ht="12.75" hidden="false" customHeight="false" outlineLevel="0" collapsed="false">
      <c r="A22" s="20" t="s">
        <v>11</v>
      </c>
      <c r="B22" s="84" t="n">
        <f aca="false">'X1, X2, X3 Calculation'!E25/'Yen-$ Rates'!D70</f>
        <v>10859.2430789686</v>
      </c>
      <c r="C22" s="84" t="n">
        <f aca="false">'X1, X2, X3 Calculation'!F25/'Yen-$ Rates'!E72</f>
        <v>7428.11072793364</v>
      </c>
      <c r="D22" s="84" t="n">
        <f aca="false">'X1, X2, X3 Calculation'!G25/'Yen-$ Rates'!F73</f>
        <v>9331.83264981331</v>
      </c>
      <c r="E22" s="82" t="n">
        <f aca="false">SUM(B22:D22)</f>
        <v>27619.1864567156</v>
      </c>
      <c r="F22" s="83" t="n">
        <f aca="false">'X1, X2, X3 Calculation'!D25</f>
        <v>2956747</v>
      </c>
      <c r="G22" s="38" t="n">
        <f aca="false">F22/E22</f>
        <v>107.054094610418</v>
      </c>
    </row>
    <row r="23" customFormat="false" ht="12.75" hidden="false" customHeight="false" outlineLevel="0" collapsed="false">
      <c r="A23" s="20" t="s">
        <v>12</v>
      </c>
      <c r="B23" s="84" t="n">
        <f aca="false">'X1, X2, X3 Calculation'!E26/'Yen-$ Rates'!D74</f>
        <v>11648.4066272704</v>
      </c>
      <c r="C23" s="84" t="e">
        <f aca="false">'X1, X2, X3 Calculation'!F26/'Yen-$ Rates'!E76</f>
        <v>#VALUE!</v>
      </c>
      <c r="D23" s="84" t="e">
        <f aca="false">'X1, X2, X3 Calculation'!G26/'Yen-$ Rates'!F77</f>
        <v>#VALUE!</v>
      </c>
      <c r="E23" s="82" t="e">
        <f aca="false">SUM(B23:D23)</f>
        <v>#VALUE!</v>
      </c>
      <c r="F23" s="83" t="n">
        <f aca="false">'X1, X2, X3 Calculation'!D26</f>
        <v>3593331</v>
      </c>
      <c r="G23" s="38" t="e">
        <f aca="false">F23/E23</f>
        <v>#VALUE!</v>
      </c>
    </row>
    <row r="24" customFormat="false" ht="12.75" hidden="false" customHeight="false" outlineLevel="0" collapsed="false">
      <c r="A24" s="20" t="s">
        <v>13</v>
      </c>
      <c r="B24" s="84" t="n">
        <f aca="false">'X1, X2, X3 Calculation'!E27/'Yen-$ Rates'!D79</f>
        <v>10289.6463179203</v>
      </c>
      <c r="C24" s="84" t="n">
        <f aca="false">'X1, X2, X3 Calculation'!F27/'Yen-$ Rates'!E80</f>
        <v>11570.8601743085</v>
      </c>
      <c r="D24" s="84" t="n">
        <f aca="false">'X1, X2, X3 Calculation'!G27/'Yen-$ Rates'!F82</f>
        <v>8652.56223654613</v>
      </c>
      <c r="E24" s="82" t="n">
        <f aca="false">SUM(B24:D24)</f>
        <v>30513.0687287748</v>
      </c>
      <c r="F24" s="83" t="n">
        <f aca="false">'X1, X2, X3 Calculation'!D27</f>
        <v>3234880</v>
      </c>
      <c r="G24" s="38" t="n">
        <f aca="false">F24/E24</f>
        <v>106.01621320865</v>
      </c>
    </row>
    <row r="25" customFormat="false" ht="12.75" hidden="false" customHeight="false" outlineLevel="0" collapsed="false">
      <c r="A25" s="20" t="s">
        <v>14</v>
      </c>
      <c r="B25" s="84" t="n">
        <f aca="false">'X1, X2, X3 Calculation'!E28/'Yen-$ Rates'!D83</f>
        <v>9109.05412336861</v>
      </c>
      <c r="C25" s="84" t="n">
        <f aca="false">'X1, X2, X3 Calculation'!F28/'Yen-$ Rates'!E84</f>
        <v>10402.8121338367</v>
      </c>
      <c r="D25" s="84" t="n">
        <f aca="false">'X1, X2, X3 Calculation'!G28/'Yen-$ Rates'!F86</f>
        <v>10974.8100009177</v>
      </c>
      <c r="E25" s="82" t="n">
        <f aca="false">SUM(B25:D25)</f>
        <v>30486.676258123</v>
      </c>
      <c r="F25" s="83" t="n">
        <f aca="false">'X1, X2, X3 Calculation'!D28</f>
        <v>3273584</v>
      </c>
      <c r="G25" s="38" t="n">
        <f aca="false">F25/E25</f>
        <v>107.377530180181</v>
      </c>
    </row>
    <row r="26" customFormat="false" ht="12.75" hidden="false" customHeight="false" outlineLevel="0" collapsed="false">
      <c r="A26" s="20" t="s">
        <v>15</v>
      </c>
      <c r="B26" s="38"/>
      <c r="C26" s="38"/>
      <c r="D26" s="38"/>
      <c r="E26" s="82" t="n">
        <f aca="false">SUM(B26:D26)</f>
        <v>0</v>
      </c>
      <c r="F26" s="83" t="str">
        <f aca="false">'X1, X2, X3 Calculation'!D29</f>
        <v>unavailable</v>
      </c>
      <c r="G26" s="38" t="e">
        <f aca="false">F26/E26</f>
        <v>#VALUE!</v>
      </c>
    </row>
    <row r="27" customFormat="false" ht="12.75" hidden="false" customHeight="false" outlineLevel="0" collapsed="false">
      <c r="A27" s="20" t="s">
        <v>16</v>
      </c>
      <c r="B27" s="38"/>
      <c r="C27" s="38"/>
      <c r="D27" s="38"/>
      <c r="E27" s="82" t="n">
        <f aca="false">SUM(B27:D27)</f>
        <v>0</v>
      </c>
      <c r="F27" s="83" t="str">
        <f aca="false">'X1, X2, X3 Calculation'!D30</f>
        <v>unavailable</v>
      </c>
      <c r="G27" s="38" t="e">
        <f aca="false">F27/E27</f>
        <v>#VALUE!</v>
      </c>
    </row>
    <row r="28" customFormat="false" ht="12.75" hidden="false" customHeight="false" outlineLevel="0" collapsed="false">
      <c r="A28" s="20" t="s">
        <v>17</v>
      </c>
      <c r="B28" s="38"/>
      <c r="C28" s="38"/>
      <c r="D28" s="38"/>
      <c r="E28" s="82" t="n">
        <f aca="false">SUM(B28:D28)</f>
        <v>0</v>
      </c>
      <c r="F28" s="83" t="str">
        <f aca="false">'X1, X2, X3 Calculation'!D31</f>
        <v>unavailable</v>
      </c>
      <c r="G28" s="38" t="e">
        <f aca="false">F28/E28</f>
        <v>#VALUE!</v>
      </c>
    </row>
    <row r="29" customFormat="false" ht="12.75" hidden="false" customHeight="false" outlineLevel="0" collapsed="false">
      <c r="A29" s="20" t="s">
        <v>18</v>
      </c>
      <c r="B29" s="38"/>
      <c r="C29" s="38"/>
      <c r="D29" s="38"/>
      <c r="E29" s="82" t="n">
        <f aca="false">SUM(B29:D29)</f>
        <v>0</v>
      </c>
      <c r="F29" s="83" t="n">
        <f aca="false">'X1, X2, X3 Calculation'!D32</f>
        <v>0</v>
      </c>
      <c r="G29" s="38" t="e">
        <f aca="false">F29/E29</f>
        <v>#DIV/0!</v>
      </c>
    </row>
    <row r="30" customFormat="false" ht="12.75" hidden="false" customHeight="false" outlineLevel="0" collapsed="false">
      <c r="A30" s="20" t="s">
        <v>19</v>
      </c>
      <c r="B30" s="38"/>
      <c r="C30" s="38"/>
      <c r="D30" s="38"/>
      <c r="E30" s="82" t="n">
        <f aca="false">SUM(B30:D30)</f>
        <v>0</v>
      </c>
      <c r="F30" s="83" t="n">
        <f aca="false">'X1, X2, X3 Calculation'!D33</f>
        <v>0</v>
      </c>
      <c r="G30" s="38" t="e">
        <f aca="false">F30/E30</f>
        <v>#DIV/0!</v>
      </c>
    </row>
    <row r="31" customFormat="false" ht="12.75" hidden="false" customHeight="false" outlineLevel="0" collapsed="false">
      <c r="A31" s="20" t="s">
        <v>20</v>
      </c>
      <c r="B31" s="38"/>
      <c r="C31" s="38"/>
      <c r="D31" s="38"/>
      <c r="E31" s="82" t="n">
        <f aca="false">SUM(B31:D31)</f>
        <v>0</v>
      </c>
      <c r="F31" s="83" t="n">
        <f aca="false">'X1, X2, X3 Calculation'!D34</f>
        <v>0</v>
      </c>
      <c r="G31" s="38" t="e">
        <f aca="false">F31/E31</f>
        <v>#DIV/0!</v>
      </c>
    </row>
    <row r="32" customFormat="false" ht="13.5" hidden="false" customHeight="false" outlineLevel="0" collapsed="false">
      <c r="A32" s="27" t="s">
        <v>21</v>
      </c>
      <c r="B32" s="40"/>
      <c r="C32" s="40"/>
      <c r="D32" s="40"/>
      <c r="E32" s="86" t="n">
        <f aca="false">SUM(B32:D32)</f>
        <v>0</v>
      </c>
      <c r="F32" s="87" t="n">
        <f aca="false">'X1, X2, X3 Calculation'!D35</f>
        <v>0</v>
      </c>
      <c r="G32" s="40" t="e">
        <f aca="false">F32/E32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5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0.13"/>
    <col collapsed="false" customWidth="true" hidden="false" outlineLevel="0" max="4" min="3" style="0" width="11.28"/>
    <col collapsed="false" customWidth="true" hidden="false" outlineLevel="0" max="5" min="5" style="0" width="13.56"/>
    <col collapsed="false" customWidth="true" hidden="false" outlineLevel="0" max="7" min="7" style="0" width="10.28"/>
    <col collapsed="false" customWidth="true" hidden="false" outlineLevel="0" max="15" min="15" style="0" width="10.28"/>
    <col collapsed="false" customWidth="true" hidden="false" outlineLevel="0" max="20" min="20" style="0" width="11.28"/>
    <col collapsed="false" customWidth="true" hidden="false" outlineLevel="0" max="21" min="21" style="0" width="12.28"/>
  </cols>
  <sheetData>
    <row r="1" customFormat="false" ht="20.25" hidden="false" customHeight="false" outlineLevel="0" collapsed="false">
      <c r="A1" s="1" t="s">
        <v>221</v>
      </c>
    </row>
    <row r="3" customFormat="false" ht="12.75" hidden="false" customHeight="false" outlineLevel="0" collapsed="false">
      <c r="A3" s="0" t="s">
        <v>222</v>
      </c>
    </row>
    <row r="4" customFormat="false" ht="12.75" hidden="false" customHeight="false" outlineLevel="0" collapsed="false">
      <c r="A4" s="0" t="s">
        <v>223</v>
      </c>
    </row>
    <row r="5" customFormat="false" ht="12.75" hidden="false" customHeight="false" outlineLevel="0" collapsed="false">
      <c r="A5" s="0" t="s">
        <v>224</v>
      </c>
    </row>
    <row r="6" customFormat="false" ht="12.75" hidden="false" customHeight="false" outlineLevel="0" collapsed="false">
      <c r="A6" s="0" t="s">
        <v>225</v>
      </c>
    </row>
    <row r="7" customFormat="false" ht="12.75" hidden="false" customHeight="false" outlineLevel="0" collapsed="false">
      <c r="A7" s="63" t="s">
        <v>226</v>
      </c>
      <c r="F7" s="89"/>
    </row>
    <row r="8" customFormat="false" ht="12.75" hidden="false" customHeight="false" outlineLevel="0" collapsed="false">
      <c r="A8" s="63" t="s">
        <v>227</v>
      </c>
    </row>
    <row r="9" customFormat="false" ht="13.5" hidden="false" customHeight="false" outlineLevel="0" collapsed="false">
      <c r="A9" s="63" t="n">
        <v>1999</v>
      </c>
    </row>
    <row r="10" customFormat="false" ht="12.75" hidden="false" customHeight="false" outlineLevel="0" collapsed="false">
      <c r="A10" s="63" t="s">
        <v>228</v>
      </c>
      <c r="B10" s="2" t="s">
        <v>229</v>
      </c>
      <c r="C10" s="2"/>
      <c r="D10" s="2" t="s">
        <v>230</v>
      </c>
      <c r="E10" s="2"/>
      <c r="F10" s="2" t="s">
        <v>231</v>
      </c>
      <c r="G10" s="2"/>
      <c r="H10" s="2" t="s">
        <v>232</v>
      </c>
      <c r="I10" s="2"/>
      <c r="J10" s="2" t="n">
        <v>2710.166</v>
      </c>
      <c r="K10" s="2"/>
      <c r="L10" s="2" t="n">
        <v>2710.169</v>
      </c>
      <c r="M10" s="2"/>
      <c r="N10" s="2" t="s">
        <v>233</v>
      </c>
      <c r="O10" s="2"/>
      <c r="P10" s="2" t="s">
        <v>234</v>
      </c>
      <c r="Q10" s="2"/>
      <c r="R10" s="2" t="s">
        <v>235</v>
      </c>
      <c r="S10" s="2"/>
      <c r="T10" s="90"/>
      <c r="U10" s="91"/>
    </row>
    <row r="11" customFormat="false" ht="12.75" hidden="false" customHeight="false" outlineLevel="0" collapsed="false">
      <c r="A11" s="63" t="s">
        <v>236</v>
      </c>
      <c r="B11" s="92" t="s">
        <v>237</v>
      </c>
      <c r="C11" s="92"/>
      <c r="D11" s="92" t="s">
        <v>238</v>
      </c>
      <c r="E11" s="92"/>
      <c r="F11" s="92" t="s">
        <v>239</v>
      </c>
      <c r="G11" s="92"/>
      <c r="H11" s="92" t="s">
        <v>9</v>
      </c>
      <c r="I11" s="92"/>
      <c r="J11" s="92" t="s">
        <v>240</v>
      </c>
      <c r="K11" s="92"/>
      <c r="L11" s="92" t="s">
        <v>9</v>
      </c>
      <c r="M11" s="92"/>
      <c r="N11" s="92" t="s">
        <v>239</v>
      </c>
      <c r="O11" s="92"/>
      <c r="P11" s="92" t="s">
        <v>9</v>
      </c>
      <c r="Q11" s="92"/>
      <c r="R11" s="92" t="s">
        <v>9</v>
      </c>
      <c r="S11" s="92"/>
      <c r="T11" s="12" t="s">
        <v>241</v>
      </c>
      <c r="U11" s="12"/>
    </row>
    <row r="12" customFormat="false" ht="13.5" hidden="false" customHeight="false" outlineLevel="0" collapsed="false">
      <c r="A12" s="93" t="s">
        <v>242</v>
      </c>
      <c r="B12" s="94" t="s">
        <v>243</v>
      </c>
      <c r="C12" s="95" t="s">
        <v>244</v>
      </c>
      <c r="D12" s="94" t="s">
        <v>243</v>
      </c>
      <c r="E12" s="96" t="s">
        <v>244</v>
      </c>
      <c r="F12" s="94" t="s">
        <v>243</v>
      </c>
      <c r="G12" s="96" t="s">
        <v>244</v>
      </c>
      <c r="H12" s="94" t="s">
        <v>243</v>
      </c>
      <c r="I12" s="96" t="s">
        <v>244</v>
      </c>
      <c r="J12" s="94" t="s">
        <v>243</v>
      </c>
      <c r="K12" s="96" t="s">
        <v>244</v>
      </c>
      <c r="L12" s="94" t="s">
        <v>243</v>
      </c>
      <c r="M12" s="96" t="s">
        <v>244</v>
      </c>
      <c r="N12" s="94" t="s">
        <v>243</v>
      </c>
      <c r="O12" s="96" t="s">
        <v>244</v>
      </c>
      <c r="P12" s="94" t="s">
        <v>243</v>
      </c>
      <c r="Q12" s="96" t="s">
        <v>244</v>
      </c>
      <c r="R12" s="94" t="s">
        <v>243</v>
      </c>
      <c r="S12" s="96" t="s">
        <v>244</v>
      </c>
      <c r="T12" s="94" t="s">
        <v>243</v>
      </c>
      <c r="U12" s="42" t="s">
        <v>244</v>
      </c>
    </row>
    <row r="13" customFormat="false" ht="12.75" hidden="false" customHeight="false" outlineLevel="0" collapsed="false">
      <c r="A13" s="97" t="s">
        <v>10</v>
      </c>
      <c r="B13" s="98" t="n">
        <v>164068</v>
      </c>
      <c r="C13" s="99" t="n">
        <v>1704051</v>
      </c>
      <c r="D13" s="98" t="n">
        <v>20336227</v>
      </c>
      <c r="E13" s="99" t="n">
        <f aca="false">165134836+E26</f>
        <v>165234516</v>
      </c>
      <c r="F13" s="98" t="n">
        <v>264767</v>
      </c>
      <c r="G13" s="99" t="n">
        <v>2013039</v>
      </c>
      <c r="H13" s="98" t="n">
        <v>0</v>
      </c>
      <c r="I13" s="72" t="n">
        <v>0</v>
      </c>
      <c r="J13" s="98" t="n">
        <v>21363</v>
      </c>
      <c r="K13" s="99" t="n">
        <v>363092</v>
      </c>
      <c r="L13" s="98" t="n">
        <v>0</v>
      </c>
      <c r="M13" s="99" t="n">
        <v>0</v>
      </c>
      <c r="N13" s="98" t="n">
        <v>31305</v>
      </c>
      <c r="O13" s="99" t="n">
        <v>276375</v>
      </c>
      <c r="P13" s="98" t="n">
        <v>0</v>
      </c>
      <c r="Q13" s="99" t="n">
        <v>0</v>
      </c>
      <c r="R13" s="98" t="n">
        <v>0</v>
      </c>
      <c r="S13" s="99" t="n">
        <v>0</v>
      </c>
      <c r="T13" s="100" t="n">
        <f aca="false">B13+D13+F13+H13+J13+L13+N13+P13+R13</f>
        <v>20817730</v>
      </c>
      <c r="U13" s="101" t="n">
        <f aca="false">C13+E13+G13+I13+K13+L13+M13+O13+Q13+S13</f>
        <v>169591073</v>
      </c>
    </row>
    <row r="14" customFormat="false" ht="12.75" hidden="false" customHeight="false" outlineLevel="0" collapsed="false">
      <c r="A14" s="24" t="s">
        <v>11</v>
      </c>
      <c r="B14" s="98" t="n">
        <v>77631</v>
      </c>
      <c r="C14" s="102" t="n">
        <v>721284</v>
      </c>
      <c r="D14" s="98" t="n">
        <v>20699656</v>
      </c>
      <c r="E14" s="102" t="n">
        <f aca="false">170194907+E27</f>
        <v>170281672</v>
      </c>
      <c r="F14" s="98" t="n">
        <v>142506</v>
      </c>
      <c r="G14" s="102" t="n">
        <v>1117372</v>
      </c>
      <c r="H14" s="98" t="n">
        <v>0</v>
      </c>
      <c r="I14" s="72" t="n">
        <v>0</v>
      </c>
      <c r="J14" s="98" t="n">
        <v>17175</v>
      </c>
      <c r="K14" s="102" t="n">
        <v>302147</v>
      </c>
      <c r="L14" s="98" t="n">
        <v>0</v>
      </c>
      <c r="M14" s="102" t="n">
        <v>0</v>
      </c>
      <c r="N14" s="98" t="n">
        <v>18416</v>
      </c>
      <c r="O14" s="102" t="n">
        <v>165048</v>
      </c>
      <c r="P14" s="98" t="n">
        <v>0</v>
      </c>
      <c r="Q14" s="102" t="n">
        <v>0</v>
      </c>
      <c r="R14" s="98" t="n">
        <v>0</v>
      </c>
      <c r="S14" s="102" t="n">
        <v>0</v>
      </c>
      <c r="T14" s="100" t="n">
        <f aca="false">B14+D14+F14+H14+J14+L14+N14+P14+R14</f>
        <v>20955384</v>
      </c>
      <c r="U14" s="101" t="n">
        <f aca="false">C14+E14+G14+I14+K14+L14+M14+O14+Q14+S14</f>
        <v>172587523</v>
      </c>
    </row>
    <row r="15" customFormat="false" ht="12.75" hidden="false" customHeight="false" outlineLevel="0" collapsed="false">
      <c r="A15" s="24" t="s">
        <v>12</v>
      </c>
      <c r="B15" s="98" t="n">
        <v>78135</v>
      </c>
      <c r="C15" s="102" t="n">
        <f aca="false">720454+C27</f>
        <v>721793</v>
      </c>
      <c r="D15" s="98" t="n">
        <v>22902570</v>
      </c>
      <c r="E15" s="102" t="n">
        <f aca="false">193592072+E28</f>
        <v>194202336</v>
      </c>
      <c r="F15" s="98" t="n">
        <v>47980</v>
      </c>
      <c r="G15" s="102" t="n">
        <v>403260</v>
      </c>
      <c r="H15" s="98" t="n">
        <v>0</v>
      </c>
      <c r="I15" s="72" t="n">
        <v>0</v>
      </c>
      <c r="J15" s="98" t="n">
        <v>26161</v>
      </c>
      <c r="K15" s="102" t="n">
        <v>481325</v>
      </c>
      <c r="L15" s="98" t="n">
        <v>0</v>
      </c>
      <c r="M15" s="102" t="n">
        <v>0</v>
      </c>
      <c r="N15" s="98" t="n">
        <v>0</v>
      </c>
      <c r="O15" s="102" t="n">
        <v>0</v>
      </c>
      <c r="P15" s="98" t="n">
        <v>0</v>
      </c>
      <c r="Q15" s="102" t="n">
        <v>0</v>
      </c>
      <c r="R15" s="98" t="n">
        <v>0</v>
      </c>
      <c r="S15" s="102" t="n">
        <v>0</v>
      </c>
      <c r="T15" s="100" t="n">
        <f aca="false">B15+D15+F15+H15+J15+L15+N15+P15+R15</f>
        <v>23054846</v>
      </c>
      <c r="U15" s="101" t="n">
        <f aca="false">C15+E15+G15+I15+K15+L15+M15+O15+Q15+S15</f>
        <v>195808714</v>
      </c>
    </row>
    <row r="16" customFormat="false" ht="12.75" hidden="false" customHeight="false" outlineLevel="0" collapsed="false">
      <c r="A16" s="24" t="s">
        <v>13</v>
      </c>
      <c r="B16" s="98" t="n">
        <v>104566</v>
      </c>
      <c r="C16" s="102" t="n">
        <v>1119463</v>
      </c>
      <c r="D16" s="98" t="n">
        <v>23261186</v>
      </c>
      <c r="E16" s="102" t="n">
        <f aca="false">226679800+E29</f>
        <v>227416508</v>
      </c>
      <c r="F16" s="98" t="n">
        <v>366150</v>
      </c>
      <c r="G16" s="102" t="n">
        <v>3045118</v>
      </c>
      <c r="H16" s="98" t="n">
        <v>0</v>
      </c>
      <c r="I16" s="72" t="n">
        <v>0</v>
      </c>
      <c r="J16" s="98" t="n">
        <v>10684</v>
      </c>
      <c r="K16" s="102" t="n">
        <v>209648</v>
      </c>
      <c r="L16" s="98" t="n">
        <v>0</v>
      </c>
      <c r="M16" s="102" t="n">
        <v>0</v>
      </c>
      <c r="N16" s="98" t="n">
        <v>0</v>
      </c>
      <c r="O16" s="102" t="n">
        <v>0</v>
      </c>
      <c r="P16" s="98" t="n">
        <v>0</v>
      </c>
      <c r="Q16" s="102" t="n">
        <v>0</v>
      </c>
      <c r="R16" s="98" t="n">
        <v>0</v>
      </c>
      <c r="S16" s="102" t="n">
        <v>0</v>
      </c>
      <c r="T16" s="100" t="n">
        <f aca="false">B16+D16+F16+H16+J16+L16+N16+P16+R16</f>
        <v>23742586</v>
      </c>
      <c r="U16" s="101" t="n">
        <f aca="false">C16+E16+G16+I16+K16+L16+M16+O16+Q16+S16</f>
        <v>231790737</v>
      </c>
    </row>
    <row r="17" customFormat="false" ht="12.75" hidden="false" customHeight="false" outlineLevel="0" collapsed="false">
      <c r="A17" s="24" t="s">
        <v>14</v>
      </c>
      <c r="B17" s="98" t="n">
        <v>129038</v>
      </c>
      <c r="C17" s="102" t="n">
        <f aca="false">1513809+C30</f>
        <v>1631591</v>
      </c>
      <c r="D17" s="98" t="n">
        <v>17052529</v>
      </c>
      <c r="E17" s="102" t="n">
        <f aca="false">200243202+E30</f>
        <v>200290008</v>
      </c>
      <c r="F17" s="98" t="n">
        <v>63445</v>
      </c>
      <c r="G17" s="102" t="n">
        <v>597494</v>
      </c>
      <c r="H17" s="98" t="n">
        <v>0</v>
      </c>
      <c r="I17" s="72" t="n">
        <v>0</v>
      </c>
      <c r="J17" s="98" t="n">
        <v>5613</v>
      </c>
      <c r="K17" s="102" t="n">
        <v>109981</v>
      </c>
      <c r="L17" s="98" t="n">
        <v>0</v>
      </c>
      <c r="M17" s="102" t="n">
        <v>0</v>
      </c>
      <c r="N17" s="98" t="n">
        <v>64020</v>
      </c>
      <c r="O17" s="102" t="n">
        <v>717395</v>
      </c>
      <c r="P17" s="98" t="n">
        <v>0</v>
      </c>
      <c r="Q17" s="102" t="n">
        <v>0</v>
      </c>
      <c r="R17" s="98" t="n">
        <v>0</v>
      </c>
      <c r="S17" s="102" t="n">
        <v>0</v>
      </c>
      <c r="T17" s="100" t="n">
        <f aca="false">B17+D17+F17+H17+J17+L17+N17+P17+R17</f>
        <v>17314645</v>
      </c>
      <c r="U17" s="101" t="n">
        <f aca="false">C17+E17+G17+I17+K17+L17+M17+O17+Q17+S17</f>
        <v>203346469</v>
      </c>
    </row>
    <row r="18" customFormat="false" ht="12.75" hidden="false" customHeight="false" outlineLevel="0" collapsed="false">
      <c r="A18" s="24" t="s">
        <v>15</v>
      </c>
      <c r="B18" s="98" t="n">
        <v>129443</v>
      </c>
      <c r="C18" s="102" t="n">
        <v>1738300</v>
      </c>
      <c r="D18" s="98" t="n">
        <v>18797897</v>
      </c>
      <c r="E18" s="102" t="n">
        <f aca="false">234592595+E31</f>
        <v>234634263</v>
      </c>
      <c r="F18" s="98" t="n">
        <v>0</v>
      </c>
      <c r="G18" s="102" t="n">
        <v>0</v>
      </c>
      <c r="H18" s="98" t="n">
        <v>0</v>
      </c>
      <c r="I18" s="72" t="n">
        <v>0</v>
      </c>
      <c r="J18" s="98" t="n">
        <v>15265</v>
      </c>
      <c r="K18" s="102" t="n">
        <v>297515</v>
      </c>
      <c r="L18" s="98" t="n">
        <v>0</v>
      </c>
      <c r="M18" s="102" t="n">
        <v>0</v>
      </c>
      <c r="N18" s="98" t="n">
        <v>114076</v>
      </c>
      <c r="O18" s="102" t="n">
        <v>1330404</v>
      </c>
      <c r="P18" s="98" t="n">
        <v>0</v>
      </c>
      <c r="Q18" s="102" t="n">
        <v>0</v>
      </c>
      <c r="R18" s="98" t="n">
        <v>0</v>
      </c>
      <c r="S18" s="102" t="n">
        <v>0</v>
      </c>
      <c r="T18" s="100" t="n">
        <f aca="false">B18+D18+F18+H18+J18+L18+N18+P18+R18</f>
        <v>19056681</v>
      </c>
      <c r="U18" s="101" t="n">
        <f aca="false">C18+E18+G18+I18+K18+L18+M18+O18+Q18+S18</f>
        <v>238000482</v>
      </c>
    </row>
    <row r="19" customFormat="false" ht="12.75" hidden="false" customHeight="false" outlineLevel="0" collapsed="false">
      <c r="A19" s="24" t="s">
        <v>16</v>
      </c>
      <c r="B19" s="98" t="n">
        <v>40120</v>
      </c>
      <c r="C19" s="102" t="n">
        <v>544191</v>
      </c>
      <c r="D19" s="98" t="n">
        <v>18013617</v>
      </c>
      <c r="E19" s="102" t="n">
        <f aca="false">229493277+E32</f>
        <v>229625110</v>
      </c>
      <c r="F19" s="98" t="n">
        <v>0</v>
      </c>
      <c r="G19" s="102" t="n">
        <v>0</v>
      </c>
      <c r="H19" s="98" t="n">
        <v>0</v>
      </c>
      <c r="I19" s="72" t="n">
        <v>0</v>
      </c>
      <c r="J19" s="98" t="n">
        <v>12402</v>
      </c>
      <c r="K19" s="102" t="n">
        <v>247461</v>
      </c>
      <c r="L19" s="98" t="n">
        <v>0</v>
      </c>
      <c r="M19" s="102" t="n">
        <v>0</v>
      </c>
      <c r="N19" s="98" t="n">
        <v>42227</v>
      </c>
      <c r="O19" s="102" t="n">
        <v>526502</v>
      </c>
      <c r="P19" s="98" t="n">
        <v>0</v>
      </c>
      <c r="Q19" s="102" t="n">
        <v>0</v>
      </c>
      <c r="R19" s="98" t="n">
        <v>0</v>
      </c>
      <c r="S19" s="102" t="n">
        <v>0</v>
      </c>
      <c r="T19" s="100" t="n">
        <f aca="false">B19+D19+F19+H19+J19+L19+N19+P19+R19</f>
        <v>18108366</v>
      </c>
      <c r="U19" s="101" t="n">
        <f aca="false">C19+E19+G19+I19+K19+L19+M19+O19+Q19+S19</f>
        <v>230943264</v>
      </c>
    </row>
    <row r="20" customFormat="false" ht="12.75" hidden="false" customHeight="false" outlineLevel="0" collapsed="false">
      <c r="A20" s="24" t="s">
        <v>17</v>
      </c>
      <c r="B20" s="98" t="n">
        <v>211094</v>
      </c>
      <c r="C20" s="102" t="n">
        <v>2909235</v>
      </c>
      <c r="D20" s="98" t="n">
        <f aca="false">22255748+D33</f>
        <v>22275525</v>
      </c>
      <c r="E20" s="102" t="n">
        <f aca="false">300342757+E33</f>
        <v>301043890</v>
      </c>
      <c r="F20" s="98" t="n">
        <v>0</v>
      </c>
      <c r="G20" s="102" t="n">
        <v>0</v>
      </c>
      <c r="H20" s="98" t="n">
        <v>0</v>
      </c>
      <c r="I20" s="72" t="n">
        <v>0</v>
      </c>
      <c r="J20" s="98" t="n">
        <v>11209</v>
      </c>
      <c r="K20" s="102" t="n">
        <v>224194</v>
      </c>
      <c r="L20" s="98" t="n">
        <v>0</v>
      </c>
      <c r="M20" s="102" t="n">
        <v>0</v>
      </c>
      <c r="N20" s="98" t="n">
        <v>86464</v>
      </c>
      <c r="O20" s="102" t="n">
        <v>1125219</v>
      </c>
      <c r="P20" s="98" t="n">
        <v>0</v>
      </c>
      <c r="Q20" s="102" t="n">
        <v>0</v>
      </c>
      <c r="R20" s="98" t="n">
        <v>0</v>
      </c>
      <c r="S20" s="102" t="n">
        <v>0</v>
      </c>
      <c r="T20" s="100" t="n">
        <f aca="false">B20+D20+F20+H20+J20+L20+N20+P20+R20</f>
        <v>22584292</v>
      </c>
      <c r="U20" s="101" t="n">
        <f aca="false">C20+E20+G20+I20+K20+L20+M20+O20+Q20+S20</f>
        <v>305302538</v>
      </c>
    </row>
    <row r="21" customFormat="false" ht="12.75" hidden="false" customHeight="false" outlineLevel="0" collapsed="false">
      <c r="A21" s="24" t="s">
        <v>18</v>
      </c>
      <c r="B21" s="98" t="n">
        <v>141119</v>
      </c>
      <c r="C21" s="102" t="n">
        <v>2179227</v>
      </c>
      <c r="D21" s="98" t="n">
        <v>19119976</v>
      </c>
      <c r="E21" s="102" t="n">
        <f aca="false">267787089+E34</f>
        <v>268121079</v>
      </c>
      <c r="F21" s="98" t="n">
        <v>139950</v>
      </c>
      <c r="G21" s="102" t="n">
        <v>1842272</v>
      </c>
      <c r="H21" s="98" t="n">
        <v>0</v>
      </c>
      <c r="I21" s="72" t="n">
        <v>0</v>
      </c>
      <c r="J21" s="98" t="n">
        <v>1074</v>
      </c>
      <c r="K21" s="102" t="n">
        <v>23642</v>
      </c>
      <c r="L21" s="98" t="n">
        <v>0</v>
      </c>
      <c r="M21" s="102" t="n">
        <v>0</v>
      </c>
      <c r="N21" s="98" t="n">
        <v>12734</v>
      </c>
      <c r="O21" s="102" t="n">
        <v>184158</v>
      </c>
      <c r="P21" s="98" t="n">
        <v>0</v>
      </c>
      <c r="Q21" s="102" t="n">
        <v>0</v>
      </c>
      <c r="R21" s="98" t="n">
        <v>0</v>
      </c>
      <c r="S21" s="102" t="n">
        <v>0</v>
      </c>
      <c r="T21" s="100" t="n">
        <f aca="false">B21+D21+F21+H21+J21+L21+N21+P21+R21</f>
        <v>19414853</v>
      </c>
      <c r="U21" s="101" t="n">
        <f aca="false">C21+E21+G21+I21+K21+L21+M21+O21+Q21+S21</f>
        <v>272350378</v>
      </c>
    </row>
    <row r="22" customFormat="false" ht="12.75" hidden="false" customHeight="false" outlineLevel="0" collapsed="false">
      <c r="A22" s="24" t="s">
        <v>19</v>
      </c>
      <c r="B22" s="98" t="n">
        <v>93406</v>
      </c>
      <c r="C22" s="102" t="n">
        <v>1611209</v>
      </c>
      <c r="D22" s="98" t="n">
        <v>19325849</v>
      </c>
      <c r="E22" s="102" t="n">
        <f aca="false">291237020+E35</f>
        <v>291658781</v>
      </c>
      <c r="F22" s="98" t="n">
        <v>71175</v>
      </c>
      <c r="G22" s="102" t="n">
        <v>961554</v>
      </c>
      <c r="H22" s="98" t="n">
        <v>0</v>
      </c>
      <c r="I22" s="72" t="n">
        <v>0</v>
      </c>
      <c r="J22" s="98" t="n">
        <v>2153</v>
      </c>
      <c r="K22" s="102" t="n">
        <v>50795</v>
      </c>
      <c r="L22" s="98" t="n">
        <v>0</v>
      </c>
      <c r="M22" s="102" t="n">
        <v>0</v>
      </c>
      <c r="N22" s="98" t="n">
        <v>43105</v>
      </c>
      <c r="O22" s="102" t="n">
        <v>626006</v>
      </c>
      <c r="P22" s="98" t="n">
        <v>0</v>
      </c>
      <c r="Q22" s="102" t="n">
        <v>0</v>
      </c>
      <c r="R22" s="98" t="n">
        <v>0</v>
      </c>
      <c r="S22" s="102" t="n">
        <v>0</v>
      </c>
      <c r="T22" s="100" t="n">
        <f aca="false">B22+D22+F22+H22+J22+L22+N22+P22+R22</f>
        <v>19535688</v>
      </c>
      <c r="U22" s="101" t="n">
        <f aca="false">C22+E22+G22+I22+K22+L22+M22+O22+Q22+S22</f>
        <v>294908345</v>
      </c>
    </row>
    <row r="23" customFormat="false" ht="12.75" hidden="false" customHeight="false" outlineLevel="0" collapsed="false">
      <c r="A23" s="24" t="s">
        <v>20</v>
      </c>
      <c r="B23" s="98" t="n">
        <v>112346</v>
      </c>
      <c r="C23" s="102" t="n">
        <v>1792213</v>
      </c>
      <c r="D23" s="98" t="n">
        <v>21874491</v>
      </c>
      <c r="E23" s="102" t="n">
        <f aca="false">334681643+E36</f>
        <v>334684115</v>
      </c>
      <c r="F23" s="98" t="n">
        <v>85388</v>
      </c>
      <c r="G23" s="102" t="n">
        <v>1300294</v>
      </c>
      <c r="H23" s="98" t="n">
        <v>0</v>
      </c>
      <c r="I23" s="72" t="n">
        <v>0</v>
      </c>
      <c r="J23" s="98" t="n">
        <f aca="false">2155+J36</f>
        <v>1075</v>
      </c>
      <c r="K23" s="102" t="n">
        <f aca="false">50076+K36</f>
        <v>25342</v>
      </c>
      <c r="L23" s="98" t="n">
        <f aca="false">L36</f>
        <v>1080</v>
      </c>
      <c r="M23" s="102" t="n">
        <f aca="false">M36</f>
        <v>24734</v>
      </c>
      <c r="N23" s="98" t="n">
        <v>117064</v>
      </c>
      <c r="O23" s="102" t="n">
        <v>1736646</v>
      </c>
      <c r="P23" s="98" t="n">
        <v>0</v>
      </c>
      <c r="Q23" s="102" t="n">
        <v>0</v>
      </c>
      <c r="R23" s="98" t="n">
        <v>0</v>
      </c>
      <c r="S23" s="102" t="n">
        <v>0</v>
      </c>
      <c r="T23" s="100" t="n">
        <f aca="false">B23+D23+F23+H23+J23+L23+N23+P23+R23</f>
        <v>22191444</v>
      </c>
      <c r="U23" s="101" t="n">
        <f aca="false">C23+E23+G23+I23+K23+L23+M23+O23+Q23+S23</f>
        <v>339564424</v>
      </c>
    </row>
    <row r="24" customFormat="false" ht="13.5" hidden="false" customHeight="false" outlineLevel="0" collapsed="false">
      <c r="A24" s="28" t="s">
        <v>21</v>
      </c>
      <c r="B24" s="103" t="n">
        <v>76836</v>
      </c>
      <c r="C24" s="104" t="n">
        <v>1310280</v>
      </c>
      <c r="D24" s="103" t="n">
        <v>23834410</v>
      </c>
      <c r="E24" s="104" t="n">
        <f aca="false">383591280+E37</f>
        <v>383591280</v>
      </c>
      <c r="F24" s="103" t="n">
        <v>0</v>
      </c>
      <c r="G24" s="104" t="n">
        <v>0</v>
      </c>
      <c r="H24" s="103" t="n">
        <v>0</v>
      </c>
      <c r="I24" s="76" t="n">
        <v>0</v>
      </c>
      <c r="J24" s="103" t="n">
        <v>1080</v>
      </c>
      <c r="K24" s="104" t="n">
        <v>25951</v>
      </c>
      <c r="L24" s="103" t="n">
        <v>0</v>
      </c>
      <c r="M24" s="104" t="n">
        <v>0</v>
      </c>
      <c r="N24" s="103" t="n">
        <v>67275</v>
      </c>
      <c r="O24" s="104" t="n">
        <v>1020951</v>
      </c>
      <c r="P24" s="103" t="n">
        <v>0</v>
      </c>
      <c r="Q24" s="104" t="n">
        <v>0</v>
      </c>
      <c r="R24" s="103" t="n">
        <v>0</v>
      </c>
      <c r="S24" s="104" t="n">
        <v>0</v>
      </c>
      <c r="T24" s="105" t="n">
        <f aca="false">B24+D24+F24+H24+J24+L24+N24+P24+R24</f>
        <v>23979601</v>
      </c>
      <c r="U24" s="106" t="n">
        <f aca="false">C24+E24+G24+I24+K24+L24+M24+O24+Q24+S24</f>
        <v>385948462</v>
      </c>
    </row>
    <row r="25" customFormat="false" ht="12.75" hidden="false" customHeight="false" outlineLevel="0" collapsed="false">
      <c r="A25" s="107" t="s">
        <v>245</v>
      </c>
      <c r="B25" s="63" t="s">
        <v>246</v>
      </c>
      <c r="E25" s="108"/>
      <c r="T25" s="108"/>
      <c r="U25" s="108"/>
    </row>
    <row r="26" customFormat="false" ht="12.75" hidden="false" customHeight="false" outlineLevel="0" collapsed="false">
      <c r="A26" s="0" t="s">
        <v>10</v>
      </c>
      <c r="E26" s="0" t="n">
        <f aca="false">23974+9641+66065</f>
        <v>99680</v>
      </c>
    </row>
    <row r="27" customFormat="false" ht="12.75" hidden="false" customHeight="false" outlineLevel="0" collapsed="false">
      <c r="A27" s="0" t="s">
        <v>11</v>
      </c>
      <c r="C27" s="0" t="n">
        <v>1339</v>
      </c>
      <c r="E27" s="0" t="n">
        <f aca="false">92310-25132+19587</f>
        <v>86765</v>
      </c>
    </row>
    <row r="28" customFormat="false" ht="12.75" hidden="false" customHeight="false" outlineLevel="0" collapsed="false">
      <c r="A28" s="0" t="s">
        <v>12</v>
      </c>
      <c r="E28" s="0" t="n">
        <f aca="false">32817+67463+45723+464261</f>
        <v>610264</v>
      </c>
    </row>
    <row r="29" customFormat="false" ht="12.75" hidden="false" customHeight="false" outlineLevel="0" collapsed="false">
      <c r="A29" s="0" t="s">
        <v>13</v>
      </c>
      <c r="E29" s="0" t="n">
        <f aca="false">328222+203455+205031</f>
        <v>736708</v>
      </c>
    </row>
    <row r="30" customFormat="false" ht="12.75" hidden="false" customHeight="false" outlineLevel="0" collapsed="false">
      <c r="A30" s="0" t="s">
        <v>14</v>
      </c>
      <c r="C30" s="0" t="n">
        <v>117782</v>
      </c>
      <c r="E30" s="0" t="n">
        <f aca="false">34572-22995+35229</f>
        <v>46806</v>
      </c>
    </row>
    <row r="31" customFormat="false" ht="12.75" hidden="false" customHeight="false" outlineLevel="0" collapsed="false">
      <c r="A31" s="0" t="s">
        <v>15</v>
      </c>
      <c r="E31" s="0" t="n">
        <f aca="false">40305+1363</f>
        <v>41668</v>
      </c>
    </row>
    <row r="32" customFormat="false" ht="12.75" hidden="false" customHeight="false" outlineLevel="0" collapsed="false">
      <c r="A32" s="0" t="s">
        <v>16</v>
      </c>
      <c r="E32" s="0" t="n">
        <f aca="false">73749+58084</f>
        <v>131833</v>
      </c>
    </row>
    <row r="33" customFormat="false" ht="12.75" hidden="false" customHeight="false" outlineLevel="0" collapsed="false">
      <c r="A33" s="0" t="s">
        <v>17</v>
      </c>
      <c r="D33" s="0" t="n">
        <f aca="false">19777</f>
        <v>19777</v>
      </c>
      <c r="E33" s="0" t="n">
        <f aca="false">405543+1780+49686+94190+149934</f>
        <v>701133</v>
      </c>
    </row>
    <row r="34" customFormat="false" ht="12.75" hidden="false" customHeight="false" outlineLevel="0" collapsed="false">
      <c r="A34" s="0" t="s">
        <v>18</v>
      </c>
      <c r="E34" s="0" t="n">
        <f aca="false">123735+77117+17428+115710</f>
        <v>333990</v>
      </c>
    </row>
    <row r="35" customFormat="false" ht="12.75" hidden="false" customHeight="false" outlineLevel="0" collapsed="false">
      <c r="A35" s="0" t="s">
        <v>19</v>
      </c>
      <c r="E35" s="0" t="n">
        <f aca="false">10528+49201+160171+191380+10481</f>
        <v>421761</v>
      </c>
    </row>
    <row r="36" customFormat="false" ht="12.75" hidden="false" customHeight="false" outlineLevel="0" collapsed="false">
      <c r="A36" s="0" t="s">
        <v>20</v>
      </c>
      <c r="E36" s="0" t="n">
        <v>2472</v>
      </c>
      <c r="J36" s="0" t="n">
        <v>-1080</v>
      </c>
      <c r="K36" s="0" t="n">
        <v>-24734</v>
      </c>
      <c r="L36" s="0" t="n">
        <v>1080</v>
      </c>
      <c r="M36" s="0" t="n">
        <v>24734</v>
      </c>
    </row>
    <row r="37" customFormat="false" ht="12.75" hidden="false" customHeight="false" outlineLevel="0" collapsed="false">
      <c r="A37" s="0" t="s">
        <v>21</v>
      </c>
    </row>
    <row r="39" customFormat="false" ht="13.5" hidden="false" customHeight="false" outlineLevel="0" collapsed="false">
      <c r="A39" s="63" t="n">
        <v>2000</v>
      </c>
    </row>
    <row r="40" customFormat="false" ht="12.75" hidden="false" customHeight="false" outlineLevel="0" collapsed="false">
      <c r="A40" s="63" t="s">
        <v>228</v>
      </c>
      <c r="B40" s="2" t="s">
        <v>229</v>
      </c>
      <c r="C40" s="2"/>
      <c r="D40" s="2" t="s">
        <v>230</v>
      </c>
      <c r="E40" s="2"/>
      <c r="F40" s="2" t="s">
        <v>231</v>
      </c>
      <c r="G40" s="2"/>
      <c r="H40" s="2" t="s">
        <v>232</v>
      </c>
      <c r="I40" s="2"/>
      <c r="J40" s="2" t="n">
        <v>2710.166</v>
      </c>
      <c r="K40" s="2"/>
      <c r="L40" s="2" t="n">
        <v>2710.169</v>
      </c>
      <c r="M40" s="2"/>
      <c r="N40" s="2" t="s">
        <v>233</v>
      </c>
      <c r="O40" s="2"/>
      <c r="P40" s="2" t="s">
        <v>234</v>
      </c>
      <c r="Q40" s="2"/>
      <c r="R40" s="2" t="s">
        <v>235</v>
      </c>
      <c r="S40" s="2"/>
      <c r="T40" s="90"/>
      <c r="U40" s="91"/>
    </row>
    <row r="41" customFormat="false" ht="12.75" hidden="false" customHeight="false" outlineLevel="0" collapsed="false">
      <c r="A41" s="63" t="s">
        <v>236</v>
      </c>
      <c r="B41" s="92" t="s">
        <v>237</v>
      </c>
      <c r="C41" s="92"/>
      <c r="D41" s="92" t="s">
        <v>238</v>
      </c>
      <c r="E41" s="92"/>
      <c r="F41" s="92" t="s">
        <v>239</v>
      </c>
      <c r="G41" s="92"/>
      <c r="H41" s="92" t="s">
        <v>9</v>
      </c>
      <c r="I41" s="92"/>
      <c r="J41" s="92" t="s">
        <v>240</v>
      </c>
      <c r="K41" s="92"/>
      <c r="L41" s="92" t="s">
        <v>9</v>
      </c>
      <c r="M41" s="92"/>
      <c r="N41" s="92" t="s">
        <v>239</v>
      </c>
      <c r="O41" s="92"/>
      <c r="P41" s="92" t="s">
        <v>9</v>
      </c>
      <c r="Q41" s="92"/>
      <c r="R41" s="92" t="s">
        <v>9</v>
      </c>
      <c r="S41" s="92"/>
      <c r="T41" s="12" t="s">
        <v>241</v>
      </c>
      <c r="U41" s="12"/>
    </row>
    <row r="42" customFormat="false" ht="13.5" hidden="false" customHeight="false" outlineLevel="0" collapsed="false">
      <c r="A42" s="93" t="s">
        <v>242</v>
      </c>
      <c r="B42" s="94" t="s">
        <v>243</v>
      </c>
      <c r="C42" s="95" t="s">
        <v>244</v>
      </c>
      <c r="D42" s="94" t="s">
        <v>243</v>
      </c>
      <c r="E42" s="96" t="s">
        <v>244</v>
      </c>
      <c r="F42" s="94" t="s">
        <v>243</v>
      </c>
      <c r="G42" s="96" t="s">
        <v>244</v>
      </c>
      <c r="H42" s="94" t="s">
        <v>243</v>
      </c>
      <c r="I42" s="96" t="s">
        <v>244</v>
      </c>
      <c r="J42" s="94" t="s">
        <v>243</v>
      </c>
      <c r="K42" s="96" t="s">
        <v>244</v>
      </c>
      <c r="L42" s="94" t="s">
        <v>243</v>
      </c>
      <c r="M42" s="96" t="s">
        <v>244</v>
      </c>
      <c r="N42" s="94" t="s">
        <v>243</v>
      </c>
      <c r="O42" s="96" t="s">
        <v>244</v>
      </c>
      <c r="P42" s="94" t="s">
        <v>243</v>
      </c>
      <c r="Q42" s="96" t="s">
        <v>244</v>
      </c>
      <c r="R42" s="94" t="s">
        <v>243</v>
      </c>
      <c r="S42" s="96" t="s">
        <v>244</v>
      </c>
      <c r="T42" s="94" t="s">
        <v>243</v>
      </c>
      <c r="U42" s="42" t="s">
        <v>244</v>
      </c>
    </row>
    <row r="43" customFormat="false" ht="12.75" hidden="false" customHeight="false" outlineLevel="0" collapsed="false">
      <c r="A43" s="97" t="s">
        <v>10</v>
      </c>
      <c r="B43" s="98" t="n">
        <v>68428</v>
      </c>
      <c r="C43" s="99" t="n">
        <v>1121601</v>
      </c>
      <c r="D43" s="98" t="n">
        <v>20261486</v>
      </c>
      <c r="E43" s="99" t="n">
        <v>339685107</v>
      </c>
      <c r="F43" s="98" t="n">
        <v>30782</v>
      </c>
      <c r="G43" s="99" t="n">
        <v>508678</v>
      </c>
      <c r="H43" s="98" t="n">
        <v>0</v>
      </c>
      <c r="I43" s="72" t="n">
        <v>0</v>
      </c>
      <c r="J43" s="98" t="n">
        <v>2153</v>
      </c>
      <c r="K43" s="99" t="n">
        <v>52344</v>
      </c>
      <c r="L43" s="98" t="n">
        <v>0</v>
      </c>
      <c r="M43" s="99" t="n">
        <v>0</v>
      </c>
      <c r="N43" s="98" t="n">
        <v>17101</v>
      </c>
      <c r="O43" s="99" t="n">
        <v>272699</v>
      </c>
      <c r="P43" s="98" t="n">
        <v>0</v>
      </c>
      <c r="Q43" s="99" t="n">
        <v>0</v>
      </c>
      <c r="R43" s="98" t="n">
        <v>0</v>
      </c>
      <c r="S43" s="99" t="n">
        <v>0</v>
      </c>
      <c r="T43" s="109" t="n">
        <f aca="false">B43+D43+F43+H43+J43+L43+N43+P43+R43</f>
        <v>20379950</v>
      </c>
      <c r="U43" s="110" t="n">
        <f aca="false">C43+E43+G43+I43+K43+M43+O43+S43</f>
        <v>341640429</v>
      </c>
    </row>
    <row r="44" customFormat="false" ht="12.75" hidden="false" customHeight="false" outlineLevel="0" collapsed="false">
      <c r="A44" s="24" t="s">
        <v>11</v>
      </c>
      <c r="B44" s="98" t="n">
        <v>170806</v>
      </c>
      <c r="C44" s="102" t="n">
        <v>3038473</v>
      </c>
      <c r="D44" s="98" t="n">
        <v>20177624</v>
      </c>
      <c r="E44" s="102" t="n">
        <v>352066940</v>
      </c>
      <c r="F44" s="98" t="n">
        <v>0</v>
      </c>
      <c r="G44" s="102" t="n">
        <v>0</v>
      </c>
      <c r="H44" s="98" t="n">
        <v>0</v>
      </c>
      <c r="I44" s="72" t="n">
        <v>0</v>
      </c>
      <c r="J44" s="98" t="n">
        <v>1077</v>
      </c>
      <c r="K44" s="102" t="n">
        <v>29985</v>
      </c>
      <c r="L44" s="98" t="n">
        <v>0</v>
      </c>
      <c r="M44" s="102" t="n">
        <v>0</v>
      </c>
      <c r="N44" s="98" t="n">
        <v>95517</v>
      </c>
      <c r="O44" s="102" t="n">
        <v>1461926</v>
      </c>
      <c r="P44" s="98" t="n">
        <v>0</v>
      </c>
      <c r="Q44" s="102" t="n">
        <v>0</v>
      </c>
      <c r="R44" s="98" t="n">
        <v>0</v>
      </c>
      <c r="S44" s="102" t="n">
        <v>0</v>
      </c>
      <c r="T44" s="100" t="n">
        <f aca="false">B44+D44+F44+H44+J44+L44+N44+P44+R44</f>
        <v>20445024</v>
      </c>
      <c r="U44" s="101" t="n">
        <f aca="false">C44+E44+G44+I44+K44+M44+O44+S44</f>
        <v>356597324</v>
      </c>
    </row>
    <row r="45" customFormat="false" ht="12.75" hidden="false" customHeight="false" outlineLevel="0" collapsed="false">
      <c r="A45" s="24" t="s">
        <v>12</v>
      </c>
      <c r="B45" s="98" t="n">
        <v>40867</v>
      </c>
      <c r="C45" s="102" t="n">
        <v>770172</v>
      </c>
      <c r="D45" s="98" t="n">
        <v>24194372</v>
      </c>
      <c r="E45" s="102" t="n">
        <v>442005735</v>
      </c>
      <c r="F45" s="98" t="n">
        <v>0</v>
      </c>
      <c r="G45" s="102" t="n">
        <v>0</v>
      </c>
      <c r="H45" s="98" t="n">
        <v>0</v>
      </c>
      <c r="I45" s="72" t="n">
        <v>0</v>
      </c>
      <c r="J45" s="98" t="n">
        <v>1076</v>
      </c>
      <c r="K45" s="102" t="n">
        <v>32296</v>
      </c>
      <c r="L45" s="98" t="n">
        <v>0</v>
      </c>
      <c r="M45" s="102" t="n">
        <v>0</v>
      </c>
      <c r="N45" s="98" t="n">
        <v>19974</v>
      </c>
      <c r="O45" s="102" t="n">
        <v>373411</v>
      </c>
      <c r="P45" s="98" t="n">
        <v>0</v>
      </c>
      <c r="Q45" s="102" t="n">
        <v>0</v>
      </c>
      <c r="R45" s="98" t="n">
        <v>0</v>
      </c>
      <c r="S45" s="102" t="n">
        <v>0</v>
      </c>
      <c r="T45" s="100" t="n">
        <f aca="false">B45+D45+F45+H45+J45+L45+N45+P45+R45</f>
        <v>24256289</v>
      </c>
      <c r="U45" s="101" t="n">
        <f aca="false">C45+E45+G45+I45+K45+M45+O45+S45</f>
        <v>443181614</v>
      </c>
    </row>
    <row r="46" customFormat="false" ht="12.75" hidden="false" customHeight="false" outlineLevel="0" collapsed="false">
      <c r="A46" s="24" t="s">
        <v>13</v>
      </c>
      <c r="B46" s="98" t="n">
        <v>74057</v>
      </c>
      <c r="C46" s="102" t="n">
        <v>1539715</v>
      </c>
      <c r="D46" s="98" t="n">
        <v>21309798</v>
      </c>
      <c r="E46" s="102" t="n">
        <v>386890937</v>
      </c>
      <c r="F46" s="98" t="n">
        <v>0</v>
      </c>
      <c r="G46" s="102" t="n">
        <v>0</v>
      </c>
      <c r="H46" s="98" t="n">
        <v>0</v>
      </c>
      <c r="I46" s="72" t="n">
        <v>0</v>
      </c>
      <c r="J46" s="98" t="n">
        <v>0</v>
      </c>
      <c r="K46" s="102" t="n">
        <v>0</v>
      </c>
      <c r="L46" s="98" t="n">
        <v>0</v>
      </c>
      <c r="M46" s="102" t="n">
        <v>0</v>
      </c>
      <c r="N46" s="98" t="n">
        <v>132819</v>
      </c>
      <c r="O46" s="102" t="n">
        <v>2263933</v>
      </c>
      <c r="P46" s="98" t="n">
        <v>0</v>
      </c>
      <c r="Q46" s="102" t="n">
        <v>0</v>
      </c>
      <c r="R46" s="98" t="n">
        <v>0</v>
      </c>
      <c r="S46" s="102" t="n">
        <v>0</v>
      </c>
      <c r="T46" s="100" t="n">
        <f aca="false">B46+D46+F46+H46+J46+L46+N46+P46+R46</f>
        <v>21516674</v>
      </c>
      <c r="U46" s="101" t="n">
        <f aca="false">C46+E46+G46+I46+K46+M46+O46+S46</f>
        <v>390694585</v>
      </c>
    </row>
    <row r="47" customFormat="false" ht="12.75" hidden="false" customHeight="false" outlineLevel="0" collapsed="false">
      <c r="A47" s="24" t="s">
        <v>14</v>
      </c>
      <c r="B47" s="98" t="n">
        <v>93002</v>
      </c>
      <c r="C47" s="102" t="n">
        <v>1723922</v>
      </c>
      <c r="D47" s="98" t="n">
        <v>18448345</v>
      </c>
      <c r="E47" s="102" t="n">
        <v>312672838</v>
      </c>
      <c r="F47" s="98" t="n">
        <v>0</v>
      </c>
      <c r="G47" s="102" t="n">
        <v>0</v>
      </c>
      <c r="H47" s="98" t="n">
        <v>0</v>
      </c>
      <c r="I47" s="72" t="n">
        <v>0</v>
      </c>
      <c r="J47" s="98" t="n">
        <v>0</v>
      </c>
      <c r="K47" s="102" t="n">
        <v>0</v>
      </c>
      <c r="L47" s="98" t="n">
        <v>0</v>
      </c>
      <c r="M47" s="102" t="n">
        <v>0</v>
      </c>
      <c r="N47" s="98" t="n">
        <v>102114</v>
      </c>
      <c r="O47" s="102" t="n">
        <v>1871772</v>
      </c>
      <c r="P47" s="98" t="n">
        <v>0</v>
      </c>
      <c r="Q47" s="102" t="n">
        <v>0</v>
      </c>
      <c r="R47" s="98" t="n">
        <v>0</v>
      </c>
      <c r="S47" s="102" t="n">
        <v>0</v>
      </c>
      <c r="T47" s="100" t="n">
        <f aca="false">B47+D47+F47+H47+J47+L47+N47+P47+R47</f>
        <v>18643461</v>
      </c>
      <c r="U47" s="101" t="n">
        <f aca="false">C47+E47+G47+I47+K47+M47+O47+S47</f>
        <v>316268532</v>
      </c>
    </row>
    <row r="48" customFormat="false" ht="12.75" hidden="false" customHeight="false" outlineLevel="0" collapsed="false">
      <c r="A48" s="24" t="s">
        <v>15</v>
      </c>
      <c r="B48" s="98" t="n">
        <v>139214</v>
      </c>
      <c r="C48" s="102" t="n">
        <v>2709202</v>
      </c>
      <c r="D48" s="98" t="n">
        <v>18855060</v>
      </c>
      <c r="E48" s="102" t="n">
        <v>347867317</v>
      </c>
      <c r="F48" s="98" t="n">
        <v>0</v>
      </c>
      <c r="G48" s="102" t="n">
        <v>0</v>
      </c>
      <c r="H48" s="98" t="n">
        <v>0</v>
      </c>
      <c r="I48" s="72" t="n">
        <v>0</v>
      </c>
      <c r="J48" s="98" t="n">
        <v>0</v>
      </c>
      <c r="K48" s="102" t="n">
        <v>0</v>
      </c>
      <c r="L48" s="98" t="n">
        <v>0</v>
      </c>
      <c r="M48" s="102" t="n">
        <v>0</v>
      </c>
      <c r="N48" s="98" t="n">
        <v>31678</v>
      </c>
      <c r="O48" s="102" t="n">
        <v>655796</v>
      </c>
      <c r="P48" s="98" t="n">
        <v>0</v>
      </c>
      <c r="Q48" s="102" t="n">
        <v>0</v>
      </c>
      <c r="R48" s="98" t="n">
        <v>0</v>
      </c>
      <c r="S48" s="102" t="n">
        <v>0</v>
      </c>
      <c r="T48" s="100" t="n">
        <f aca="false">B48+D48+F48+H48+J48+L48+N48+P48+R48</f>
        <v>19025952</v>
      </c>
      <c r="U48" s="101" t="n">
        <f aca="false">C48+E48+G48+I48+K48+M48+O48+S48</f>
        <v>351232315</v>
      </c>
    </row>
    <row r="49" customFormat="false" ht="12.75" hidden="false" customHeight="false" outlineLevel="0" collapsed="false">
      <c r="A49" s="24" t="s">
        <v>16</v>
      </c>
      <c r="B49" s="98"/>
      <c r="C49" s="102"/>
      <c r="D49" s="98"/>
      <c r="E49" s="102"/>
      <c r="F49" s="98"/>
      <c r="G49" s="102"/>
      <c r="H49" s="98"/>
      <c r="I49" s="72"/>
      <c r="J49" s="98"/>
      <c r="K49" s="102"/>
      <c r="L49" s="98"/>
      <c r="M49" s="102"/>
      <c r="N49" s="98"/>
      <c r="O49" s="102"/>
      <c r="P49" s="98"/>
      <c r="Q49" s="102"/>
      <c r="R49" s="98"/>
      <c r="S49" s="102"/>
      <c r="T49" s="100" t="n">
        <f aca="false">B49+D49+F49+H49+J49+L49+N49+P49+R49</f>
        <v>0</v>
      </c>
      <c r="U49" s="101" t="n">
        <f aca="false">C49+E49+G49+I49+K49+M49+O49+S49</f>
        <v>0</v>
      </c>
    </row>
    <row r="50" customFormat="false" ht="12.75" hidden="false" customHeight="false" outlineLevel="0" collapsed="false">
      <c r="A50" s="24" t="s">
        <v>17</v>
      </c>
      <c r="B50" s="98"/>
      <c r="C50" s="102"/>
      <c r="D50" s="98"/>
      <c r="E50" s="102"/>
      <c r="F50" s="98"/>
      <c r="G50" s="102"/>
      <c r="H50" s="98"/>
      <c r="I50" s="72"/>
      <c r="J50" s="98"/>
      <c r="K50" s="102"/>
      <c r="L50" s="98"/>
      <c r="M50" s="102"/>
      <c r="N50" s="98"/>
      <c r="O50" s="102"/>
      <c r="P50" s="98"/>
      <c r="Q50" s="102"/>
      <c r="R50" s="98"/>
      <c r="S50" s="102"/>
      <c r="T50" s="100" t="n">
        <f aca="false">B50+D50+F50+H50+J50+L50+N50+P50+R50</f>
        <v>0</v>
      </c>
      <c r="U50" s="101" t="n">
        <f aca="false">C50+E50+G50+I50+K50+M50+O50+S50</f>
        <v>0</v>
      </c>
    </row>
    <row r="51" customFormat="false" ht="12.75" hidden="false" customHeight="false" outlineLevel="0" collapsed="false">
      <c r="A51" s="24" t="s">
        <v>18</v>
      </c>
      <c r="B51" s="98"/>
      <c r="C51" s="102"/>
      <c r="D51" s="98"/>
      <c r="E51" s="102"/>
      <c r="F51" s="98"/>
      <c r="G51" s="102"/>
      <c r="H51" s="98"/>
      <c r="I51" s="72"/>
      <c r="J51" s="98"/>
      <c r="K51" s="102"/>
      <c r="L51" s="98"/>
      <c r="M51" s="102"/>
      <c r="N51" s="98"/>
      <c r="O51" s="102"/>
      <c r="P51" s="98"/>
      <c r="Q51" s="102"/>
      <c r="R51" s="98"/>
      <c r="S51" s="102"/>
      <c r="T51" s="100" t="n">
        <f aca="false">B51+D51+F51+H51+J51+L51+N51+P51+R51</f>
        <v>0</v>
      </c>
      <c r="U51" s="101" t="n">
        <f aca="false">C51+E51+G51+I51+K51+M51+O51+S51</f>
        <v>0</v>
      </c>
    </row>
    <row r="52" customFormat="false" ht="12.75" hidden="false" customHeight="false" outlineLevel="0" collapsed="false">
      <c r="A52" s="24" t="s">
        <v>19</v>
      </c>
      <c r="B52" s="98"/>
      <c r="C52" s="102"/>
      <c r="D52" s="98"/>
      <c r="E52" s="102"/>
      <c r="F52" s="98"/>
      <c r="G52" s="102"/>
      <c r="H52" s="98"/>
      <c r="I52" s="72"/>
      <c r="J52" s="98"/>
      <c r="K52" s="102"/>
      <c r="L52" s="98"/>
      <c r="M52" s="102"/>
      <c r="N52" s="98"/>
      <c r="O52" s="102"/>
      <c r="P52" s="98"/>
      <c r="Q52" s="102"/>
      <c r="R52" s="98"/>
      <c r="S52" s="102"/>
      <c r="T52" s="100" t="n">
        <f aca="false">B52+D52+F52+H52+J52+L52+N52+P52+R52</f>
        <v>0</v>
      </c>
      <c r="U52" s="101" t="n">
        <f aca="false">C52+E52+G52+I52+K52+M52+O52+S52</f>
        <v>0</v>
      </c>
    </row>
    <row r="53" customFormat="false" ht="12.75" hidden="false" customHeight="false" outlineLevel="0" collapsed="false">
      <c r="A53" s="24" t="s">
        <v>20</v>
      </c>
      <c r="B53" s="98"/>
      <c r="C53" s="102"/>
      <c r="D53" s="98"/>
      <c r="E53" s="102"/>
      <c r="F53" s="98"/>
      <c r="G53" s="102"/>
      <c r="H53" s="98"/>
      <c r="I53" s="72"/>
      <c r="J53" s="98"/>
      <c r="K53" s="102"/>
      <c r="L53" s="98"/>
      <c r="M53" s="102"/>
      <c r="N53" s="98"/>
      <c r="O53" s="102"/>
      <c r="P53" s="98"/>
      <c r="Q53" s="102"/>
      <c r="R53" s="98"/>
      <c r="S53" s="102"/>
      <c r="T53" s="100" t="n">
        <f aca="false">B53+D53+F53+H53+J53+L53+N53+P53+R53</f>
        <v>0</v>
      </c>
      <c r="U53" s="101" t="n">
        <f aca="false">C53+E53+G53+I53+K53+M53+O53+S53</f>
        <v>0</v>
      </c>
    </row>
    <row r="54" customFormat="false" ht="13.5" hidden="false" customHeight="false" outlineLevel="0" collapsed="false">
      <c r="A54" s="28" t="s">
        <v>21</v>
      </c>
      <c r="B54" s="103"/>
      <c r="C54" s="104"/>
      <c r="D54" s="103"/>
      <c r="E54" s="104"/>
      <c r="F54" s="103"/>
      <c r="G54" s="104"/>
      <c r="H54" s="103"/>
      <c r="I54" s="76"/>
      <c r="J54" s="103"/>
      <c r="K54" s="104"/>
      <c r="L54" s="103"/>
      <c r="M54" s="104"/>
      <c r="N54" s="103"/>
      <c r="O54" s="104"/>
      <c r="P54" s="103"/>
      <c r="Q54" s="104"/>
      <c r="R54" s="103"/>
      <c r="S54" s="104"/>
      <c r="T54" s="105" t="n">
        <f aca="false">B54+D54+F54+H54+J54+L54+N54+P54+R54</f>
        <v>0</v>
      </c>
      <c r="U54" s="106" t="n">
        <f aca="false">C54+E54+G54+I54+K54+M54+O54+S54</f>
        <v>0</v>
      </c>
    </row>
  </sheetData>
  <mergeCells count="38"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1999-10-13T17:56:10Z</dcterms:created>
  <dc:creator>ENRON</dc:creator>
  <dc:description/>
  <dc:language>en-US</dc:language>
  <cp:lastModifiedBy>mdelaro</cp:lastModifiedBy>
  <cp:lastPrinted>2000-08-29T18:25:14Z</cp:lastPrinted>
  <cp:revision>0</cp:revision>
  <dc:subject/>
  <dc:title/>
</cp:coreProperties>
</file>