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6.xml.rels" ContentType="application/vnd.openxmlformats-package.relationships+xml"/>
  <Override PartName="/xl/worksheets/_rels/sheet2.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1.xml.rels" ContentType="application/vnd.openxmlformats-package.relationships+xml"/>
  <Override PartName="/xl/charts/chart9.xml" ContentType="application/vnd.openxmlformats-officedocument.drawingml.chart+xml"/>
  <Override PartName="/xl/charts/chart14.xml" ContentType="application/vnd.openxmlformats-officedocument.drawingml.char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10.xml" ContentType="application/vnd.openxmlformats-officedocument.drawingml.chart+xml"/>
  <Override PartName="/xl/charts/chart6.xml" ContentType="application/vnd.openxmlformats-officedocument.drawingml.chart+xml"/>
  <Override PartName="/xl/charts/chart11.xml" ContentType="application/vnd.openxmlformats-officedocument.drawingml.chart+xml"/>
  <Override PartName="/xl/charts/chart7.xml" ContentType="application/vnd.openxmlformats-officedocument.drawingml.chart+xml"/>
  <Override PartName="/xl/charts/chart12.xml" ContentType="application/vnd.openxmlformats-officedocument.drawingml.chart+xml"/>
  <Override PartName="/xl/charts/chart8.xml" ContentType="application/vnd.openxmlformats-officedocument.drawingml.chart+xml"/>
  <Override PartName="/xl/charts/chart13.xml" ContentType="application/vnd.openxmlformats-officedocument.drawingml.char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verview" sheetId="1" state="visible" r:id="rId3"/>
    <sheet name="Graphs" sheetId="2" state="visible" r:id="rId4"/>
    <sheet name="CPA" sheetId="3" state="visible" r:id="rId5"/>
    <sheet name="CTA" sheetId="4" state="visible" r:id="rId6"/>
    <sheet name="DCF" sheetId="5" state="visible" r:id="rId7"/>
    <sheet name="CPA Companies" sheetId="6" state="visible" r:id="rId8"/>
    <sheet name="PNV" sheetId="7" state="visible" r:id="rId9"/>
    <sheet name="9-2001 Value" sheetId="8" state="visible" r:id="rId10"/>
    <sheet name="12-2000 Value" sheetId="9" state="visible" r:id="rId11"/>
    <sheet name="3-2001 Value" sheetId="10" state="visible" r:id="rId12"/>
    <sheet name="2-2001 Value" sheetId="11" state="visible" r:id="rId13"/>
  </sheets>
  <externalReferences>
    <externalReference r:id="rId14"/>
  </externalReferences>
  <definedNames>
    <definedName function="false" hidden="false" localSheetId="5" name="_xlnm.Print_Area" vbProcedure="false">'CPA Companies'!$A$1:$R$238</definedName>
    <definedName function="false" hidden="false" localSheetId="5" name="_xlnm.Print_Titles" vbProcedure="false">'CPA Companies'!$1:$4</definedName>
    <definedName function="false" hidden="false" localSheetId="4" name="_xlnm.Print_Titles" vbProcedure="false">DCF!$1:$3</definedName>
    <definedName function="false" hidden="false" localSheetId="1" name="_xlnm.Print_Area" vbProcedure="false">Graphs!$A$1:$K$22</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<sst xmlns="http://schemas.openxmlformats.org/spreadsheetml/2006/main" count="605" uniqueCount="237">
  <si>
    <t xml:space="preserve">IDLEAIRE TECHNOLOGIES VALUATION OVERVIEW</t>
  </si>
  <si>
    <t xml:space="preserve">($ millions except per share data)</t>
  </si>
  <si>
    <t xml:space="preserve">2000A</t>
  </si>
  <si>
    <t xml:space="preserve">2001E</t>
  </si>
  <si>
    <t xml:space="preserve">2002E</t>
  </si>
  <si>
    <t xml:space="preserve">2003E</t>
  </si>
  <si>
    <t xml:space="preserve">2004E</t>
  </si>
  <si>
    <t xml:space="preserve">2005E</t>
  </si>
  <si>
    <t xml:space="preserve">INCOME PROFORMA</t>
  </si>
  <si>
    <t xml:space="preserve">Revenues</t>
  </si>
  <si>
    <t xml:space="preserve">Revenue Growth</t>
  </si>
  <si>
    <t xml:space="preserve">Gross Margin</t>
  </si>
  <si>
    <t xml:space="preserve">EBITDA</t>
  </si>
  <si>
    <t xml:space="preserve">% of Revenues</t>
  </si>
  <si>
    <t xml:space="preserve">nm</t>
  </si>
  <si>
    <t xml:space="preserve">Earnings</t>
  </si>
  <si>
    <t xml:space="preserve">Earnings per Share (EPS)</t>
  </si>
  <si>
    <t xml:space="preserve">EPS Growth</t>
  </si>
  <si>
    <t xml:space="preserve">Shares Outstanding (M)</t>
  </si>
  <si>
    <t xml:space="preserve">Fully Diluted Shares (M)</t>
  </si>
  <si>
    <t xml:space="preserve">VALUATION</t>
  </si>
  <si>
    <t xml:space="preserve">Annualized Revenues</t>
  </si>
  <si>
    <t xml:space="preserve">Annualized EBITDA</t>
  </si>
  <si>
    <t xml:space="preserve">Comparable Transaction Analysis - Revenues (ltm)</t>
  </si>
  <si>
    <t xml:space="preserve">Comparable Transaction Analysis - EBITDA (ltm)</t>
  </si>
  <si>
    <t xml:space="preserve">Comparable Public Company Analysis - Revenues (ltm)</t>
  </si>
  <si>
    <t xml:space="preserve">Comparable Public Company Analysis - EBITDA (ltm)</t>
  </si>
  <si>
    <t xml:space="preserve">Comparable Public Company Analysis - Earnings (ltm)</t>
  </si>
  <si>
    <t xml:space="preserve">DCF Analysis @ 20% Discount Factor</t>
  </si>
  <si>
    <t xml:space="preserve">DCF Analysis @ 30% Discount Factor</t>
  </si>
  <si>
    <t xml:space="preserve">Mean Valuation</t>
  </si>
  <si>
    <t xml:space="preserve">Median Valuation</t>
  </si>
  <si>
    <t xml:space="preserve">Assumed Value</t>
  </si>
  <si>
    <t xml:space="preserve">Price per Share (Fully Diluted)</t>
  </si>
  <si>
    <t xml:space="preserve">Price / Revenues (ltm)</t>
  </si>
  <si>
    <t xml:space="preserve">Price / Revenues (annualized)</t>
  </si>
  <si>
    <t xml:space="preserve">Price / EBITDA (ltm)</t>
  </si>
  <si>
    <t xml:space="preserve">Price / EBITDA (annualized)</t>
  </si>
  <si>
    <t xml:space="preserve">Price / Earnings (ltm)</t>
  </si>
  <si>
    <t xml:space="preserve">2Q00</t>
  </si>
  <si>
    <t xml:space="preserve">3Q00</t>
  </si>
  <si>
    <t xml:space="preserve">4Q00</t>
  </si>
  <si>
    <t xml:space="preserve">1Q01</t>
  </si>
  <si>
    <t xml:space="preserve">2Q01</t>
  </si>
  <si>
    <t xml:space="preserve">3Q01</t>
  </si>
  <si>
    <t xml:space="preserve">4Q01</t>
  </si>
  <si>
    <t xml:space="preserve">1Q02</t>
  </si>
  <si>
    <t xml:space="preserve">2Q02</t>
  </si>
  <si>
    <t xml:space="preserve">3Q02</t>
  </si>
  <si>
    <t xml:space="preserve">4Q02</t>
  </si>
  <si>
    <t xml:space="preserve">1Q03</t>
  </si>
  <si>
    <t xml:space="preserve">2Q03</t>
  </si>
  <si>
    <t xml:space="preserve">3Q03</t>
  </si>
  <si>
    <t xml:space="preserve">4Q03</t>
  </si>
  <si>
    <t xml:space="preserve">1Q04</t>
  </si>
  <si>
    <t xml:space="preserve">2Q04</t>
  </si>
  <si>
    <t xml:space="preserve">3Q04</t>
  </si>
  <si>
    <t xml:space="preserve">4Q04</t>
  </si>
  <si>
    <t xml:space="preserve">1Q05</t>
  </si>
  <si>
    <t xml:space="preserve">2Q05</t>
  </si>
  <si>
    <t xml:space="preserve">3Q05</t>
  </si>
  <si>
    <t xml:space="preserve">4Q05</t>
  </si>
  <si>
    <t xml:space="preserve">Ann. Revenues ($M)</t>
  </si>
  <si>
    <t xml:space="preserve">Ann. EBITDA ($M)</t>
  </si>
  <si>
    <t xml:space="preserve">Market Cap. ($M)</t>
  </si>
  <si>
    <t xml:space="preserve">Price to Sales</t>
  </si>
  <si>
    <t xml:space="preserve">Price to EBITDA</t>
  </si>
  <si>
    <t xml:space="preserve">Share Price</t>
  </si>
  <si>
    <t xml:space="preserve">New Equity ($M)</t>
  </si>
  <si>
    <t xml:space="preserve">Comparable Public Company Analysis of IdleAire Technologies</t>
  </si>
  <si>
    <t xml:space="preserve">Overview:</t>
  </si>
  <si>
    <t xml:space="preserve">The Comparable Public Company Analysis reviews securities of publicly-traded companies deemed comparable to IdleAire's business.  It is generally accepted that share pricing in the public market reflects the value of minority interest and does not reflect any control premium.  Further, share pricing in the public market incorporates a wide range of factors including general economic conditions, interest rates, inflation and investor perceptions.</t>
  </si>
  <si>
    <t xml:space="preserve">Selection</t>
  </si>
  <si>
    <t xml:space="preserve">·</t>
  </si>
  <si>
    <t xml:space="preserve">This analysis focused on publicly-traded companies engaged primarily in providing technological services for the transportation industry sector.</t>
  </si>
  <si>
    <t xml:space="preserve">Criteria:</t>
  </si>
  <si>
    <t xml:space="preserve">Companies with market capitalizations between $300 million and $55 billion.</t>
  </si>
  <si>
    <t xml:space="preserve">Companies deemed similar to IdleAire's business.</t>
  </si>
  <si>
    <t xml:space="preserve">Market</t>
  </si>
  <si>
    <t xml:space="preserve">P/E Ratios</t>
  </si>
  <si>
    <t xml:space="preserve">Value / Revenues</t>
  </si>
  <si>
    <t xml:space="preserve">Value /</t>
  </si>
  <si>
    <t xml:space="preserve">Fiscal</t>
  </si>
  <si>
    <t xml:space="preserve">Capitalization</t>
  </si>
  <si>
    <t xml:space="preserve">CY</t>
  </si>
  <si>
    <t xml:space="preserve">Company</t>
  </si>
  <si>
    <t xml:space="preserve">Ticker</t>
  </si>
  <si>
    <t xml:space="preserve">Year End</t>
  </si>
  <si>
    <t xml:space="preserve">($M)</t>
  </si>
  <si>
    <t xml:space="preserve">LTM</t>
  </si>
  <si>
    <t xml:space="preserve">Qualcomm</t>
  </si>
  <si>
    <t xml:space="preserve">QCOM</t>
  </si>
  <si>
    <t xml:space="preserve">Motorola, Inc.</t>
  </si>
  <si>
    <t xml:space="preserve">MOT</t>
  </si>
  <si>
    <t xml:space="preserve">Williams Companies</t>
  </si>
  <si>
    <t xml:space="preserve">WMB</t>
  </si>
  <si>
    <t xml:space="preserve">Emerson Electric</t>
  </si>
  <si>
    <t xml:space="preserve">EMR</t>
  </si>
  <si>
    <t xml:space="preserve">Dover Corporation</t>
  </si>
  <si>
    <t xml:space="preserve">DOV</t>
  </si>
  <si>
    <t xml:space="preserve">FuelCell Energy, Inc.</t>
  </si>
  <si>
    <t xml:space="preserve">FCEL</t>
  </si>
  <si>
    <t xml:space="preserve">Itron, Inc.</t>
  </si>
  <si>
    <t xml:space="preserve">ITRI</t>
  </si>
  <si>
    <t xml:space="preserve">Extended Stay America</t>
  </si>
  <si>
    <t xml:space="preserve">ESA</t>
  </si>
  <si>
    <t xml:space="preserve">TiVo Inc.</t>
  </si>
  <si>
    <t xml:space="preserve">TIVO</t>
  </si>
  <si>
    <t xml:space="preserve">Cox Communications</t>
  </si>
  <si>
    <t xml:space="preserve">COX</t>
  </si>
  <si>
    <t xml:space="preserve">Maximum</t>
  </si>
  <si>
    <t xml:space="preserve">Mean</t>
  </si>
  <si>
    <t xml:space="preserve">Median</t>
  </si>
  <si>
    <t xml:space="preserve">Minimum</t>
  </si>
  <si>
    <t xml:space="preserve">IdleAire Valuation Multiples</t>
  </si>
  <si>
    <t xml:space="preserve">LTM - last twelve months</t>
  </si>
  <si>
    <t xml:space="preserve">Comparable Transaction Analysis of IdleAire Technologies</t>
  </si>
  <si>
    <t xml:space="preserve">The Comparable Transaction Analysis includes a review of transaction involving companies deemed similar to IdleAire.  This analysis is based on information obtained from SEC filings, public company disclosures, press releases industry and popular press reports, databases and other sources.</t>
  </si>
  <si>
    <t xml:space="preserve">This analysis reviewed a group of transactions selected based on the following criteria:</t>
  </si>
  <si>
    <t xml:space="preserve">Acquisition of companies with primary SIC codes similar to those of the selected comparable public companies</t>
  </si>
  <si>
    <t xml:space="preserve">Private and public targets</t>
  </si>
  <si>
    <t xml:space="preserve">Transaction size between $27 million and $1 billion</t>
  </si>
  <si>
    <t xml:space="preserve">Targets in which 100% of the company was acquired, an investment or an Initial Public Offering (IPO) was consumated</t>
  </si>
  <si>
    <t xml:space="preserve">Deals announced after 12/15/97 and before April, 2001</t>
  </si>
  <si>
    <t xml:space="preserve">Deals with publicly available information on terms or insider information</t>
  </si>
  <si>
    <t xml:space="preserve">Date</t>
  </si>
  <si>
    <t xml:space="preserve">Investor /</t>
  </si>
  <si>
    <t xml:space="preserve">Enterprise</t>
  </si>
  <si>
    <t xml:space="preserve">Value / LTM</t>
  </si>
  <si>
    <t xml:space="preserve">Announced</t>
  </si>
  <si>
    <t xml:space="preserve">Target</t>
  </si>
  <si>
    <t xml:space="preserve">Target Business Description</t>
  </si>
  <si>
    <t xml:space="preserve">Acquiror</t>
  </si>
  <si>
    <t xml:space="preserve">Value ($M)</t>
  </si>
  <si>
    <t xml:space="preserve">Income</t>
  </si>
  <si>
    <t xml:space="preserve">PNV, Inc.</t>
  </si>
  <si>
    <t xml:space="preserve">Provider of Telephone, Cable TV &amp; Internet for Truck Drivers</t>
  </si>
  <si>
    <t xml:space="preserve">IPO</t>
  </si>
  <si>
    <t xml:space="preserve">Cat Scales, Inc.</t>
  </si>
  <si>
    <t xml:space="preserve">Weighing Scales for Truck Stops</t>
  </si>
  <si>
    <t xml:space="preserve">Computational Systems Inc.</t>
  </si>
  <si>
    <t xml:space="preserve">Process Control Instrumentation</t>
  </si>
  <si>
    <t xml:space="preserve">Coherent Communications</t>
  </si>
  <si>
    <t xml:space="preserve">Products for wireless, satellite-based, cable communication, and wireline systems</t>
  </si>
  <si>
    <t xml:space="preserve">Tellabs, Inc.</t>
  </si>
  <si>
    <t xml:space="preserve">PhoneOnline.com</t>
  </si>
  <si>
    <t xml:space="preserve">Wireless Aps for Trucking Industry</t>
  </si>
  <si>
    <t xml:space="preserve">ITC Holding Company</t>
  </si>
  <si>
    <t xml:space="preserve">TiVo, Inc.</t>
  </si>
  <si>
    <t xml:space="preserve">Creator of personal television</t>
  </si>
  <si>
    <t xml:space="preserve">High</t>
  </si>
  <si>
    <t xml:space="preserve">Low</t>
  </si>
  <si>
    <t xml:space="preserve">Financial Analysis of IdleAire Technologies</t>
  </si>
  <si>
    <t xml:space="preserve">Discounted Cash Flow Analysis</t>
  </si>
  <si>
    <t xml:space="preserve">The discounted cash flow analysis is used to calculate a range of theoretical values for IdleAire based on:</t>
  </si>
  <si>
    <t xml:space="preserve">-</t>
  </si>
  <si>
    <t xml:space="preserve">The net present value of IdleAire's implied annual cash flows through the year 2005</t>
  </si>
  <si>
    <t xml:space="preserve">A terminal value for IdleAire in 2005 calculated as 5.0x times the 2005 cash flow</t>
  </si>
  <si>
    <t xml:space="preserve">Discount rates ranging from 20% - 30%</t>
  </si>
  <si>
    <t xml:space="preserve">Governmental grants (DOE, DOT, TVA, CMAQ etc.) are expected but not forecast</t>
  </si>
  <si>
    <t xml:space="preserve">The range of values can then be compared to the consideration being offered in the proposed transaction</t>
  </si>
  <si>
    <t xml:space="preserve">The projected financial data for IdleAire for calandar 2000 - 2005 is from IdleAire's 2/2001 Business Plan</t>
  </si>
  <si>
    <t xml:space="preserve">2001 - 2005</t>
  </si>
  <si>
    <t xml:space="preserve">Residual</t>
  </si>
  <si>
    <t xml:space="preserve">($ millions)</t>
  </si>
  <si>
    <t xml:space="preserve">TOTAL</t>
  </si>
  <si>
    <t xml:space="preserve">CASH FLOW PROJECTIONS</t>
  </si>
  <si>
    <t xml:space="preserve">Cost of Goods</t>
  </si>
  <si>
    <t xml:space="preserve">% Revenues</t>
  </si>
  <si>
    <t xml:space="preserve">Operating Expenses</t>
  </si>
  <si>
    <t xml:space="preserve">Other Expense (Income)</t>
  </si>
  <si>
    <t xml:space="preserve">Income Tax Provision</t>
  </si>
  <si>
    <t xml:space="preserve">Capital Equipment Investments</t>
  </si>
  <si>
    <t xml:space="preserve">Equity &amp; Debt</t>
  </si>
  <si>
    <t xml:space="preserve">NET CASH FLOW</t>
  </si>
  <si>
    <t xml:space="preserve">75% of Plan</t>
  </si>
  <si>
    <t xml:space="preserve">50% of Plan</t>
  </si>
  <si>
    <t xml:space="preserve">DCF VALUATION</t>
  </si>
  <si>
    <t xml:space="preserve">Rate</t>
  </si>
  <si>
    <t xml:space="preserve">Revenue Multiple (ltm)</t>
  </si>
  <si>
    <t xml:space="preserve">Closing</t>
  </si>
  <si>
    <t xml:space="preserve">Shares</t>
  </si>
  <si>
    <t xml:space="preserve">Price to</t>
  </si>
  <si>
    <t xml:space="preserve">Period</t>
  </si>
  <si>
    <t xml:space="preserve">Price</t>
  </si>
  <si>
    <t xml:space="preserve">Outstanding</t>
  </si>
  <si>
    <t xml:space="preserve">4 x ttm</t>
  </si>
  <si>
    <t xml:space="preserve">Sales</t>
  </si>
  <si>
    <t xml:space="preserve">(M)</t>
  </si>
  <si>
    <t xml:space="preserve">QUALCOM (QCOM)</t>
  </si>
  <si>
    <t xml:space="preserve">1Q00</t>
  </si>
  <si>
    <t xml:space="preserve">4Q99</t>
  </si>
  <si>
    <t xml:space="preserve">3Q99</t>
  </si>
  <si>
    <t xml:space="preserve">2Q99</t>
  </si>
  <si>
    <t xml:space="preserve">1Q99</t>
  </si>
  <si>
    <t xml:space="preserve">4Q98</t>
  </si>
  <si>
    <t xml:space="preserve">3Q98</t>
  </si>
  <si>
    <t xml:space="preserve">2Q98</t>
  </si>
  <si>
    <t xml:space="preserve">1Q98</t>
  </si>
  <si>
    <t xml:space="preserve">Motorola, Inc. (MOT)</t>
  </si>
  <si>
    <t xml:space="preserve">Williams Companies (WMB)</t>
  </si>
  <si>
    <t xml:space="preserve">FuelCell Energy, Inc. (FCEL)</t>
  </si>
  <si>
    <t xml:space="preserve">Extended Stay America (ESA)</t>
  </si>
  <si>
    <t xml:space="preserve">TiVo, Inc. (TIVO)</t>
  </si>
  <si>
    <t xml:space="preserve">Emerson (EMR)</t>
  </si>
  <si>
    <t xml:space="preserve">Cox Communications (COX)</t>
  </si>
  <si>
    <t xml:space="preserve">Metricom (MCOM)</t>
  </si>
  <si>
    <t xml:space="preserve">Enron (ENE)</t>
  </si>
  <si>
    <t xml:space="preserve">Ballard Power Systems (BLDP)</t>
  </si>
  <si>
    <t xml:space="preserve">Itron, Inc. (ITRI)</t>
  </si>
  <si>
    <t xml:space="preserve">PNV.net (PNVN)</t>
  </si>
  <si>
    <t xml:space="preserve">IDLEAIRE 9-2001 VALUATION SUMMARY</t>
  </si>
  <si>
    <t xml:space="preserve">PRE-MONEY</t>
  </si>
  <si>
    <t xml:space="preserve">POST-MONEY</t>
  </si>
  <si>
    <t xml:space="preserve">Valuation Technique</t>
  </si>
  <si>
    <t xml:space="preserve">Discounted Cash Flow Valuation</t>
  </si>
  <si>
    <t xml:space="preserve">Comparable Public Company Analysis</t>
  </si>
  <si>
    <t xml:space="preserve">Comparable Transaction Analysis</t>
  </si>
  <si>
    <t xml:space="preserve">Average Valuation</t>
  </si>
  <si>
    <t xml:space="preserve">Discount</t>
  </si>
  <si>
    <t xml:space="preserve">New Equity</t>
  </si>
  <si>
    <t xml:space="preserve">Discounted Average Valuation</t>
  </si>
  <si>
    <t xml:space="preserve">Common Shares</t>
  </si>
  <si>
    <t xml:space="preserve">Founders</t>
  </si>
  <si>
    <t xml:space="preserve">Seed Investors</t>
  </si>
  <si>
    <t xml:space="preserve">Key Employees</t>
  </si>
  <si>
    <t xml:space="preserve">1st Round Investors</t>
  </si>
  <si>
    <t xml:space="preserve">2nd Round Investors</t>
  </si>
  <si>
    <t xml:space="preserve">Public Round</t>
  </si>
  <si>
    <t xml:space="preserve">Total Common Shares Outstanding</t>
  </si>
  <si>
    <t xml:space="preserve">Total Prefered Shares Outstanding</t>
  </si>
  <si>
    <t xml:space="preserve">Options &amp; Warrants</t>
  </si>
  <si>
    <t xml:space="preserve">Fully Diluted Shares</t>
  </si>
  <si>
    <t xml:space="preserve">Price Per Fully Diluted Share</t>
  </si>
  <si>
    <t xml:space="preserve">IDLEAIRE 12-2000 VALUATION SUMMARY</t>
  </si>
  <si>
    <t xml:space="preserve">IDLEAIRE 3-2001 VALUATION SUMMARY</t>
  </si>
  <si>
    <t xml:space="preserve">IDLEAIRE 2-2001 VALUATION SUMMARY</t>
  </si>
</sst>
</file>

<file path=xl/styles.xml><?xml version="1.0" encoding="utf-8"?>
<styleSheet xmlns="http://schemas.openxmlformats.org/spreadsheetml/2006/main">
  <numFmts count="20">
    <numFmt numFmtId="164" formatCode="General"/>
    <numFmt numFmtId="165" formatCode="\$#,##0.0_);[RED]&quot;($&quot;#,##0.0\)"/>
    <numFmt numFmtId="166" formatCode="#,##0.0%_);\(#,##0.0%\);;"/>
    <numFmt numFmtId="167" formatCode="\$#,##0.00_);[RED]&quot;($&quot;#,##0.00\);;"/>
    <numFmt numFmtId="168" formatCode="#,##0.0_);[RED]\(#,##0.0\)"/>
    <numFmt numFmtId="169" formatCode="#,##0.0\x_);[RED]\(#,##0.0&quot;x)&quot;;;"/>
    <numFmt numFmtId="170" formatCode="\$#,##0.0_);[RED]&quot;($&quot;#,##0.0\);;"/>
    <numFmt numFmtId="171" formatCode="#,##0.0\x_);\(#,##0.0&quot;x)&quot;;;"/>
    <numFmt numFmtId="172" formatCode="\$#,##0.0;&quot;($&quot;#,##0.0\);;"/>
    <numFmt numFmtId="173" formatCode="[$-409]#,##0.00_);\(#,##0.00\)"/>
    <numFmt numFmtId="174" formatCode="[$-409]mmm\-yy"/>
    <numFmt numFmtId="175" formatCode="[$-409]m/d/yyyy"/>
    <numFmt numFmtId="176" formatCode="#,##0.0_);[RED]\(#,##0.0\);;"/>
    <numFmt numFmtId="177" formatCode="0.0%"/>
    <numFmt numFmtId="178" formatCode="\$#,##0.00_);[RED]&quot;($&quot;#,##0.00\)"/>
    <numFmt numFmtId="179" formatCode="#,##0.000_);[RED]\(#,##0.000\)"/>
    <numFmt numFmtId="180" formatCode="\$#,##0_);[RED]&quot;($&quot;#,##0\)"/>
    <numFmt numFmtId="181" formatCode="0.00%"/>
    <numFmt numFmtId="182" formatCode="#,##0_);\(#,##0\);;"/>
    <numFmt numFmtId="183" formatCode="#,##0"/>
  </numFmts>
  <fonts count="37">
    <font>
      <sz val="11"/>
      <name val="Times New Roman"/>
      <family val="0"/>
    </font>
    <font>
      <sz val="10"/>
      <name val="Arial"/>
      <family val="0"/>
    </font>
    <font>
      <sz val="10"/>
      <name val="Arial"/>
      <family val="0"/>
    </font>
    <font>
      <sz val="10"/>
      <name val="Arial"/>
      <family val="0"/>
    </font>
    <font>
      <b val="true"/>
      <sz val="18"/>
      <name val="Times New Roman"/>
      <family val="1"/>
    </font>
    <font>
      <sz val="10"/>
      <name val="Times New Roman"/>
      <family val="1"/>
    </font>
    <font>
      <sz val="12"/>
      <name val="Times New Roman"/>
      <family val="1"/>
    </font>
    <font>
      <b val="true"/>
      <sz val="12"/>
      <name val="Times New Roman"/>
      <family val="1"/>
    </font>
    <font>
      <b val="true"/>
      <sz val="14"/>
      <name val="Times New Roman"/>
      <family val="1"/>
    </font>
    <font>
      <i val="true"/>
      <sz val="10"/>
      <name val="Times New Roman"/>
      <family val="1"/>
    </font>
    <font>
      <i val="true"/>
      <sz val="12"/>
      <name val="Times New Roman"/>
      <family val="1"/>
    </font>
    <font>
      <b val="true"/>
      <sz val="11"/>
      <name val="Times New Roman"/>
      <family val="1"/>
    </font>
    <font>
      <b val="true"/>
      <i val="true"/>
      <sz val="10"/>
      <name val="Times New Roman"/>
      <family val="1"/>
    </font>
    <font>
      <b val="true"/>
      <sz val="10"/>
      <name val="Times New Roman"/>
      <family val="1"/>
    </font>
    <font>
      <b val="true"/>
      <sz val="10.25"/>
      <color rgb="FF000000"/>
      <name val="Times New Roman"/>
      <family val="2"/>
    </font>
    <font>
      <sz val="8"/>
      <color rgb="FF000000"/>
      <name val="Times New Roman"/>
      <family val="2"/>
    </font>
    <font>
      <b val="true"/>
      <sz val="8"/>
      <color rgb="FF000000"/>
      <name val="Times New Roman"/>
      <family val="2"/>
    </font>
    <font>
      <sz val="8.5"/>
      <color rgb="FF000000"/>
      <name val="Arial"/>
      <family val="2"/>
    </font>
    <font>
      <b val="true"/>
      <sz val="8"/>
      <color rgb="FF000000"/>
      <name val="Arial"/>
      <family val="2"/>
    </font>
    <font>
      <b val="true"/>
      <sz val="16"/>
      <name val="Times New Roman"/>
      <family val="1"/>
    </font>
    <font>
      <i val="true"/>
      <sz val="14"/>
      <name val="Times New Roman"/>
      <family val="1"/>
    </font>
    <font>
      <b val="true"/>
      <u val="single"/>
      <sz val="11"/>
      <name val="Times New Roman"/>
      <family val="1"/>
    </font>
    <font>
      <sz val="11"/>
      <name val="Times New Roman"/>
      <family val="1"/>
    </font>
    <font>
      <sz val="14"/>
      <name val="Times New Roman"/>
      <family val="1"/>
    </font>
    <font>
      <b val="true"/>
      <sz val="16"/>
      <color rgb="FF000000"/>
      <name val="Times New Roman"/>
      <family val="2"/>
    </font>
    <font>
      <sz val="11.5"/>
      <color rgb="FF000000"/>
      <name val="Times New Roman"/>
      <family val="2"/>
    </font>
    <font>
      <b val="true"/>
      <sz val="12"/>
      <color rgb="FF000000"/>
      <name val="Times New Roman"/>
      <family val="2"/>
    </font>
    <font>
      <b val="true"/>
      <sz val="15.75"/>
      <color rgb="FF000000"/>
      <name val="Times New Roman"/>
      <family val="2"/>
    </font>
    <font>
      <sz val="11.25"/>
      <color rgb="FF000000"/>
      <name val="Times New Roman"/>
      <family val="2"/>
    </font>
    <font>
      <b val="true"/>
      <sz val="13.25"/>
      <color rgb="FF000000"/>
      <name val="Times New Roman"/>
      <family val="2"/>
    </font>
    <font>
      <sz val="9.5"/>
      <color rgb="FF000000"/>
      <name val="Times New Roman"/>
      <family val="2"/>
    </font>
    <font>
      <b val="true"/>
      <sz val="10.5"/>
      <color rgb="FF000000"/>
      <name val="Times New Roman"/>
      <family val="2"/>
    </font>
    <font>
      <b val="true"/>
      <sz val="9.25"/>
      <color rgb="FF000000"/>
      <name val="Times New Roman"/>
      <family val="2"/>
    </font>
    <font>
      <sz val="10.5"/>
      <color rgb="FF000000"/>
      <name val="Times New Roman"/>
      <family val="2"/>
    </font>
    <font>
      <sz val="18"/>
      <name val="Times New Roman"/>
      <family val="1"/>
    </font>
    <font>
      <b val="true"/>
      <u val="single"/>
      <sz val="12"/>
      <name val="Times New Roman"/>
      <family val="1"/>
    </font>
    <font>
      <u val="single"/>
      <sz val="12"/>
      <name val="Times New Roman"/>
      <family val="1"/>
    </font>
  </fonts>
  <fills count="3">
    <fill>
      <patternFill patternType="none"/>
    </fill>
    <fill>
      <patternFill patternType="gray125"/>
    </fill>
    <fill>
      <patternFill patternType="solid">
        <fgColor rgb="FFEFEFEF"/>
        <bgColor rgb="FFFFFFCC"/>
      </patternFill>
    </fill>
  </fills>
  <borders count="43">
    <border diagonalUp="false" diagonalDown="false">
      <left/>
      <right/>
      <top/>
      <bottom/>
      <diagonal/>
    </border>
    <border diagonalUp="false" diagonalDown="false">
      <left/>
      <right/>
      <top/>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top/>
      <bottom/>
      <diagonal/>
    </border>
    <border diagonalUp="false" diagonalDown="false">
      <left/>
      <right style="thin"/>
      <top style="medium"/>
      <bottom/>
      <diagonal/>
    </border>
    <border diagonalUp="false" diagonalDown="false">
      <left style="hair"/>
      <right style="hair"/>
      <top style="medium"/>
      <bottom/>
      <diagonal/>
    </border>
    <border diagonalUp="false" diagonalDown="false">
      <left style="hair"/>
      <right style="medium"/>
      <top style="medium"/>
      <bottom/>
      <diagonal/>
    </border>
    <border diagonalUp="false" diagonalDown="false">
      <left/>
      <right style="thin"/>
      <top/>
      <bottom/>
      <diagonal/>
    </border>
    <border diagonalUp="false" diagonalDown="false">
      <left style="hair"/>
      <right style="hair"/>
      <top/>
      <bottom/>
      <diagonal/>
    </border>
    <border diagonalUp="false" diagonalDown="false">
      <left style="hair"/>
      <right style="medium"/>
      <top/>
      <bottom/>
      <diagonal/>
    </border>
    <border diagonalUp="false" diagonalDown="false">
      <left style="medium"/>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hair"/>
      <right style="hair"/>
      <top style="thin"/>
      <bottom/>
      <diagonal/>
    </border>
    <border diagonalUp="false" diagonalDown="false">
      <left style="hair"/>
      <right style="medium"/>
      <top style="thin"/>
      <bottom/>
      <diagonal/>
    </border>
    <border diagonalUp="false" diagonalDown="false">
      <left style="medium"/>
      <right/>
      <top/>
      <bottom style="medium"/>
      <diagonal/>
    </border>
    <border diagonalUp="false" diagonalDown="false">
      <left/>
      <right/>
      <top/>
      <bottom style="medium"/>
      <diagonal/>
    </border>
    <border diagonalUp="false" diagonalDown="false">
      <left/>
      <right style="thin"/>
      <top/>
      <bottom style="medium"/>
      <diagonal/>
    </border>
    <border diagonalUp="false" diagonalDown="false">
      <left style="hair"/>
      <right style="hair"/>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style="medium"/>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hair"/>
      <right style="hair"/>
      <top style="thin"/>
      <bottom style="thin"/>
      <diagonal/>
    </border>
    <border diagonalUp="false" diagonalDown="false">
      <left style="hair"/>
      <right style="medium"/>
      <top style="thin"/>
      <bottom style="thin"/>
      <diagonal/>
    </border>
    <border diagonalUp="false" diagonalDown="false">
      <left style="medium"/>
      <right/>
      <top style="medium"/>
      <bottom/>
      <diagonal/>
    </border>
    <border diagonalUp="false" diagonalDown="false">
      <left style="hair"/>
      <right style="hair"/>
      <top/>
      <bottom style="thin"/>
      <diagonal/>
    </border>
    <border diagonalUp="false" diagonalDown="false">
      <left style="hair"/>
      <right style="medium"/>
      <top/>
      <bottom style="medium"/>
      <diagonal/>
    </border>
    <border diagonalUp="false" diagonalDown="false">
      <left style="thin"/>
      <right/>
      <top/>
      <bottom/>
      <diagonal/>
    </border>
    <border diagonalUp="false" diagonalDown="false">
      <left style="thin"/>
      <right style="thin"/>
      <top style="medium"/>
      <bottom/>
      <diagonal/>
    </border>
    <border diagonalUp="false" diagonalDown="false">
      <left/>
      <right style="medium"/>
      <top style="medium"/>
      <bottom/>
      <diagonal/>
    </border>
    <border diagonalUp="false" diagonalDown="false">
      <left/>
      <right style="medium"/>
      <top style="thin"/>
      <bottom/>
      <diagonal/>
    </border>
    <border diagonalUp="false" diagonalDown="false">
      <left style="thin"/>
      <right style="thin"/>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style="thin"/>
      <top/>
      <bottom style="thin"/>
      <diagonal/>
    </border>
    <border diagonalUp="false" diagonalDown="false">
      <left style="thin"/>
      <right style="thin"/>
      <top/>
      <bottom style="medium"/>
      <diagonal/>
    </border>
    <border diagonalUp="false" diagonalDown="false">
      <left style="thin"/>
      <right style="thin"/>
      <top/>
      <bottom/>
      <diagonal/>
    </border>
    <border diagonalUp="false" diagonalDown="false">
      <left/>
      <right style="medium"/>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0" fillId="2" borderId="4" xfId="0" applyFont="fals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5" fontId="6" fillId="0" borderId="7" xfId="0" applyFont="true" applyBorder="true" applyAlignment="false" applyProtection="false">
      <alignment horizontal="general" vertical="bottom" textRotation="0" wrapText="false" indent="0" shrinkToFit="false"/>
      <protection locked="true" hidden="false"/>
    </xf>
    <xf numFmtId="165" fontId="6" fillId="0" borderId="0" xfId="0" applyFont="true" applyBorder="true" applyAlignment="false" applyProtection="false">
      <alignment horizontal="general" vertical="bottom" textRotation="0" wrapText="false" indent="0" shrinkToFit="false"/>
      <protection locked="true" hidden="false"/>
    </xf>
    <xf numFmtId="165" fontId="6" fillId="0" borderId="8"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right" vertical="bottom" textRotation="0" wrapText="false" indent="0" shrinkToFit="false"/>
      <protection locked="true" hidden="false"/>
    </xf>
    <xf numFmtId="164" fontId="9" fillId="0" borderId="9"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10" xfId="0" applyFont="true" applyBorder="true" applyAlignment="false" applyProtection="false">
      <alignment horizontal="general" vertical="bottom" textRotation="0" wrapText="false" indent="0" shrinkToFit="false"/>
      <protection locked="true" hidden="false"/>
    </xf>
    <xf numFmtId="166" fontId="9" fillId="0" borderId="10" xfId="0" applyFont="true" applyBorder="true" applyAlignment="false" applyProtection="false">
      <alignment horizontal="general" vertical="bottom" textRotation="0" wrapText="false" indent="0" shrinkToFit="false"/>
      <protection locked="true" hidden="false"/>
    </xf>
    <xf numFmtId="166" fontId="9" fillId="0" borderId="11" xfId="0" applyFont="true" applyBorder="true" applyAlignment="false" applyProtection="false">
      <alignment horizontal="general" vertical="bottom" textRotation="0" wrapText="false" indent="0" shrinkToFit="false"/>
      <protection locked="true" hidden="false"/>
    </xf>
    <xf numFmtId="164" fontId="5" fillId="0" borderId="9" xfId="0" applyFont="true" applyBorder="true" applyAlignment="false" applyProtection="false">
      <alignment horizontal="general" vertical="bottom" textRotation="0" wrapText="false" indent="0" shrinkToFit="false"/>
      <protection locked="true" hidden="false"/>
    </xf>
    <xf numFmtId="164" fontId="5" fillId="0" borderId="11"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10" fillId="0" borderId="9" xfId="0" applyFont="true" applyBorder="true" applyAlignment="true" applyProtection="false">
      <alignment horizontal="left" vertical="bottom" textRotation="0" wrapText="false" indent="0" shrinkToFit="false"/>
      <protection locked="true" hidden="false"/>
    </xf>
    <xf numFmtId="166" fontId="6" fillId="0" borderId="10" xfId="0" applyFont="true" applyBorder="true" applyAlignment="false" applyProtection="false">
      <alignment horizontal="general" vertical="bottom" textRotation="0" wrapText="false" indent="0" shrinkToFit="false"/>
      <protection locked="true" hidden="false"/>
    </xf>
    <xf numFmtId="166" fontId="6" fillId="0" borderId="11" xfId="0" applyFont="true" applyBorder="true" applyAlignment="false" applyProtection="false">
      <alignment horizontal="general" vertical="bottom" textRotation="0" wrapText="false" indent="0" shrinkToFit="false"/>
      <protection locked="true" hidden="false"/>
    </xf>
    <xf numFmtId="164" fontId="6" fillId="0" borderId="12" xfId="0" applyFont="true" applyBorder="true" applyAlignment="false" applyProtection="false">
      <alignment horizontal="general" vertical="bottom" textRotation="0" wrapText="false" indent="0" shrinkToFit="false"/>
      <protection locked="true" hidden="false"/>
    </xf>
    <xf numFmtId="164" fontId="5" fillId="0" borderId="13" xfId="0" applyFont="true" applyBorder="true" applyAlignment="false" applyProtection="false">
      <alignment horizontal="general" vertical="bottom" textRotation="0" wrapText="false" indent="0" shrinkToFit="false"/>
      <protection locked="true" hidden="false"/>
    </xf>
    <xf numFmtId="164" fontId="5" fillId="0" borderId="14" xfId="0" applyFont="true" applyBorder="true" applyAlignment="false" applyProtection="false">
      <alignment horizontal="general" vertical="bottom" textRotation="0" wrapText="false" indent="0" shrinkToFit="false"/>
      <protection locked="true" hidden="false"/>
    </xf>
    <xf numFmtId="165" fontId="6" fillId="0" borderId="15" xfId="0" applyFont="true" applyBorder="true" applyAlignment="false" applyProtection="false">
      <alignment horizontal="general" vertical="bottom" textRotation="0" wrapText="false" indent="0" shrinkToFit="false"/>
      <protection locked="true" hidden="false"/>
    </xf>
    <xf numFmtId="165" fontId="6" fillId="0" borderId="16" xfId="0" applyFont="true" applyBorder="true" applyAlignment="false" applyProtection="false">
      <alignment horizontal="general" vertical="bottom" textRotation="0" wrapText="false" indent="0" shrinkToFit="false"/>
      <protection locked="true" hidden="false"/>
    </xf>
    <xf numFmtId="166" fontId="9" fillId="0"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9" xfId="0" applyFont="true" applyBorder="true" applyAlignment="false" applyProtection="false">
      <alignment horizontal="general" vertical="bottom" textRotation="0" wrapText="false" indent="0" shrinkToFit="false"/>
      <protection locked="true" hidden="false"/>
    </xf>
    <xf numFmtId="167" fontId="9" fillId="0" borderId="10" xfId="0" applyFont="true" applyBorder="true" applyAlignment="false" applyProtection="false">
      <alignment horizontal="general" vertical="bottom" textRotation="0" wrapText="false" indent="0" shrinkToFit="false"/>
      <protection locked="true" hidden="false"/>
    </xf>
    <xf numFmtId="167" fontId="9" fillId="0" borderId="11" xfId="0" applyFont="true" applyBorder="true" applyAlignment="false" applyProtection="false">
      <alignment horizontal="general" vertical="bottom" textRotation="0" wrapText="false" indent="0" shrinkToFit="false"/>
      <protection locked="true" hidden="false"/>
    </xf>
    <xf numFmtId="168" fontId="9" fillId="0" borderId="10" xfId="0" applyFont="true" applyBorder="true" applyAlignment="false" applyProtection="false">
      <alignment horizontal="general" vertical="bottom" textRotation="0" wrapText="false" indent="0" shrinkToFit="false"/>
      <protection locked="true" hidden="false"/>
    </xf>
    <xf numFmtId="168" fontId="9" fillId="0" borderId="11" xfId="0" applyFont="tru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9" fontId="11" fillId="0" borderId="6"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70" fontId="0" fillId="0" borderId="7" xfId="0" applyFont="false" applyBorder="true" applyAlignment="false" applyProtection="false">
      <alignment horizontal="general" vertical="bottom" textRotation="0" wrapText="false" indent="0" shrinkToFit="false"/>
      <protection locked="true" hidden="false"/>
    </xf>
    <xf numFmtId="170" fontId="0" fillId="0" borderId="22" xfId="0" applyFont="false" applyBorder="true" applyAlignment="false" applyProtection="false">
      <alignment horizontal="general" vertical="bottom" textRotation="0" wrapText="false" indent="0" shrinkToFit="false"/>
      <protection locked="true" hidden="false"/>
    </xf>
    <xf numFmtId="170" fontId="6" fillId="0" borderId="7" xfId="0" applyFont="true" applyBorder="true" applyAlignment="false" applyProtection="false">
      <alignment horizontal="general" vertical="bottom" textRotation="0" wrapText="false" indent="0" shrinkToFit="false"/>
      <protection locked="true" hidden="false"/>
    </xf>
    <xf numFmtId="170" fontId="6" fillId="0" borderId="8" xfId="0" applyFont="true" applyBorder="true" applyAlignment="false" applyProtection="false">
      <alignment horizontal="general" vertical="bottom" textRotation="0" wrapText="false" indent="0" shrinkToFit="false"/>
      <protection locked="true" hidden="false"/>
    </xf>
    <xf numFmtId="169" fontId="11" fillId="0" borderId="9" xfId="0" applyFont="true" applyBorder="true" applyAlignment="true" applyProtection="false">
      <alignment horizontal="center" vertical="bottom" textRotation="0" wrapText="false" indent="0" shrinkToFit="false"/>
      <protection locked="true" hidden="false"/>
    </xf>
    <xf numFmtId="170" fontId="0" fillId="0" borderId="10" xfId="0" applyFont="false" applyBorder="true" applyAlignment="false" applyProtection="false">
      <alignment horizontal="general" vertical="bottom" textRotation="0" wrapText="false" indent="0" shrinkToFit="false"/>
      <protection locked="true" hidden="false"/>
    </xf>
    <xf numFmtId="170" fontId="0" fillId="0" borderId="0" xfId="0" applyFont="false" applyBorder="true" applyAlignment="false" applyProtection="false">
      <alignment horizontal="general" vertical="bottom" textRotation="0" wrapText="false" indent="0" shrinkToFit="false"/>
      <protection locked="true" hidden="false"/>
    </xf>
    <xf numFmtId="170" fontId="6" fillId="0" borderId="10" xfId="0" applyFont="true" applyBorder="true" applyAlignment="false" applyProtection="false">
      <alignment horizontal="general" vertical="bottom" textRotation="0" wrapText="false" indent="0" shrinkToFit="false"/>
      <protection locked="true" hidden="false"/>
    </xf>
    <xf numFmtId="170" fontId="6" fillId="0" borderId="11" xfId="0" applyFont="tru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70" fontId="0" fillId="0" borderId="11" xfId="0" applyFont="fals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0" fillId="0" borderId="13" xfId="0" applyFont="true" applyBorder="true" applyAlignment="false" applyProtection="false">
      <alignment horizontal="general" vertical="bottom" textRotation="0" wrapText="false" indent="0" shrinkToFit="false"/>
      <protection locked="true" hidden="false"/>
    </xf>
    <xf numFmtId="169" fontId="11" fillId="0" borderId="14" xfId="0" applyFont="true" applyBorder="true" applyAlignment="true" applyProtection="false">
      <alignment horizontal="center" vertical="bottom" textRotation="0" wrapText="false" indent="0" shrinkToFit="false"/>
      <protection locked="true" hidden="false"/>
    </xf>
    <xf numFmtId="170" fontId="0" fillId="0" borderId="15" xfId="0" applyFont="false" applyBorder="true" applyAlignment="false" applyProtection="false">
      <alignment horizontal="general" vertical="bottom" textRotation="0" wrapText="false" indent="0" shrinkToFit="false"/>
      <protection locked="true" hidden="false"/>
    </xf>
    <xf numFmtId="170" fontId="0" fillId="0" borderId="13" xfId="0" applyFont="false" applyBorder="true" applyAlignment="false" applyProtection="false">
      <alignment horizontal="general" vertical="bottom" textRotation="0" wrapText="false" indent="0" shrinkToFit="false"/>
      <protection locked="true" hidden="false"/>
    </xf>
    <xf numFmtId="170" fontId="6" fillId="0" borderId="15" xfId="0" applyFont="true" applyBorder="true" applyAlignment="false" applyProtection="false">
      <alignment horizontal="general" vertical="bottom" textRotation="0" wrapText="false" indent="0" shrinkToFit="false"/>
      <protection locked="true" hidden="false"/>
    </xf>
    <xf numFmtId="170" fontId="6" fillId="0" borderId="16" xfId="0" applyFont="tru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64" fontId="0" fillId="0" borderId="24" xfId="0" applyFont="false" applyBorder="true" applyAlignment="false" applyProtection="false">
      <alignment horizontal="general" vertical="bottom" textRotation="0" wrapText="fals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4" fontId="0" fillId="0" borderId="27" xfId="0" applyFont="fals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11" fillId="0" borderId="28" xfId="0" applyFont="true" applyBorder="true" applyAlignment="false" applyProtection="false">
      <alignment horizontal="general" vertical="bottom" textRotation="0" wrapText="false" indent="0" shrinkToFit="false"/>
      <protection locked="true" hidden="false"/>
    </xf>
    <xf numFmtId="164" fontId="11" fillId="0" borderId="22" xfId="0" applyFont="true" applyBorder="true" applyAlignment="false" applyProtection="false">
      <alignment horizontal="general" vertical="bottom" textRotation="0" wrapText="false" indent="0" shrinkToFit="false"/>
      <protection locked="true" hidden="false"/>
    </xf>
    <xf numFmtId="170" fontId="7" fillId="0" borderId="7" xfId="0" applyFont="true" applyBorder="true" applyAlignment="false" applyProtection="false">
      <alignment horizontal="general" vertical="bottom" textRotation="0" wrapText="false" indent="0" shrinkToFit="false"/>
      <protection locked="true" hidden="false"/>
    </xf>
    <xf numFmtId="170" fontId="7" fillId="0" borderId="8" xfId="0" applyFont="true" applyBorder="true" applyAlignment="false" applyProtection="false">
      <alignment horizontal="general" vertical="bottom" textRotation="0" wrapText="false" indent="0" shrinkToFit="false"/>
      <protection locked="true" hidden="false"/>
    </xf>
    <xf numFmtId="167" fontId="12" fillId="0" borderId="10"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7" fontId="12" fillId="0" borderId="11" xfId="0" applyFont="true" applyBorder="true" applyAlignment="false" applyProtection="false">
      <alignment horizontal="general" vertical="bottom" textRotation="0" wrapText="false" indent="0" shrinkToFit="false"/>
      <protection locked="true" hidden="false"/>
    </xf>
    <xf numFmtId="164" fontId="9" fillId="0" borderId="13" xfId="0" applyFont="true" applyBorder="true" applyAlignment="true" applyProtection="false">
      <alignment horizontal="right" vertical="bottom" textRotation="0" wrapText="false" indent="0" shrinkToFit="false"/>
      <protection locked="true" hidden="false"/>
    </xf>
    <xf numFmtId="171" fontId="9" fillId="0" borderId="15" xfId="0" applyFont="true" applyBorder="true" applyAlignment="true" applyProtection="false">
      <alignment horizontal="center" vertical="bottom" textRotation="0" wrapText="false" indent="0" shrinkToFit="false"/>
      <protection locked="true" hidden="false"/>
    </xf>
    <xf numFmtId="164" fontId="13" fillId="0" borderId="13" xfId="0" applyFont="true" applyBorder="true" applyAlignment="false" applyProtection="false">
      <alignment horizontal="general" vertical="bottom" textRotation="0" wrapText="false" indent="0" shrinkToFit="false"/>
      <protection locked="true" hidden="false"/>
    </xf>
    <xf numFmtId="169" fontId="12" fillId="0" borderId="15" xfId="0" applyFont="true" applyBorder="true" applyAlignment="false" applyProtection="false">
      <alignment horizontal="general" vertical="bottom" textRotation="0" wrapText="false" indent="0" shrinkToFit="false"/>
      <protection locked="true" hidden="false"/>
    </xf>
    <xf numFmtId="169" fontId="12" fillId="0" borderId="16" xfId="0" applyFont="true" applyBorder="true" applyAlignment="false" applyProtection="false">
      <alignment horizontal="general" vertical="bottom" textRotation="0" wrapText="false" indent="0" shrinkToFit="false"/>
      <protection locked="true" hidden="false"/>
    </xf>
    <xf numFmtId="171" fontId="9" fillId="0" borderId="29"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9" fontId="12" fillId="0" borderId="10" xfId="0" applyFont="true" applyBorder="true" applyAlignment="false" applyProtection="false">
      <alignment horizontal="general" vertical="bottom" textRotation="0" wrapText="false" indent="0" shrinkToFit="false"/>
      <protection locked="true" hidden="false"/>
    </xf>
    <xf numFmtId="169" fontId="12" fillId="0" borderId="11" xfId="0" applyFont="true" applyBorder="true" applyAlignment="false" applyProtection="false">
      <alignment horizontal="general" vertical="bottom" textRotation="0" wrapText="false" indent="0" shrinkToFit="false"/>
      <protection locked="true" hidden="false"/>
    </xf>
    <xf numFmtId="171" fontId="12" fillId="0" borderId="16" xfId="0" applyFont="true" applyBorder="true" applyAlignment="false" applyProtection="false">
      <alignment horizontal="general" vertical="bottom" textRotation="0" wrapText="false" indent="0" shrinkToFit="false"/>
      <protection locked="true" hidden="false"/>
    </xf>
    <xf numFmtId="171" fontId="12" fillId="0" borderId="15" xfId="0" applyFont="true" applyBorder="true" applyAlignment="false" applyProtection="false">
      <alignment horizontal="general" vertical="bottom" textRotation="0" wrapText="false" indent="0" shrinkToFit="false"/>
      <protection locked="true" hidden="false"/>
    </xf>
    <xf numFmtId="164" fontId="5" fillId="0" borderId="18" xfId="0" applyFont="true" applyBorder="true" applyAlignment="false" applyProtection="false">
      <alignment horizontal="general" vertical="bottom" textRotation="0" wrapText="false" indent="0" shrinkToFit="false"/>
      <protection locked="true" hidden="false"/>
    </xf>
    <xf numFmtId="164" fontId="5" fillId="0" borderId="19" xfId="0" applyFont="true" applyBorder="true" applyAlignment="false" applyProtection="false">
      <alignment horizontal="general" vertical="bottom" textRotation="0" wrapText="false" indent="0" shrinkToFit="false"/>
      <protection locked="true" hidden="false"/>
    </xf>
    <xf numFmtId="164" fontId="0" fillId="0" borderId="30" xfId="0" applyFont="false" applyBorder="tru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top" textRotation="0" wrapText="false" indent="0" shrinkToFit="false"/>
      <protection locked="true" hidden="false"/>
    </xf>
    <xf numFmtId="164" fontId="6" fillId="0" borderId="31" xfId="0" applyFont="true" applyBorder="true" applyAlignment="true" applyProtection="false">
      <alignment horizontal="left" vertical="bottom"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31" xfId="0" applyFont="true" applyBorder="tru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11" fillId="0" borderId="1" xfId="0" applyFont="true" applyBorder="true" applyAlignment="true" applyProtection="false">
      <alignment horizontal="center" vertical="bottom" textRotation="0" wrapText="false" indent="0" shrinkToFit="false"/>
      <protection locked="true" hidden="false"/>
    </xf>
    <xf numFmtId="17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right" vertical="bottom" textRotation="0" wrapText="false" indent="0" shrinkToFit="false"/>
      <protection locked="true" hidden="false"/>
    </xf>
    <xf numFmtId="170" fontId="11" fillId="0" borderId="28" xfId="0" applyFont="true" applyBorder="true" applyAlignment="false" applyProtection="false">
      <alignment horizontal="general" vertical="bottom" textRotation="0" wrapText="false" indent="0" shrinkToFit="false"/>
      <protection locked="true" hidden="false"/>
    </xf>
    <xf numFmtId="164" fontId="0" fillId="0" borderId="32" xfId="0" applyFont="false" applyBorder="true" applyAlignment="false" applyProtection="false">
      <alignment horizontal="general" vertical="bottom" textRotation="0" wrapText="false" indent="0" shrinkToFit="false"/>
      <protection locked="true" hidden="false"/>
    </xf>
    <xf numFmtId="171" fontId="11" fillId="0" borderId="22" xfId="0" applyFont="true" applyBorder="true" applyAlignment="false" applyProtection="false">
      <alignment horizontal="general" vertical="bottom" textRotation="0" wrapText="false" indent="0" shrinkToFit="false"/>
      <protection locked="true" hidden="false"/>
    </xf>
    <xf numFmtId="164" fontId="11" fillId="0" borderId="32" xfId="0" applyFont="true" applyBorder="true" applyAlignment="false" applyProtection="false">
      <alignment horizontal="general" vertical="bottom" textRotation="0" wrapText="false" indent="0" shrinkToFit="false"/>
      <protection locked="true" hidden="false"/>
    </xf>
    <xf numFmtId="171" fontId="11" fillId="0" borderId="33" xfId="0" applyFont="true" applyBorder="true" applyAlignment="false" applyProtection="false">
      <alignment horizontal="general" vertical="bottom" textRotation="0" wrapText="false" indent="0" shrinkToFit="false"/>
      <protection locked="true" hidden="false"/>
    </xf>
    <xf numFmtId="164" fontId="11" fillId="2" borderId="12" xfId="0" applyFont="true" applyBorder="true" applyAlignment="false" applyProtection="false">
      <alignment horizontal="general" vertical="bottom" textRotation="0" wrapText="false" indent="0" shrinkToFit="false"/>
      <protection locked="true" hidden="false"/>
    </xf>
    <xf numFmtId="164" fontId="0" fillId="2" borderId="13" xfId="0" applyFont="false" applyBorder="true" applyAlignment="false" applyProtection="false">
      <alignment horizontal="general" vertical="bottom" textRotation="0" wrapText="false" indent="0" shrinkToFit="false"/>
      <protection locked="true" hidden="false"/>
    </xf>
    <xf numFmtId="164" fontId="0" fillId="2" borderId="34" xfId="0" applyFont="false" applyBorder="true" applyAlignment="false" applyProtection="false">
      <alignment horizontal="general" vertical="bottom" textRotation="0" wrapText="false" indent="0" shrinkToFit="false"/>
      <protection locked="true" hidden="false"/>
    </xf>
    <xf numFmtId="170" fontId="11" fillId="2" borderId="12" xfId="0" applyFont="true" applyBorder="true" applyAlignment="false" applyProtection="false">
      <alignment horizontal="general" vertical="bottom" textRotation="0" wrapText="false" indent="0" shrinkToFit="false"/>
      <protection locked="true" hidden="false"/>
    </xf>
    <xf numFmtId="164" fontId="11" fillId="2" borderId="35" xfId="0" applyFont="true" applyBorder="true" applyAlignment="false" applyProtection="false">
      <alignment horizontal="general" vertical="bottom" textRotation="0" wrapText="false" indent="0" shrinkToFit="false"/>
      <protection locked="true" hidden="false"/>
    </xf>
    <xf numFmtId="171" fontId="11" fillId="2" borderId="13" xfId="0" applyFont="true" applyBorder="true" applyAlignment="false" applyProtection="false">
      <alignment horizontal="general" vertical="bottom" textRotation="0" wrapText="false" indent="0" shrinkToFit="false"/>
      <protection locked="true" hidden="false"/>
    </xf>
    <xf numFmtId="171" fontId="11" fillId="2" borderId="34" xfId="0" applyFont="true" applyBorder="true" applyAlignment="false" applyProtection="false">
      <alignment horizontal="general" vertical="bottom" textRotation="0" wrapText="false" indent="0" shrinkToFit="false"/>
      <protection locked="true" hidden="false"/>
    </xf>
    <xf numFmtId="164" fontId="11" fillId="2" borderId="36" xfId="0" applyFont="true" applyBorder="true" applyAlignment="false" applyProtection="false">
      <alignment horizontal="general" vertical="bottom" textRotation="0" wrapText="false" indent="0" shrinkToFit="false"/>
      <protection locked="true" hidden="false"/>
    </xf>
    <xf numFmtId="164" fontId="0" fillId="2" borderId="1" xfId="0" applyFont="false" applyBorder="true" applyAlignment="false" applyProtection="false">
      <alignment horizontal="general" vertical="bottom" textRotation="0" wrapText="false" indent="0" shrinkToFit="false"/>
      <protection locked="true" hidden="false"/>
    </xf>
    <xf numFmtId="164" fontId="0" fillId="2" borderId="37" xfId="0" applyFont="false" applyBorder="true" applyAlignment="false" applyProtection="false">
      <alignment horizontal="general" vertical="bottom" textRotation="0" wrapText="false" indent="0" shrinkToFit="false"/>
      <protection locked="true" hidden="false"/>
    </xf>
    <xf numFmtId="170" fontId="11" fillId="2" borderId="36" xfId="0" applyFont="true" applyBorder="true" applyAlignment="false" applyProtection="false">
      <alignment horizontal="general" vertical="bottom" textRotation="0" wrapText="false" indent="0" shrinkToFit="false"/>
      <protection locked="true" hidden="false"/>
    </xf>
    <xf numFmtId="164" fontId="11" fillId="2" borderId="38" xfId="0" applyFont="true" applyBorder="true" applyAlignment="false" applyProtection="false">
      <alignment horizontal="general" vertical="bottom" textRotation="0" wrapText="false" indent="0" shrinkToFit="false"/>
      <protection locked="true" hidden="false"/>
    </xf>
    <xf numFmtId="171" fontId="11" fillId="2" borderId="1" xfId="0" applyFont="true" applyBorder="true" applyAlignment="false" applyProtection="false">
      <alignment horizontal="general" vertical="bottom" textRotation="0" wrapText="false" indent="0" shrinkToFit="false"/>
      <protection locked="true" hidden="false"/>
    </xf>
    <xf numFmtId="171" fontId="11" fillId="2" borderId="37" xfId="0" applyFont="true" applyBorder="true" applyAlignment="false" applyProtection="false">
      <alignment horizontal="general" vertical="bottom" textRotation="0" wrapText="false" indent="0" shrinkToFit="false"/>
      <protection locked="true" hidden="false"/>
    </xf>
    <xf numFmtId="164" fontId="11" fillId="0" borderId="17" xfId="0" applyFont="true" applyBorder="true" applyAlignment="false" applyProtection="false">
      <alignment horizontal="general" vertical="bottom" textRotation="0" wrapText="false" indent="0" shrinkToFit="false"/>
      <protection locked="true" hidden="false"/>
    </xf>
    <xf numFmtId="170" fontId="11" fillId="0" borderId="17" xfId="0" applyFont="true" applyBorder="true" applyAlignment="false" applyProtection="false">
      <alignment horizontal="general" vertical="bottom" textRotation="0" wrapText="false" indent="0" shrinkToFit="false"/>
      <protection locked="true" hidden="false"/>
    </xf>
    <xf numFmtId="164" fontId="0" fillId="0" borderId="39" xfId="0" applyFont="false" applyBorder="true" applyAlignment="false" applyProtection="false">
      <alignment horizontal="general" vertical="bottom" textRotation="0" wrapText="false" indent="0" shrinkToFit="false"/>
      <protection locked="true" hidden="false"/>
    </xf>
    <xf numFmtId="171" fontId="11" fillId="0" borderId="18" xfId="0" applyFont="true" applyBorder="true" applyAlignment="false" applyProtection="false">
      <alignment horizontal="general" vertical="bottom" textRotation="0" wrapText="false" indent="0" shrinkToFit="false"/>
      <protection locked="true" hidden="false"/>
    </xf>
    <xf numFmtId="164" fontId="11" fillId="0" borderId="39" xfId="0" applyFont="true" applyBorder="true" applyAlignment="false" applyProtection="false">
      <alignment horizontal="general" vertical="bottom" textRotation="0" wrapText="false" indent="0" shrinkToFit="false"/>
      <protection locked="true" hidden="false"/>
    </xf>
    <xf numFmtId="171" fontId="11" fillId="0" borderId="21"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9" fontId="11"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8" fillId="0" borderId="9" xfId="0" applyFont="true" applyBorder="true" applyAlignment="true" applyProtection="false">
      <alignment horizontal="general" vertical="top" textRotation="0" wrapText="true" indent="0" shrinkToFit="false"/>
      <protection locked="true" hidden="false"/>
    </xf>
    <xf numFmtId="164" fontId="6" fillId="0" borderId="31" xfId="0" applyFont="true" applyBorder="true" applyAlignment="true" applyProtection="false">
      <alignment horizontal="general" vertical="top" textRotation="0" wrapText="true" indent="0" shrinkToFit="false"/>
      <protection locked="true" hidden="false"/>
    </xf>
    <xf numFmtId="164" fontId="7" fillId="0" borderId="31" xfId="0" applyFont="true" applyBorder="true" applyAlignment="true" applyProtection="false">
      <alignment horizontal="center" vertical="bottom" textRotation="0" wrapText="tru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11" fillId="0" borderId="24" xfId="0" applyFont="true" applyBorder="true" applyAlignment="true" applyProtection="false">
      <alignment horizontal="center" vertical="bottom" textRotation="0" wrapText="false" indent="0" shrinkToFit="false"/>
      <protection locked="true" hidden="false"/>
    </xf>
    <xf numFmtId="175" fontId="0" fillId="0" borderId="0" xfId="0" applyFont="false" applyBorder="false" applyAlignment="true" applyProtection="false">
      <alignment horizontal="center"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65" fontId="0" fillId="0" borderId="0" xfId="0" applyFont="false" applyBorder="false" applyAlignment="true" applyProtection="false">
      <alignment horizontal="general" vertical="top" textRotation="0" wrapText="false" indent="0" shrinkToFit="false"/>
      <protection locked="true" hidden="false"/>
    </xf>
    <xf numFmtId="169" fontId="0" fillId="0" borderId="0" xfId="0" applyFont="false" applyBorder="true" applyAlignment="true" applyProtection="false">
      <alignment horizontal="general" vertical="top" textRotation="0" wrapText="false" indent="0" shrinkToFit="false"/>
      <protection locked="true" hidden="false"/>
    </xf>
    <xf numFmtId="169" fontId="0" fillId="0" borderId="0" xfId="0" applyFont="true" applyBorder="true" applyAlignment="true" applyProtection="false">
      <alignment horizontal="center" vertical="top" textRotation="0" wrapText="false" indent="0" shrinkToFit="false"/>
      <protection locked="true" hidden="false"/>
    </xf>
    <xf numFmtId="175"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true" applyAlignment="false" applyProtection="false">
      <alignment horizontal="general" vertical="bottom" textRotation="0" wrapText="false" indent="0" shrinkToFit="false"/>
      <protection locked="true" hidden="false"/>
    </xf>
    <xf numFmtId="169"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75" fontId="0" fillId="0" borderId="0" xfId="0" applyFont="false" applyBorder="false" applyAlignment="false" applyProtection="false">
      <alignment horizontal="general" vertical="bottom" textRotation="0" wrapText="false" indent="0" shrinkToFit="false"/>
      <protection locked="true" hidden="false"/>
    </xf>
    <xf numFmtId="165" fontId="11" fillId="0" borderId="22" xfId="0" applyFont="true" applyBorder="true" applyAlignment="false" applyProtection="false">
      <alignment horizontal="general" vertical="bottom" textRotation="0" wrapText="false" indent="0" shrinkToFit="false"/>
      <protection locked="true" hidden="false"/>
    </xf>
    <xf numFmtId="169" fontId="11" fillId="0" borderId="32" xfId="0" applyFont="true" applyBorder="true" applyAlignment="false" applyProtection="false">
      <alignment horizontal="general" vertical="bottom" textRotation="0" wrapText="false" indent="0" shrinkToFit="false"/>
      <protection locked="true" hidden="false"/>
    </xf>
    <xf numFmtId="169" fontId="11" fillId="0" borderId="22" xfId="0" applyFont="true" applyBorder="true" applyAlignment="false" applyProtection="false">
      <alignment horizontal="general" vertical="bottom" textRotation="0" wrapText="false" indent="0" shrinkToFit="false"/>
      <protection locked="true" hidden="false"/>
    </xf>
    <xf numFmtId="169" fontId="11" fillId="0" borderId="33" xfId="0" applyFont="true" applyBorder="true" applyAlignment="false" applyProtection="false">
      <alignment horizontal="general" vertical="bottom" textRotation="0" wrapText="false" indent="0" shrinkToFit="false"/>
      <protection locked="true" hidden="false"/>
    </xf>
    <xf numFmtId="165" fontId="11" fillId="2" borderId="13" xfId="0" applyFont="true" applyBorder="true" applyAlignment="false" applyProtection="false">
      <alignment horizontal="general" vertical="bottom" textRotation="0" wrapText="false" indent="0" shrinkToFit="false"/>
      <protection locked="true" hidden="false"/>
    </xf>
    <xf numFmtId="169" fontId="11" fillId="2" borderId="35" xfId="0" applyFont="true" applyBorder="true" applyAlignment="false" applyProtection="false">
      <alignment horizontal="general" vertical="bottom" textRotation="0" wrapText="false" indent="0" shrinkToFit="false"/>
      <protection locked="true" hidden="false"/>
    </xf>
    <xf numFmtId="169" fontId="11" fillId="2" borderId="13" xfId="0" applyFont="true" applyBorder="true" applyAlignment="false" applyProtection="false">
      <alignment horizontal="general" vertical="bottom" textRotation="0" wrapText="false" indent="0" shrinkToFit="false"/>
      <protection locked="true" hidden="false"/>
    </xf>
    <xf numFmtId="169" fontId="11" fillId="2" borderId="34" xfId="0" applyFont="true" applyBorder="true" applyAlignment="false" applyProtection="false">
      <alignment horizontal="general" vertical="bottom" textRotation="0" wrapText="false" indent="0" shrinkToFit="false"/>
      <protection locked="true" hidden="false"/>
    </xf>
    <xf numFmtId="165" fontId="11" fillId="2" borderId="1" xfId="0" applyFont="true" applyBorder="true" applyAlignment="false" applyProtection="false">
      <alignment horizontal="general" vertical="bottom" textRotation="0" wrapText="false" indent="0" shrinkToFit="false"/>
      <protection locked="true" hidden="false"/>
    </xf>
    <xf numFmtId="169" fontId="11" fillId="2" borderId="38" xfId="0" applyFont="true" applyBorder="true" applyAlignment="false" applyProtection="false">
      <alignment horizontal="general" vertical="bottom" textRotation="0" wrapText="false" indent="0" shrinkToFit="false"/>
      <protection locked="true" hidden="false"/>
    </xf>
    <xf numFmtId="169" fontId="11" fillId="2" borderId="1" xfId="0" applyFont="true" applyBorder="true" applyAlignment="false" applyProtection="false">
      <alignment horizontal="general" vertical="bottom" textRotation="0" wrapText="false" indent="0" shrinkToFit="false"/>
      <protection locked="true" hidden="false"/>
    </xf>
    <xf numFmtId="169" fontId="11" fillId="2" borderId="37" xfId="0" applyFont="true" applyBorder="true" applyAlignment="false" applyProtection="false">
      <alignment horizontal="general" vertical="bottom" textRotation="0" wrapText="false" indent="0" shrinkToFit="false"/>
      <protection locked="true" hidden="false"/>
    </xf>
    <xf numFmtId="165" fontId="11" fillId="0" borderId="18" xfId="0" applyFont="true" applyBorder="true" applyAlignment="false" applyProtection="false">
      <alignment horizontal="general" vertical="bottom" textRotation="0" wrapText="false" indent="0" shrinkToFit="false"/>
      <protection locked="true" hidden="false"/>
    </xf>
    <xf numFmtId="169" fontId="11" fillId="0" borderId="39" xfId="0" applyFont="true" applyBorder="true" applyAlignment="false" applyProtection="false">
      <alignment horizontal="general" vertical="bottom" textRotation="0" wrapText="false" indent="0" shrinkToFit="false"/>
      <protection locked="true" hidden="false"/>
    </xf>
    <xf numFmtId="169" fontId="11" fillId="0" borderId="18" xfId="0" applyFont="true" applyBorder="true" applyAlignment="false" applyProtection="false">
      <alignment horizontal="general" vertical="bottom" textRotation="0" wrapText="false" indent="0" shrinkToFit="false"/>
      <protection locked="true" hidden="false"/>
    </xf>
    <xf numFmtId="169" fontId="11" fillId="0" borderId="21"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22" fillId="0" borderId="9"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31"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71" fontId="7" fillId="0" borderId="1"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right" vertical="bottom" textRotation="0" wrapText="false" indent="0" shrinkToFit="false"/>
      <protection locked="true" hidden="false"/>
    </xf>
    <xf numFmtId="166" fontId="9" fillId="0" borderId="0" xfId="0" applyFont="true" applyBorder="false" applyAlignment="false" applyProtection="false">
      <alignment horizontal="general" vertical="bottom" textRotation="0" wrapText="false" indent="0" shrinkToFit="false"/>
      <protection locked="true" hidden="false"/>
    </xf>
    <xf numFmtId="168" fontId="6" fillId="0" borderId="0" xfId="0" applyFont="true" applyBorder="false" applyAlignment="false" applyProtection="false">
      <alignment horizontal="general" vertical="bottom" textRotation="0" wrapText="false" indent="0" shrinkToFit="false"/>
      <protection locked="true" hidden="false"/>
    </xf>
    <xf numFmtId="176" fontId="6" fillId="0" borderId="0" xfId="0" applyFont="true" applyBorder="false" applyAlignment="false" applyProtection="false">
      <alignment horizontal="general" vertical="bottom" textRotation="0" wrapText="false" indent="0" shrinkToFit="false"/>
      <protection locked="true" hidden="false"/>
    </xf>
    <xf numFmtId="164" fontId="13" fillId="0" borderId="1" xfId="0" applyFont="true" applyBorder="true" applyAlignment="true" applyProtection="false">
      <alignment horizontal="center" vertical="bottom" textRotation="0" wrapText="false" indent="0" shrinkToFit="false"/>
      <protection locked="true" hidden="false"/>
    </xf>
    <xf numFmtId="177" fontId="13" fillId="0" borderId="0" xfId="0" applyFont="true" applyBorder="true" applyAlignment="true" applyProtection="false">
      <alignment horizontal="center" vertical="bottom" textRotation="0" wrapText="false" indent="0" shrinkToFit="false"/>
      <protection locked="true" hidden="false"/>
    </xf>
    <xf numFmtId="171" fontId="9" fillId="0" borderId="0" xfId="0" applyFont="true" applyBorder="false" applyAlignment="false" applyProtection="false">
      <alignment horizontal="general" vertical="bottom" textRotation="0" wrapText="false" indent="0" shrinkToFit="false"/>
      <protection locked="true" hidden="false"/>
    </xf>
    <xf numFmtId="164" fontId="0" fillId="0" borderId="35" xfId="0" applyFont="false" applyBorder="true" applyAlignment="false" applyProtection="false">
      <alignment horizontal="general" vertical="bottom" textRotation="0" wrapText="false" indent="0" shrinkToFit="false"/>
      <protection locked="true" hidden="false"/>
    </xf>
    <xf numFmtId="164" fontId="11" fillId="0" borderId="35" xfId="0" applyFont="true" applyBorder="true" applyAlignment="true" applyProtection="false">
      <alignment horizontal="center" vertical="bottom" textRotation="0" wrapText="false" indent="0" shrinkToFit="false"/>
      <protection locked="true" hidden="false"/>
    </xf>
    <xf numFmtId="164" fontId="11" fillId="0" borderId="25" xfId="0" applyFont="true" applyBorder="true" applyAlignment="true" applyProtection="false">
      <alignment horizontal="center" vertical="bottom" textRotation="0" wrapText="false" indent="0" shrinkToFit="false"/>
      <protection locked="true" hidden="false"/>
    </xf>
    <xf numFmtId="164" fontId="11" fillId="0" borderId="40" xfId="0" applyFont="true" applyBorder="true" applyAlignment="true" applyProtection="false">
      <alignment horizontal="center" vertical="bottom" textRotation="0" wrapText="false" indent="0" shrinkToFit="false"/>
      <protection locked="true" hidden="false"/>
    </xf>
    <xf numFmtId="164" fontId="0" fillId="0" borderId="38" xfId="0" applyFont="false" applyBorder="true" applyAlignment="false" applyProtection="false">
      <alignment horizontal="general" vertical="bottom" textRotation="0" wrapText="false" indent="0" shrinkToFit="false"/>
      <protection locked="true" hidden="false"/>
    </xf>
    <xf numFmtId="164" fontId="11" fillId="0" borderId="38" xfId="0" applyFont="true" applyBorder="true" applyAlignment="true" applyProtection="false">
      <alignment horizontal="center" vertical="bottom" textRotation="0" wrapText="false" indent="0" shrinkToFit="false"/>
      <protection locked="true" hidden="false"/>
    </xf>
    <xf numFmtId="164" fontId="11" fillId="0" borderId="38"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78" fontId="0" fillId="0" borderId="0" xfId="0" applyFont="false" applyBorder="true" applyAlignment="false" applyProtection="false">
      <alignment horizontal="general" vertical="bottom" textRotation="0" wrapText="false" indent="0" shrinkToFit="false"/>
      <protection locked="true" hidden="false"/>
    </xf>
    <xf numFmtId="168" fontId="0" fillId="0" borderId="0" xfId="0" applyFont="false" applyBorder="true" applyAlignment="true" applyProtection="false">
      <alignment horizontal="center"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9" fontId="0" fillId="0" borderId="41" xfId="0" applyFont="false" applyBorder="true" applyAlignment="true" applyProtection="false">
      <alignment horizontal="center" vertical="bottom" textRotation="0" wrapText="false" indent="0" shrinkToFit="false"/>
      <protection locked="true" hidden="false"/>
    </xf>
    <xf numFmtId="169" fontId="0" fillId="0" borderId="41" xfId="0" applyFont="fals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true" applyProtection="false">
      <alignment horizontal="center" vertical="bottom" textRotation="0" wrapText="false" indent="0" shrinkToFit="false"/>
      <protection locked="true" hidden="false"/>
    </xf>
    <xf numFmtId="178" fontId="0" fillId="0" borderId="18" xfId="0" applyFont="false" applyBorder="true" applyAlignment="false" applyProtection="false">
      <alignment horizontal="general" vertical="bottom" textRotation="0" wrapText="false" indent="0" shrinkToFit="false"/>
      <protection locked="true" hidden="false"/>
    </xf>
    <xf numFmtId="168" fontId="0" fillId="0" borderId="18" xfId="0" applyFont="false" applyBorder="true" applyAlignment="true" applyProtection="false">
      <alignment horizontal="center" vertical="bottom" textRotation="0" wrapText="false" indent="0" shrinkToFit="false"/>
      <protection locked="true" hidden="false"/>
    </xf>
    <xf numFmtId="165" fontId="0" fillId="0" borderId="18" xfId="0" applyFont="false" applyBorder="true" applyAlignment="false" applyProtection="false">
      <alignment horizontal="general" vertical="bottom" textRotation="0" wrapText="false" indent="0" shrinkToFit="false"/>
      <protection locked="true" hidden="false"/>
    </xf>
    <xf numFmtId="169" fontId="0" fillId="0" borderId="18" xfId="0" applyFont="false" applyBorder="true" applyAlignment="false" applyProtection="false">
      <alignment horizontal="general" vertical="bottom" textRotation="0" wrapText="false" indent="0" shrinkToFit="false"/>
      <protection locked="true" hidden="false"/>
    </xf>
    <xf numFmtId="169" fontId="0" fillId="0" borderId="21"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78" fontId="0" fillId="0" borderId="3" xfId="0" applyFont="false" applyBorder="true" applyAlignment="false" applyProtection="false">
      <alignment horizontal="general" vertical="bottom" textRotation="0" wrapText="false" indent="0" shrinkToFit="false"/>
      <protection locked="true" hidden="false"/>
    </xf>
    <xf numFmtId="168" fontId="0" fillId="0" borderId="3" xfId="0" applyFont="false" applyBorder="true" applyAlignment="true" applyProtection="false">
      <alignment horizontal="center" vertical="bottom" textRotation="0" wrapText="false" indent="0" shrinkToFit="false"/>
      <protection locked="true" hidden="false"/>
    </xf>
    <xf numFmtId="165" fontId="0" fillId="0" borderId="3" xfId="0" applyFont="false" applyBorder="true" applyAlignment="false" applyProtection="false">
      <alignment horizontal="general" vertical="bottom" textRotation="0" wrapText="false" indent="0" shrinkToFit="false"/>
      <protection locked="true" hidden="false"/>
    </xf>
    <xf numFmtId="177" fontId="0" fillId="0" borderId="3" xfId="0" applyFont="false" applyBorder="true" applyAlignment="true" applyProtection="false">
      <alignment horizontal="center" vertical="bottom" textRotation="0" wrapText="false" indent="0" shrinkToFit="false"/>
      <protection locked="true" hidden="false"/>
    </xf>
    <xf numFmtId="169" fontId="0" fillId="0" borderId="3" xfId="0" applyFont="false" applyBorder="true" applyAlignment="true" applyProtection="false">
      <alignment horizontal="center" vertical="bottom" textRotation="0" wrapText="false" indent="0" shrinkToFit="false"/>
      <protection locked="true" hidden="false"/>
    </xf>
    <xf numFmtId="169" fontId="0" fillId="0" borderId="4" xfId="0" applyFont="false" applyBorder="true" applyAlignment="true" applyProtection="false">
      <alignment horizontal="center" vertical="bottom" textRotation="0" wrapText="false" indent="0" shrinkToFit="false"/>
      <protection locked="true" hidden="false"/>
    </xf>
    <xf numFmtId="164" fontId="23" fillId="2" borderId="3" xfId="0" applyFont="true" applyBorder="true" applyAlignment="false" applyProtection="false">
      <alignment horizontal="general" vertical="bottom" textRotation="0" wrapText="false" indent="0" shrinkToFit="false"/>
      <protection locked="true" hidden="false"/>
    </xf>
    <xf numFmtId="164" fontId="23" fillId="2" borderId="3"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false" applyProtection="false">
      <alignment horizontal="general" vertical="bottom" textRotation="0" wrapText="false" indent="0" shrinkToFit="false"/>
      <protection locked="true" hidden="false"/>
    </xf>
    <xf numFmtId="169" fontId="0" fillId="0" borderId="18" xfId="0" applyFont="false" applyBorder="true" applyAlignment="true" applyProtection="false">
      <alignment horizontal="center" vertical="bottom" textRotation="0" wrapText="false" indent="0" shrinkToFit="false"/>
      <protection locked="true" hidden="false"/>
    </xf>
    <xf numFmtId="169" fontId="0" fillId="0" borderId="21" xfId="0" applyFont="fals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77" fontId="11" fillId="0" borderId="3" xfId="0" applyFont="true" applyBorder="true" applyAlignment="true" applyProtection="false">
      <alignment horizontal="center" vertical="bottom" textRotation="0" wrapText="false" indent="0" shrinkToFit="false"/>
      <protection locked="true" hidden="false"/>
    </xf>
    <xf numFmtId="169" fontId="11" fillId="0" borderId="3" xfId="0" applyFont="true" applyBorder="true" applyAlignment="true" applyProtection="false">
      <alignment horizontal="center" vertical="bottom" textRotation="0" wrapText="false" indent="0" shrinkToFit="false"/>
      <protection locked="true" hidden="false"/>
    </xf>
    <xf numFmtId="169" fontId="11" fillId="0" borderId="4" xfId="0" applyFont="true" applyBorder="true" applyAlignment="true" applyProtection="false">
      <alignment horizontal="center" vertical="bottom" textRotation="0" wrapText="false" indent="0" shrinkToFit="false"/>
      <protection locked="true" hidden="false"/>
    </xf>
    <xf numFmtId="177" fontId="11" fillId="0" borderId="0" xfId="0" applyFont="true" applyBorder="true" applyAlignment="true" applyProtection="false">
      <alignment horizontal="center" vertical="bottom" textRotation="0" wrapText="false" indent="0" shrinkToFit="false"/>
      <protection locked="true" hidden="false"/>
    </xf>
    <xf numFmtId="169" fontId="11" fillId="0" borderId="0" xfId="0" applyFont="true" applyBorder="true" applyAlignment="true" applyProtection="false">
      <alignment horizontal="center" vertical="bottom" textRotation="0" wrapText="false" indent="0" shrinkToFit="false"/>
      <protection locked="true" hidden="false"/>
    </xf>
    <xf numFmtId="168" fontId="0" fillId="0" borderId="0" xfId="0" applyFont="false" applyBorder="true" applyAlignment="false" applyProtection="false">
      <alignment horizontal="general" vertical="bottom" textRotation="0" wrapText="false" indent="0" shrinkToFit="false"/>
      <protection locked="true" hidden="false"/>
    </xf>
    <xf numFmtId="179" fontId="0" fillId="0" borderId="0" xfId="0" applyFont="false" applyBorder="true" applyAlignment="false" applyProtection="false">
      <alignment horizontal="general" vertical="bottom" textRotation="0" wrapText="false" indent="0" shrinkToFit="false"/>
      <protection locked="true" hidden="false"/>
    </xf>
    <xf numFmtId="164" fontId="11" fillId="0" borderId="42" xfId="0" applyFont="true" applyBorder="true" applyAlignment="true" applyProtection="false">
      <alignment horizontal="center" vertical="bottom" textRotation="0" wrapText="false" indent="0" shrinkToFit="false"/>
      <protection locked="true" hidden="false"/>
    </xf>
    <xf numFmtId="164" fontId="7" fillId="2" borderId="2"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true" applyProtection="false">
      <alignment horizontal="center" vertical="bottom" textRotation="0" wrapText="false" indent="0" shrinkToFit="false"/>
      <protection locked="true" hidden="false"/>
    </xf>
    <xf numFmtId="164" fontId="35" fillId="0" borderId="0" xfId="0" applyFont="true" applyBorder="true" applyAlignment="true" applyProtection="false">
      <alignment horizontal="center" vertical="bottom" textRotation="0" wrapText="false" indent="0" shrinkToFit="false"/>
      <protection locked="true" hidden="false"/>
    </xf>
    <xf numFmtId="164" fontId="35" fillId="0" borderId="0" xfId="0" applyFont="true" applyBorder="false" applyAlignment="true" applyProtection="false">
      <alignment horizontal="justify" vertical="bottom" textRotation="0" wrapText="false" indent="0" shrinkToFit="false"/>
      <protection locked="true" hidden="false"/>
    </xf>
    <xf numFmtId="164" fontId="35"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justify" vertical="bottom" textRotation="0" wrapText="false" indent="0" shrinkToFit="false"/>
      <protection locked="true" hidden="false"/>
    </xf>
    <xf numFmtId="180" fontId="6" fillId="0" borderId="0" xfId="0" applyFont="true" applyBorder="false" applyAlignment="true" applyProtection="false">
      <alignment horizontal="right" vertical="bottom" textRotation="0" wrapText="false" indent="0" shrinkToFit="false"/>
      <protection locked="true" hidden="false"/>
    </xf>
    <xf numFmtId="180" fontId="6" fillId="0" borderId="0" xfId="0" applyFont="true" applyBorder="false" applyAlignment="true" applyProtection="false">
      <alignment horizontal="justify" vertical="bottom" textRotation="0" wrapText="false" indent="0" shrinkToFit="false"/>
      <protection locked="true" hidden="false"/>
    </xf>
    <xf numFmtId="180" fontId="36" fillId="0" borderId="0" xfId="0" applyFont="true" applyBorder="false" applyAlignment="true" applyProtection="false">
      <alignment horizontal="right" vertical="bottom" textRotation="0" wrapText="false" indent="0" shrinkToFit="false"/>
      <protection locked="true" hidden="false"/>
    </xf>
    <xf numFmtId="180" fontId="36" fillId="0" borderId="0" xfId="0" applyFont="true" applyBorder="false" applyAlignment="true" applyProtection="false">
      <alignment horizontal="justify" vertical="bottom" textRotation="0" wrapText="false" indent="0" shrinkToFit="false"/>
      <protection locked="true" hidden="false"/>
    </xf>
    <xf numFmtId="164" fontId="7" fillId="0" borderId="0" xfId="0" applyFont="true" applyBorder="false" applyAlignment="true" applyProtection="false">
      <alignment horizontal="justify" vertical="bottom" textRotation="0" wrapText="false" indent="0" shrinkToFit="false"/>
      <protection locked="true" hidden="false"/>
    </xf>
    <xf numFmtId="180" fontId="7" fillId="0" borderId="0" xfId="0" applyFont="true" applyBorder="false" applyAlignment="true" applyProtection="false">
      <alignment horizontal="right" vertical="bottom" textRotation="0" wrapText="false" indent="0" shrinkToFit="false"/>
      <protection locked="true" hidden="false"/>
    </xf>
    <xf numFmtId="177" fontId="6" fillId="0" borderId="0" xfId="0" applyFont="true" applyBorder="false" applyAlignment="true" applyProtection="false">
      <alignment horizontal="center" vertical="bottom" textRotation="0" wrapText="false" indent="0" shrinkToFit="false"/>
      <protection locked="true" hidden="false"/>
    </xf>
    <xf numFmtId="181" fontId="6" fillId="0" borderId="0" xfId="0" applyFont="true" applyBorder="false" applyAlignment="true" applyProtection="false">
      <alignment horizontal="justify" vertical="bottom" textRotation="0" wrapText="false" indent="0" shrinkToFit="false"/>
      <protection locked="true" hidden="false"/>
    </xf>
    <xf numFmtId="180" fontId="7" fillId="0" borderId="0" xfId="0" applyFont="true" applyBorder="false" applyAlignment="true" applyProtection="false">
      <alignment horizontal="justify" vertical="bottom" textRotation="0" wrapText="false" indent="0" shrinkToFit="false"/>
      <protection locked="true" hidden="false"/>
    </xf>
    <xf numFmtId="182" fontId="6" fillId="0" borderId="0" xfId="0" applyFont="true" applyBorder="false" applyAlignment="true" applyProtection="false">
      <alignment horizontal="right" vertical="bottom" textRotation="0" wrapText="false" indent="0" shrinkToFit="false"/>
      <protection locked="true" hidden="false"/>
    </xf>
    <xf numFmtId="166" fontId="6" fillId="0" borderId="0" xfId="0" applyFont="true" applyBorder="false" applyAlignment="true" applyProtection="false">
      <alignment horizontal="right" vertical="bottom" textRotation="0" wrapText="false" indent="0" shrinkToFit="false"/>
      <protection locked="true" hidden="false"/>
    </xf>
    <xf numFmtId="182" fontId="7" fillId="0" borderId="0" xfId="0" applyFont="true" applyBorder="false" applyAlignment="true" applyProtection="false">
      <alignment horizontal="right" vertical="bottom" textRotation="0" wrapText="false" indent="0" shrinkToFit="false"/>
      <protection locked="true" hidden="false"/>
    </xf>
    <xf numFmtId="183" fontId="6" fillId="0" borderId="0" xfId="0" applyFont="true" applyBorder="false" applyAlignment="true" applyProtection="false">
      <alignment horizontal="justify" vertical="bottom" textRotation="0" wrapText="false" indent="0" shrinkToFit="false"/>
      <protection locked="true" hidden="false"/>
    </xf>
    <xf numFmtId="182" fontId="36" fillId="0" borderId="0" xfId="0" applyFont="true" applyBorder="false" applyAlignment="true" applyProtection="false">
      <alignment horizontal="right" vertical="bottom" textRotation="0" wrapText="false" indent="0" shrinkToFit="false"/>
      <protection locked="true" hidden="false"/>
    </xf>
    <xf numFmtId="166" fontId="36" fillId="0" borderId="0" xfId="0" applyFont="true" applyBorder="false" applyAlignment="true" applyProtection="false">
      <alignment horizontal="right" vertical="bottom" textRotation="0" wrapText="false" indent="0" shrinkToFit="false"/>
      <protection locked="true" hidden="false"/>
    </xf>
    <xf numFmtId="183" fontId="36" fillId="0" borderId="0" xfId="0" applyFont="true" applyBorder="false" applyAlignment="true" applyProtection="false">
      <alignment horizontal="justify" vertical="bottom" textRotation="0" wrapText="false" indent="0" shrinkToFit="false"/>
      <protection locked="true" hidden="false"/>
    </xf>
    <xf numFmtId="166" fontId="7" fillId="0" borderId="0" xfId="0" applyFont="true" applyBorder="false" applyAlignment="true" applyProtection="false">
      <alignment horizontal="right" vertical="bottom" textRotation="0" wrapText="false" indent="0" shrinkToFit="false"/>
      <protection locked="true" hidden="false"/>
    </xf>
    <xf numFmtId="183" fontId="7" fillId="0" borderId="0" xfId="0" applyFont="true" applyBorder="false" applyAlignment="true" applyProtection="false">
      <alignment horizontal="justify" vertical="bottom" textRotation="0" wrapText="false" indent="0" shrinkToFit="false"/>
      <protection locked="true" hidden="false"/>
    </xf>
    <xf numFmtId="178" fontId="6"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FEFE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externalLink" Target="externalLinks/externalLink1.xml"/><Relationship Id="rId15" Type="http://schemas.openxmlformats.org/officeDocument/2006/relationships/sharedStrings" Target="sharedStrings.xml"/>
</Relationships>
</file>

<file path=xl/charts/_rels/chart1.xml.rels><?xml version="1.0" encoding="UTF-8"?>
<Relationships xmlns="http://schemas.openxmlformats.org/package/2006/relationships"><Relationship Id="rId1" Type="http://schemas.openxmlformats.org/officeDocument/2006/relationships/image" Target="../media/image1.png"/>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25" strike="noStrike" u="none">
                <a:solidFill>
                  <a:srgbClr val="000000"/>
                </a:solidFill>
                <a:uFillTx/>
                <a:latin typeface="Times New Roman"/>
              </a:rPr>
              <a:t>IdleAire Technologies Value Projection</a:t>
            </a:r>
          </a:p>
        </c:rich>
      </c:tx>
      <c:layout>
        <c:manualLayout>
          <c:xMode val="edge"/>
          <c:yMode val="edge"/>
          <c:x val="0.196927072062324"/>
          <c:y val="0.0313632387854555"/>
        </c:manualLayout>
      </c:layout>
      <c:overlay val="0"/>
      <c:spPr>
        <a:noFill/>
        <a:ln w="0">
          <a:noFill/>
        </a:ln>
      </c:spPr>
    </c:title>
    <c:autoTitleDeleted val="0"/>
    <c:plotArea>
      <c:layout>
        <c:manualLayout>
          <c:xMode val="edge"/>
          <c:yMode val="edge"/>
          <c:x val="0.112205150400346"/>
          <c:y val="0.19042858927902"/>
          <c:w val="0.641636009521749"/>
          <c:h val="0.696613769836311"/>
        </c:manualLayout>
      </c:layout>
      <c:barChart>
        <c:barDir val="col"/>
        <c:grouping val="clustered"/>
        <c:varyColors val="0"/>
        <c:ser>
          <c:idx val="0"/>
          <c:order val="0"/>
          <c:tx>
            <c:strRef>
              <c:f>"Revenues"</c:f>
              <c:strCache>
                <c:ptCount val="1"/>
                <c:pt idx="0">
                  <c:v>Revenues</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multiLvlStrRef>
              <c:f>Graphs!$D$20:$N$20</c:f>
              <c:multiLvlStrCache>
                <c:ptCount val="1"/>
                <c:lvl>
                  <c:pt idx="0">
                    <c:v>1Q03</c:v>
                  </c:pt>
                </c:lvl>
                <c:lvl>
                  <c:pt idx="0">
                    <c:v>4Q02</c:v>
                  </c:pt>
                </c:lvl>
                <c:lvl>
                  <c:pt idx="0">
                    <c:v>3Q02</c:v>
                  </c:pt>
                </c:lvl>
                <c:lvl>
                  <c:pt idx="0">
                    <c:v>2Q02</c:v>
                  </c:pt>
                </c:lvl>
                <c:lvl>
                  <c:pt idx="0">
                    <c:v>1Q02</c:v>
                  </c:pt>
                </c:lvl>
                <c:lvl>
                  <c:pt idx="0">
                    <c:v>4Q01</c:v>
                  </c:pt>
                </c:lvl>
                <c:lvl>
                  <c:pt idx="0">
                    <c:v>3Q01</c:v>
                  </c:pt>
                </c:lvl>
                <c:lvl>
                  <c:pt idx="0">
                    <c:v>2Q01</c:v>
                  </c:pt>
                </c:lvl>
                <c:lvl>
                  <c:pt idx="0">
                    <c:v>1Q01</c:v>
                  </c:pt>
                </c:lvl>
                <c:lvl>
                  <c:pt idx="0">
                    <c:v>4Q00</c:v>
                  </c:pt>
                </c:lvl>
                <c:lvl>
                  <c:pt idx="0">
                    <c:v>3Q00</c:v>
                  </c:pt>
                </c:lvl>
              </c:multiLvlStrCache>
            </c:multiLvlStrRef>
          </c:cat>
          <c:val>
            <c:numRef>
              <c:f>Graphs!$D$22:$N$22</c:f>
              <c:numCache>
                <c:formatCode>\$#,##0.0;"($"#,##0.0\);;</c:formatCode>
                <c:ptCount val="11"/>
                <c:pt idx="0">
                  <c:v>0</c:v>
                </c:pt>
                <c:pt idx="1">
                  <c:v>0</c:v>
                </c:pt>
                <c:pt idx="2">
                  <c:v>0</c:v>
                </c:pt>
                <c:pt idx="3">
                  <c:v>0</c:v>
                </c:pt>
                <c:pt idx="4">
                  <c:v>0.106</c:v>
                </c:pt>
                <c:pt idx="5">
                  <c:v>2.41025543</c:v>
                </c:pt>
                <c:pt idx="6">
                  <c:v>4.758592323575</c:v>
                </c:pt>
                <c:pt idx="7">
                  <c:v>14.61510851625</c:v>
                </c:pt>
                <c:pt idx="8">
                  <c:v>39.35399665625</c:v>
                </c:pt>
                <c:pt idx="9">
                  <c:v>64.5791819415</c:v>
                </c:pt>
                <c:pt idx="10">
                  <c:v>106.950862614139</c:v>
                </c:pt>
              </c:numCache>
            </c:numRef>
          </c:val>
        </c:ser>
        <c:ser>
          <c:idx val="1"/>
          <c:order val="1"/>
          <c:tx>
            <c:strRef>
              <c:f>"EBITDA"</c:f>
              <c:strCache>
                <c:ptCount val="1"/>
                <c:pt idx="0">
                  <c:v>EBITDA</c:v>
                </c:pt>
              </c:strCache>
            </c:strRef>
          </c:tx>
          <c:spPr>
            <a:blipFill rotWithShape="0">
              <a:blip r:embed="rId1"/>
              <a:tile tx="0" ty="0" sx="100000" sy="100000" algn="ctr"/>
            </a:blip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multiLvlStrRef>
              <c:f>Graphs!$D$20:$N$20</c:f>
              <c:multiLvlStrCache>
                <c:ptCount val="1"/>
                <c:lvl>
                  <c:pt idx="0">
                    <c:v>1Q03</c:v>
                  </c:pt>
                </c:lvl>
                <c:lvl>
                  <c:pt idx="0">
                    <c:v>4Q02</c:v>
                  </c:pt>
                </c:lvl>
                <c:lvl>
                  <c:pt idx="0">
                    <c:v>3Q02</c:v>
                  </c:pt>
                </c:lvl>
                <c:lvl>
                  <c:pt idx="0">
                    <c:v>2Q02</c:v>
                  </c:pt>
                </c:lvl>
                <c:lvl>
                  <c:pt idx="0">
                    <c:v>1Q02</c:v>
                  </c:pt>
                </c:lvl>
                <c:lvl>
                  <c:pt idx="0">
                    <c:v>4Q01</c:v>
                  </c:pt>
                </c:lvl>
                <c:lvl>
                  <c:pt idx="0">
                    <c:v>3Q01</c:v>
                  </c:pt>
                </c:lvl>
                <c:lvl>
                  <c:pt idx="0">
                    <c:v>2Q01</c:v>
                  </c:pt>
                </c:lvl>
                <c:lvl>
                  <c:pt idx="0">
                    <c:v>1Q01</c:v>
                  </c:pt>
                </c:lvl>
                <c:lvl>
                  <c:pt idx="0">
                    <c:v>4Q00</c:v>
                  </c:pt>
                </c:lvl>
                <c:lvl>
                  <c:pt idx="0">
                    <c:v>3Q00</c:v>
                  </c:pt>
                </c:lvl>
              </c:multiLvlStrCache>
            </c:multiLvlStrRef>
          </c:cat>
          <c:val>
            <c:numRef>
              <c:f>Graphs!$D$23:$N$23</c:f>
              <c:numCache>
                <c:formatCode>\$#,##0.0;"($"#,##0.0\);;</c:formatCode>
                <c:ptCount val="11"/>
                <c:pt idx="0">
                  <c:v>-0.76561701</c:v>
                </c:pt>
                <c:pt idx="1">
                  <c:v>-1.40483787</c:v>
                </c:pt>
                <c:pt idx="2">
                  <c:v>-4.61155476</c:v>
                </c:pt>
                <c:pt idx="3">
                  <c:v>-8.1994824</c:v>
                </c:pt>
                <c:pt idx="4">
                  <c:v>-5.178323803575</c:v>
                </c:pt>
                <c:pt idx="5">
                  <c:v>-6.9074694152385</c:v>
                </c:pt>
                <c:pt idx="6">
                  <c:v>-10.7288254242064</c:v>
                </c:pt>
                <c:pt idx="7">
                  <c:v>-3.96920397102344</c:v>
                </c:pt>
                <c:pt idx="8">
                  <c:v>9.09372590225256</c:v>
                </c:pt>
                <c:pt idx="9">
                  <c:v>17.5016734873254</c:v>
                </c:pt>
                <c:pt idx="10">
                  <c:v>42.2157343006007</c:v>
                </c:pt>
              </c:numCache>
            </c:numRef>
          </c:val>
        </c:ser>
        <c:gapWidth val="150"/>
        <c:overlap val="0"/>
        <c:axId val="43480142"/>
        <c:axId val="78076902"/>
      </c:barChart>
      <c:lineChart>
        <c:grouping val="standard"/>
        <c:varyColors val="0"/>
        <c:ser>
          <c:idx val="2"/>
          <c:order val="2"/>
          <c:tx>
            <c:strRef>
              <c:f>"Market Cap"</c:f>
              <c:strCache>
                <c:ptCount val="1"/>
                <c:pt idx="0">
                  <c:v>Market Cap</c:v>
                </c:pt>
              </c:strCache>
            </c:strRef>
          </c:tx>
          <c:spPr>
            <a:solidFill>
              <a:srgbClr val="00ff00"/>
            </a:solidFill>
            <a:ln w="12600">
              <a:solidFill>
                <a:srgbClr val="00ff00"/>
              </a:solidFill>
              <a:round/>
            </a:ln>
          </c:spPr>
          <c:marker>
            <c:symbol val="circle"/>
            <c:size val="5"/>
            <c:spPr>
              <a:solidFill>
                <a:srgbClr val="00ff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Graphs!$D$20:$N$20</c:f>
              <c:multiLvlStrCache>
                <c:ptCount val="1"/>
                <c:lvl>
                  <c:pt idx="0">
                    <c:v>1Q03</c:v>
                  </c:pt>
                </c:lvl>
                <c:lvl>
                  <c:pt idx="0">
                    <c:v>4Q02</c:v>
                  </c:pt>
                </c:lvl>
                <c:lvl>
                  <c:pt idx="0">
                    <c:v>3Q02</c:v>
                  </c:pt>
                </c:lvl>
                <c:lvl>
                  <c:pt idx="0">
                    <c:v>2Q02</c:v>
                  </c:pt>
                </c:lvl>
                <c:lvl>
                  <c:pt idx="0">
                    <c:v>1Q02</c:v>
                  </c:pt>
                </c:lvl>
                <c:lvl>
                  <c:pt idx="0">
                    <c:v>4Q01</c:v>
                  </c:pt>
                </c:lvl>
                <c:lvl>
                  <c:pt idx="0">
                    <c:v>3Q01</c:v>
                  </c:pt>
                </c:lvl>
                <c:lvl>
                  <c:pt idx="0">
                    <c:v>2Q01</c:v>
                  </c:pt>
                </c:lvl>
                <c:lvl>
                  <c:pt idx="0">
                    <c:v>1Q01</c:v>
                  </c:pt>
                </c:lvl>
                <c:lvl>
                  <c:pt idx="0">
                    <c:v>4Q00</c:v>
                  </c:pt>
                </c:lvl>
                <c:lvl>
                  <c:pt idx="0">
                    <c:v>3Q00</c:v>
                  </c:pt>
                </c:lvl>
              </c:multiLvlStrCache>
            </c:multiLvlStrRef>
          </c:cat>
          <c:val>
            <c:numRef>
              <c:f>Graphs!$D$25:$N$25</c:f>
              <c:numCache>
                <c:formatCode>\$#,##0.0;"($"#,##0.0\);;</c:formatCode>
                <c:ptCount val="11"/>
                <c:pt idx="0">
                  <c:v>31.8206</c:v>
                </c:pt>
                <c:pt idx="1">
                  <c:v>33.7365</c:v>
                </c:pt>
                <c:pt idx="2">
                  <c:v>72</c:v>
                </c:pt>
                <c:pt idx="3">
                  <c:v>90.5446</c:v>
                </c:pt>
                <c:pt idx="4">
                  <c:v>92.5</c:v>
                </c:pt>
                <c:pt idx="5">
                  <c:v>110</c:v>
                </c:pt>
                <c:pt idx="6">
                  <c:v>250</c:v>
                </c:pt>
                <c:pt idx="7">
                  <c:v>263.0719532925</c:v>
                </c:pt>
                <c:pt idx="8">
                  <c:v>393.5399665625</c:v>
                </c:pt>
                <c:pt idx="9">
                  <c:v>427.16783964375</c:v>
                </c:pt>
                <c:pt idx="10">
                  <c:v>641.705175684835</c:v>
                </c:pt>
              </c:numCache>
            </c:numRef>
          </c:val>
          <c:smooth val="0"/>
        </c:ser>
        <c:hiLowLines>
          <c:spPr>
            <a:ln w="0">
              <a:noFill/>
            </a:ln>
          </c:spPr>
        </c:hiLowLines>
        <c:marker val="1"/>
        <c:axId val="93180207"/>
        <c:axId val="24832709"/>
      </c:lineChart>
      <c:catAx>
        <c:axId val="43480142"/>
        <c:scaling>
          <c:orientation val="minMax"/>
        </c:scaling>
        <c:delete val="0"/>
        <c:axPos val="b"/>
        <c:numFmt formatCode="General" sourceLinked="1"/>
        <c:majorTickMark val="out"/>
        <c:minorTickMark val="none"/>
        <c:tickLblPos val="low"/>
        <c:spPr>
          <a:ln w="0">
            <a:solidFill>
              <a:srgbClr val="000000"/>
            </a:solidFill>
          </a:ln>
        </c:spPr>
        <c:txPr>
          <a:bodyPr rot="-5400000"/>
          <a:lstStyle/>
          <a:p>
            <a:pPr>
              <a:defRPr b="0" sz="800" strike="noStrike" u="none">
                <a:solidFill>
                  <a:srgbClr val="000000"/>
                </a:solidFill>
                <a:uFillTx/>
                <a:latin typeface="Times New Roman"/>
              </a:defRPr>
            </a:pPr>
          </a:p>
        </c:txPr>
        <c:crossAx val="78076902"/>
        <c:crossesAt val="0"/>
        <c:auto val="1"/>
        <c:lblAlgn val="ctr"/>
        <c:lblOffset val="100"/>
        <c:noMultiLvlLbl val="0"/>
      </c:catAx>
      <c:valAx>
        <c:axId val="78076902"/>
        <c:scaling>
          <c:orientation val="minMax"/>
          <c:max val="100"/>
          <c:min val="-6"/>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800" strike="noStrike" u="none">
                    <a:solidFill>
                      <a:srgbClr val="000000"/>
                    </a:solidFill>
                    <a:uFillTx/>
                    <a:latin typeface="Times New Roman"/>
                  </a:rPr>
                  <a:t>Annualized Sales &amp; EBITDA ($M)</a:t>
                </a:r>
              </a:p>
            </c:rich>
          </c:tx>
          <c:overlay val="0"/>
          <c:spPr>
            <a:noFill/>
            <a:ln w="0">
              <a:noFill/>
            </a:ln>
          </c:spPr>
        </c:title>
        <c:numFmt formatCode="\$#,##0.0;&quot;($&quot;#,##0.0\);;" sourceLinked="1"/>
        <c:majorTickMark val="out"/>
        <c:minorTickMark val="out"/>
        <c:tickLblPos val="nextTo"/>
        <c:spPr>
          <a:ln w="0">
            <a:solidFill>
              <a:srgbClr val="000000"/>
            </a:solidFill>
          </a:ln>
        </c:spPr>
        <c:txPr>
          <a:bodyPr/>
          <a:lstStyle/>
          <a:p>
            <a:pPr>
              <a:defRPr b="0" sz="800" strike="noStrike" u="none">
                <a:solidFill>
                  <a:srgbClr val="000000"/>
                </a:solidFill>
                <a:uFillTx/>
                <a:latin typeface="Times New Roman"/>
              </a:defRPr>
            </a:pPr>
          </a:p>
        </c:txPr>
        <c:crossAx val="43480142"/>
        <c:crossesAt val="1"/>
        <c:crossBetween val="midCat"/>
        <c:majorUnit val="10"/>
        <c:minorUnit val="1"/>
      </c:valAx>
      <c:catAx>
        <c:axId val="93180207"/>
        <c:scaling>
          <c:orientation val="minMax"/>
        </c:scaling>
        <c:delete val="1"/>
        <c:axPos val="t"/>
        <c:numFmt formatCode="General" sourceLinked="1"/>
        <c:majorTickMark val="cross"/>
        <c:minorTickMark val="none"/>
        <c:tickLblPos val="nextTo"/>
        <c:spPr>
          <a:ln w="0">
            <a:noFill/>
          </a:ln>
        </c:spPr>
        <c:txPr>
          <a:bodyPr/>
          <a:lstStyle/>
          <a:p>
            <a:pPr>
              <a:defRPr b="0" sz="850" strike="noStrike" u="none">
                <a:solidFill>
                  <a:srgbClr val="000000"/>
                </a:solidFill>
                <a:uFillTx/>
                <a:latin typeface="Arial"/>
              </a:defRPr>
            </a:pPr>
          </a:p>
        </c:txPr>
        <c:crossAx val="24832709"/>
        <c:auto val="1"/>
        <c:lblAlgn val="ctr"/>
        <c:lblOffset val="100"/>
        <c:noMultiLvlLbl val="0"/>
      </c:catAx>
      <c:valAx>
        <c:axId val="24832709"/>
        <c:scaling>
          <c:orientation val="minMax"/>
        </c:scaling>
        <c:delete val="0"/>
        <c:axPos val="r"/>
        <c:title>
          <c:tx>
            <c:rich>
              <a:bodyPr rot="-5400000"/>
              <a:lstStyle/>
              <a:p>
                <a:pPr>
                  <a:defRPr b="0" sz="1300" strike="noStrike" u="none">
                    <a:uFillTx/>
                    <a:latin typeface="Arial"/>
                  </a:defRPr>
                </a:pPr>
                <a:r>
                  <a:rPr b="1" sz="800" strike="noStrike" u="none">
                    <a:solidFill>
                      <a:srgbClr val="000000"/>
                    </a:solidFill>
                    <a:uFillTx/>
                    <a:latin typeface="Arial"/>
                  </a:rPr>
                  <a:t>Market Capitalization ($M)</a:t>
                </a:r>
              </a:p>
            </c:rich>
          </c:tx>
          <c:overlay val="0"/>
          <c:spPr>
            <a:noFill/>
            <a:ln w="0">
              <a:noFill/>
            </a:ln>
          </c:spPr>
        </c:title>
        <c:numFmt formatCode="\$#,##0.0;&quot;($&quot;#,##0.0\);;" sourceLinked="1"/>
        <c:majorTickMark val="cross"/>
        <c:minorTickMark val="out"/>
        <c:tickLblPos val="nextTo"/>
        <c:spPr>
          <a:ln w="0">
            <a:solidFill>
              <a:srgbClr val="000000"/>
            </a:solidFill>
          </a:ln>
        </c:spPr>
        <c:txPr>
          <a:bodyPr/>
          <a:lstStyle/>
          <a:p>
            <a:pPr>
              <a:defRPr b="0" sz="850" strike="noStrike" u="none">
                <a:solidFill>
                  <a:srgbClr val="000000"/>
                </a:solidFill>
                <a:uFillTx/>
                <a:latin typeface="Arial"/>
              </a:defRPr>
            </a:pPr>
          </a:p>
        </c:txPr>
        <c:crossAx val="93180207"/>
        <c:crosses val="max"/>
        <c:crossBetween val="midCat"/>
      </c:valAx>
      <c:spPr>
        <a:solidFill>
          <a:srgbClr val="ffffff"/>
        </a:solidFill>
        <a:ln w="12600">
          <a:solidFill>
            <a:srgbClr val="808080"/>
          </a:solidFill>
          <a:round/>
        </a:ln>
      </c:spPr>
    </c:plotArea>
    <c:legend>
      <c:legendPos val="r"/>
      <c:layout>
        <c:manualLayout>
          <c:xMode val="edge"/>
          <c:yMode val="edge"/>
          <c:x val="0.0776888119454664"/>
          <c:y val="0.901786829938773"/>
        </c:manualLayout>
      </c:layout>
      <c:overlay val="0"/>
      <c:spPr>
        <a:solidFill>
          <a:srgbClr val="ffffff"/>
        </a:solidFill>
        <a:ln w="0">
          <a:solidFill>
            <a:srgbClr val="000000"/>
          </a:solidFill>
        </a:ln>
      </c:spPr>
      <c:txPr>
        <a:bodyPr/>
        <a:lstStyle/>
        <a:p>
          <a:pPr>
            <a:defRPr b="0" sz="800"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325" strike="noStrike" u="none">
                <a:solidFill>
                  <a:srgbClr val="000000"/>
                </a:solidFill>
                <a:uFillTx/>
                <a:latin typeface="Times New Roman"/>
              </a:rPr>
              <a:t>Cox Communications (COX)</a:t>
            </a:r>
          </a:p>
        </c:rich>
      </c:tx>
      <c:overlay val="0"/>
      <c:spPr>
        <a:noFill/>
        <a:ln w="0">
          <a:noFill/>
        </a:ln>
      </c:spPr>
    </c:title>
    <c:autoTitleDeleted val="0"/>
    <c:plotArea>
      <c:lineChart>
        <c:grouping val="standard"/>
        <c:varyColors val="0"/>
        <c:ser>
          <c:idx val="0"/>
          <c:order val="0"/>
          <c:tx>
            <c:strRef>
              <c:f>"Sales"</c:f>
              <c:strCache>
                <c:ptCount val="1"/>
                <c:pt idx="0">
                  <c:v>Sales</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Companies'!$H$139:$H$154</c:f>
              <c:numCache>
                <c:formatCode>#,##0.0\x_);[RED]\(#,##0.0"x)";;</c:formatCode>
                <c:ptCount val="16"/>
                <c:pt idx="0">
                  <c:v>5.63065841418057</c:v>
                </c:pt>
                <c:pt idx="1">
                  <c:v>5.81310564669789</c:v>
                </c:pt>
                <c:pt idx="2">
                  <c:v>6.42893297356726</c:v>
                </c:pt>
                <c:pt idx="3">
                  <c:v>6.74152216091675</c:v>
                </c:pt>
                <c:pt idx="4">
                  <c:v>7.37546596031699</c:v>
                </c:pt>
                <c:pt idx="5">
                  <c:v>6.3699389836452</c:v>
                </c:pt>
                <c:pt idx="6">
                  <c:v>8.57461442350055</c:v>
                </c:pt>
                <c:pt idx="7">
                  <c:v>9.32500961661752</c:v>
                </c:pt>
                <c:pt idx="8">
                  <c:v>9.21366606653471</c:v>
                </c:pt>
                <c:pt idx="9">
                  <c:v>7.43180848095106</c:v>
                </c:pt>
                <c:pt idx="10">
                  <c:v>6.79202303890783</c:v>
                </c:pt>
                <c:pt idx="11">
                  <c:v>10.5216060231278</c:v>
                </c:pt>
                <c:pt idx="12">
                  <c:v>9.89072260731961</c:v>
                </c:pt>
                <c:pt idx="13">
                  <c:v>8.2417485460691</c:v>
                </c:pt>
                <c:pt idx="14">
                  <c:v>8.34504100159595</c:v>
                </c:pt>
                <c:pt idx="15">
                  <c:v>6.53418832539082</c:v>
                </c:pt>
              </c:numCache>
            </c:numRef>
          </c:val>
          <c:smooth val="0"/>
        </c:ser>
        <c:ser>
          <c:idx val="1"/>
          <c:order val="1"/>
          <c:tx>
            <c:strRef>
              <c:f>"EBITDA"</c:f>
              <c:strCache>
                <c:ptCount val="1"/>
                <c:pt idx="0">
                  <c:v>EBITDA</c:v>
                </c:pt>
              </c:strCache>
            </c:strRef>
          </c:tx>
          <c:spPr>
            <a:solidFill>
              <a:srgbClr val="ff0000"/>
            </a:solidFill>
            <a:ln w="12600">
              <a:solidFill>
                <a:srgbClr val="ff0000"/>
              </a:solidFill>
              <a:round/>
            </a:ln>
          </c:spPr>
          <c:marker>
            <c:symbol val="square"/>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Companies'!$I$139:$I$154</c:f>
              <c:numCache>
                <c:formatCode>#,##0.0\x_);[RED]\(#,##0.0"x)";;</c:formatCode>
                <c:ptCount val="16"/>
                <c:pt idx="0">
                  <c:v>12.2320364447029</c:v>
                </c:pt>
                <c:pt idx="1">
                  <c:v>12.9481127197518</c:v>
                </c:pt>
                <c:pt idx="2">
                  <c:v>14.7241161476227</c:v>
                </c:pt>
                <c:pt idx="3">
                  <c:v>15.9295021489971</c:v>
                </c:pt>
                <c:pt idx="4">
                  <c:v>18.0525908914478</c:v>
                </c:pt>
                <c:pt idx="5">
                  <c:v>16.2299785097783</c:v>
                </c:pt>
                <c:pt idx="6">
                  <c:v>20.3837750218998</c:v>
                </c:pt>
                <c:pt idx="7">
                  <c:v>22.3401722686752</c:v>
                </c:pt>
                <c:pt idx="8">
                  <c:v>26.5307051447222</c:v>
                </c:pt>
                <c:pt idx="9">
                  <c:v>19.0923432893074</c:v>
                </c:pt>
                <c:pt idx="10">
                  <c:v>16.2017311369887</c:v>
                </c:pt>
                <c:pt idx="11">
                  <c:v>17.3367858027407</c:v>
                </c:pt>
                <c:pt idx="12">
                  <c:v>43.0188980606118</c:v>
                </c:pt>
                <c:pt idx="13">
                  <c:v>20.5852051494212</c:v>
                </c:pt>
                <c:pt idx="14">
                  <c:v>20.922343489867</c:v>
                </c:pt>
                <c:pt idx="15">
                  <c:v>16.6376170922503</c:v>
                </c:pt>
              </c:numCache>
            </c:numRef>
          </c:val>
          <c:smooth val="0"/>
        </c:ser>
        <c:ser>
          <c:idx val="2"/>
          <c:order val="2"/>
          <c:tx>
            <c:strRef>
              <c:f>"Earnings"</c:f>
              <c:strCache>
                <c:ptCount val="1"/>
                <c:pt idx="0">
                  <c:v>Earnings</c:v>
                </c:pt>
              </c:strCache>
            </c:strRef>
          </c:tx>
          <c:spPr>
            <a:solidFill>
              <a:srgbClr val="00ff00"/>
            </a:solidFill>
            <a:ln w="12600">
              <a:solidFill>
                <a:srgbClr val="00ff00"/>
              </a:solidFill>
              <a:round/>
            </a:ln>
          </c:spPr>
          <c:marker>
            <c:symbol val="triangle"/>
            <c:size val="5"/>
            <c:spPr>
              <a:solidFill>
                <a:srgbClr val="00ff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Companies'!$J$139:$J$154</c:f>
              <c:numCache>
                <c:formatCode>#,##0.0\x_);[RED]\(#,##0.0"x)";;</c:formatCode>
                <c:ptCount val="16"/>
                <c:pt idx="0">
                  <c:v>13.1292871158164</c:v>
                </c:pt>
                <c:pt idx="1">
                  <c:v>15.0598445041203</c:v>
                </c:pt>
                <c:pt idx="2">
                  <c:v>18.9356893568461</c:v>
                </c:pt>
                <c:pt idx="3">
                  <c:v>23.3332359843729</c:v>
                </c:pt>
                <c:pt idx="5">
                  <c:v>6.85684282966512</c:v>
                </c:pt>
                <c:pt idx="6">
                  <c:v>75.3028204760082</c:v>
                </c:pt>
                <c:pt idx="7">
                  <c:v>6.81261451818989</c:v>
                </c:pt>
                <c:pt idx="8">
                  <c:v>68.3061933908859</c:v>
                </c:pt>
                <c:pt idx="9">
                  <c:v>507.004742153246</c:v>
                </c:pt>
                <c:pt idx="10">
                  <c:v>10.0995412654411</c:v>
                </c:pt>
                <c:pt idx="11">
                  <c:v>20.8835316503619</c:v>
                </c:pt>
                <c:pt idx="12">
                  <c:v>15.1425438596491</c:v>
                </c:pt>
                <c:pt idx="13">
                  <c:v>3.46605329949239</c:v>
                </c:pt>
              </c:numCache>
            </c:numRef>
          </c:val>
          <c:smooth val="0"/>
        </c:ser>
        <c:hiLowLines>
          <c:spPr>
            <a:ln w="0">
              <a:noFill/>
            </a:ln>
          </c:spPr>
        </c:hiLowLines>
        <c:marker val="1"/>
        <c:axId val="92603556"/>
        <c:axId val="48184448"/>
      </c:lineChart>
      <c:catAx>
        <c:axId val="92603556"/>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50" strike="noStrike" u="none">
                <a:solidFill>
                  <a:srgbClr val="000000"/>
                </a:solidFill>
                <a:uFillTx/>
                <a:latin typeface="Times New Roman"/>
              </a:defRPr>
            </a:pPr>
          </a:p>
        </c:txPr>
        <c:crossAx val="48184448"/>
        <c:crossesAt val="0"/>
        <c:auto val="1"/>
        <c:lblAlgn val="ctr"/>
        <c:lblOffset val="100"/>
        <c:noMultiLvlLbl val="0"/>
      </c:catAx>
      <c:valAx>
        <c:axId val="48184448"/>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50" strike="noStrike" u="none">
                    <a:solidFill>
                      <a:srgbClr val="000000"/>
                    </a:solidFill>
                    <a:uFillTx/>
                    <a:latin typeface="Times New Roman"/>
                  </a:rPr>
                  <a:t>Maket Cap. Multiple</a:t>
                </a:r>
              </a:p>
            </c:rich>
          </c:tx>
          <c:overlay val="0"/>
          <c:spPr>
            <a:noFill/>
            <a:ln w="0">
              <a:noFill/>
            </a:ln>
          </c:spPr>
        </c:title>
        <c:numFmt formatCode="#,##0.0\x_);[RED]\(#,##0.0&quot;x)&quot;;;"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Times New Roman"/>
              </a:defRPr>
            </a:pPr>
          </a:p>
        </c:txPr>
        <c:crossAx val="92603556"/>
        <c:crossesAt val="1"/>
        <c:crossBetween val="midCat"/>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950"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325" strike="noStrike" u="none">
                <a:solidFill>
                  <a:srgbClr val="000000"/>
                </a:solidFill>
                <a:uFillTx/>
                <a:latin typeface="Times New Roman"/>
              </a:rPr>
              <a:t>Metricom (MCOM)</a:t>
            </a:r>
          </a:p>
        </c:rich>
      </c:tx>
      <c:overlay val="0"/>
      <c:spPr>
        <a:noFill/>
        <a:ln w="0">
          <a:noFill/>
        </a:ln>
      </c:spPr>
    </c:title>
    <c:autoTitleDeleted val="0"/>
    <c:plotArea>
      <c:lineChart>
        <c:grouping val="standard"/>
        <c:varyColors val="0"/>
        <c:ser>
          <c:idx val="0"/>
          <c:order val="0"/>
          <c:tx>
            <c:strRef>
              <c:f>"Sales"</c:f>
              <c:strCache>
                <c:ptCount val="1"/>
                <c:pt idx="0">
                  <c:v>Sales</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Companies'!$H$158:$H$173</c:f>
              <c:numCache>
                <c:formatCode>#,##0.0\x_);[RED]\(#,##0.0"x)";;</c:formatCode>
                <c:ptCount val="16"/>
                <c:pt idx="0">
                  <c:v>7.50617469879518</c:v>
                </c:pt>
                <c:pt idx="1">
                  <c:v>8.54696227339539</c:v>
                </c:pt>
                <c:pt idx="2">
                  <c:v>9.92283845278726</c:v>
                </c:pt>
                <c:pt idx="3">
                  <c:v>11.8266779661017</c:v>
                </c:pt>
                <c:pt idx="4">
                  <c:v>32.4846961514262</c:v>
                </c:pt>
                <c:pt idx="5">
                  <c:v>50.3392198626653</c:v>
                </c:pt>
                <c:pt idx="6">
                  <c:v>92.5964726918075</c:v>
                </c:pt>
                <c:pt idx="7">
                  <c:v>101.296928327645</c:v>
                </c:pt>
                <c:pt idx="8">
                  <c:v>90.2173539959017</c:v>
                </c:pt>
                <c:pt idx="9">
                  <c:v>24.777098540146</c:v>
                </c:pt>
                <c:pt idx="10">
                  <c:v>20.6905425691615</c:v>
                </c:pt>
                <c:pt idx="11">
                  <c:v>7.25498838556346</c:v>
                </c:pt>
                <c:pt idx="12">
                  <c:v>6.56902238175676</c:v>
                </c:pt>
                <c:pt idx="13">
                  <c:v>5.54529201430274</c:v>
                </c:pt>
                <c:pt idx="14">
                  <c:v>8.92086530612245</c:v>
                </c:pt>
                <c:pt idx="15">
                  <c:v>11.6099084096586</c:v>
                </c:pt>
              </c:numCache>
            </c:numRef>
          </c:val>
          <c:smooth val="0"/>
        </c:ser>
        <c:hiLowLines>
          <c:spPr>
            <a:ln w="0">
              <a:noFill/>
            </a:ln>
          </c:spPr>
        </c:hiLowLines>
        <c:marker val="1"/>
        <c:axId val="86055397"/>
        <c:axId val="76876123"/>
      </c:lineChart>
      <c:catAx>
        <c:axId val="86055397"/>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50" strike="noStrike" u="none">
                <a:solidFill>
                  <a:srgbClr val="000000"/>
                </a:solidFill>
                <a:uFillTx/>
                <a:latin typeface="Times New Roman"/>
              </a:defRPr>
            </a:pPr>
          </a:p>
        </c:txPr>
        <c:crossAx val="76876123"/>
        <c:crossesAt val="0"/>
        <c:auto val="1"/>
        <c:lblAlgn val="ctr"/>
        <c:lblOffset val="100"/>
        <c:noMultiLvlLbl val="0"/>
      </c:catAx>
      <c:valAx>
        <c:axId val="76876123"/>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50" strike="noStrike" u="none">
                    <a:solidFill>
                      <a:srgbClr val="000000"/>
                    </a:solidFill>
                    <a:uFillTx/>
                    <a:latin typeface="Times New Roman"/>
                  </a:rPr>
                  <a:t>Maket Cap. Multiple</a:t>
                </a:r>
              </a:p>
            </c:rich>
          </c:tx>
          <c:overlay val="0"/>
          <c:spPr>
            <a:noFill/>
            <a:ln w="0">
              <a:noFill/>
            </a:ln>
          </c:spPr>
        </c:title>
        <c:numFmt formatCode="#,##0.0\x_);[RED]\(#,##0.0&quot;x)&quot;;;"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Times New Roman"/>
              </a:defRPr>
            </a:pPr>
          </a:p>
        </c:txPr>
        <c:crossAx val="86055397"/>
        <c:crossesAt val="1"/>
        <c:crossBetween val="midCat"/>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950"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chartSpace>
</file>

<file path=xl/charts/chart1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325" strike="noStrike" u="none">
                <a:solidFill>
                  <a:srgbClr val="000000"/>
                </a:solidFill>
                <a:uFillTx/>
                <a:latin typeface="Times New Roman"/>
              </a:rPr>
              <a:t>Enron (ENE)</a:t>
            </a:r>
          </a:p>
        </c:rich>
      </c:tx>
      <c:overlay val="0"/>
      <c:spPr>
        <a:noFill/>
        <a:ln w="0">
          <a:noFill/>
        </a:ln>
      </c:spPr>
    </c:title>
    <c:autoTitleDeleted val="0"/>
    <c:plotArea>
      <c:lineChart>
        <c:grouping val="standard"/>
        <c:varyColors val="0"/>
        <c:ser>
          <c:idx val="0"/>
          <c:order val="0"/>
          <c:tx>
            <c:strRef>
              <c:f>"Sales"</c:f>
              <c:strCache>
                <c:ptCount val="1"/>
                <c:pt idx="0">
                  <c:v>Sales</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Companies'!$H$177:$H$192</c:f>
              <c:numCache>
                <c:formatCode>#,##0.0\x_);[RED]\(#,##0.0"x)";;</c:formatCode>
                <c:ptCount val="16"/>
                <c:pt idx="0">
                  <c:v>0.0966529467039003</c:v>
                </c:pt>
                <c:pt idx="1">
                  <c:v>0.0887886085226678</c:v>
                </c:pt>
                <c:pt idx="2">
                  <c:v>0.184056400997335</c:v>
                </c:pt>
                <c:pt idx="3">
                  <c:v>0.256117930155906</c:v>
                </c:pt>
                <c:pt idx="4">
                  <c:v>0.443385295452872</c:v>
                </c:pt>
                <c:pt idx="5">
                  <c:v>0.633110049321825</c:v>
                </c:pt>
                <c:pt idx="6">
                  <c:v>1.11471286568755</c:v>
                </c:pt>
                <c:pt idx="7">
                  <c:v>1.20524944085204</c:v>
                </c:pt>
                <c:pt idx="8">
                  <c:v>0.843689181540629</c:v>
                </c:pt>
                <c:pt idx="9">
                  <c:v>0.669454260667512</c:v>
                </c:pt>
                <c:pt idx="10">
                  <c:v>0.7762871325</c:v>
                </c:pt>
                <c:pt idx="11">
                  <c:v>0.769806489124738</c:v>
                </c:pt>
                <c:pt idx="12">
                  <c:v>1.3504272984028</c:v>
                </c:pt>
                <c:pt idx="13">
                  <c:v>0.842435954063604</c:v>
                </c:pt>
                <c:pt idx="14">
                  <c:v>1.4263859234406</c:v>
                </c:pt>
                <c:pt idx="15">
                  <c:v>1.34668690601901</c:v>
                </c:pt>
              </c:numCache>
            </c:numRef>
          </c:val>
          <c:smooth val="0"/>
        </c:ser>
        <c:ser>
          <c:idx val="1"/>
          <c:order val="1"/>
          <c:tx>
            <c:strRef>
              <c:f>"EBITDA"</c:f>
              <c:strCache>
                <c:ptCount val="1"/>
                <c:pt idx="0">
                  <c:v>EBITDA</c:v>
                </c:pt>
              </c:strCache>
            </c:strRef>
          </c:tx>
          <c:spPr>
            <a:solidFill>
              <a:srgbClr val="ff0000"/>
            </a:solidFill>
            <a:ln w="12600">
              <a:solidFill>
                <a:srgbClr val="ff0000"/>
              </a:solidFill>
              <a:round/>
            </a:ln>
          </c:spPr>
          <c:marker>
            <c:symbol val="square"/>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Companies'!$I$177:$I$192</c:f>
              <c:numCache>
                <c:formatCode>#,##0.0\x_);[RED]\(#,##0.0"x)";;</c:formatCode>
                <c:ptCount val="16"/>
                <c:pt idx="0">
                  <c:v>5.93136414287177</c:v>
                </c:pt>
                <c:pt idx="1">
                  <c:v>5.39070051199928</c:v>
                </c:pt>
                <c:pt idx="2">
                  <c:v>10.7058041610232</c:v>
                </c:pt>
                <c:pt idx="3">
                  <c:v>18.7363905325444</c:v>
                </c:pt>
                <c:pt idx="4">
                  <c:v>24.7512248972603</c:v>
                </c:pt>
                <c:pt idx="5">
                  <c:v>35.710024906015</c:v>
                </c:pt>
                <c:pt idx="6">
                  <c:v>44.9237266109785</c:v>
                </c:pt>
                <c:pt idx="7">
                  <c:v>58.2463378676471</c:v>
                </c:pt>
                <c:pt idx="8">
                  <c:v>40.8230515340909</c:v>
                </c:pt>
                <c:pt idx="10">
                  <c:v>33.3170443133047</c:v>
                </c:pt>
                <c:pt idx="11">
                  <c:v>15.260163961039</c:v>
                </c:pt>
                <c:pt idx="12">
                  <c:v>10.9125295120672</c:v>
                </c:pt>
                <c:pt idx="13">
                  <c:v>24.4522435897436</c:v>
                </c:pt>
                <c:pt idx="14">
                  <c:v>47.2364267676768</c:v>
                </c:pt>
                <c:pt idx="15">
                  <c:v>18.5725121359223</c:v>
                </c:pt>
              </c:numCache>
            </c:numRef>
          </c:val>
          <c:smooth val="0"/>
        </c:ser>
        <c:ser>
          <c:idx val="2"/>
          <c:order val="2"/>
          <c:tx>
            <c:strRef>
              <c:f>"Earnings"</c:f>
              <c:strCache>
                <c:ptCount val="1"/>
                <c:pt idx="0">
                  <c:v>Earnings</c:v>
                </c:pt>
              </c:strCache>
            </c:strRef>
          </c:tx>
          <c:spPr>
            <a:solidFill>
              <a:srgbClr val="00ff00"/>
            </a:solidFill>
            <a:ln w="12600">
              <a:solidFill>
                <a:srgbClr val="00ff00"/>
              </a:solidFill>
              <a:round/>
            </a:ln>
          </c:spPr>
          <c:marker>
            <c:symbol val="triangle"/>
            <c:size val="5"/>
            <c:spPr>
              <a:solidFill>
                <a:srgbClr val="00ff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Companies'!$J$177:$J$192</c:f>
              <c:numCache>
                <c:formatCode>#,##0.0\x_);[RED]\(#,##0.0"x)";;</c:formatCode>
                <c:ptCount val="16"/>
                <c:pt idx="0">
                  <c:v>14.367569534187</c:v>
                </c:pt>
                <c:pt idx="1">
                  <c:v>12.6676186464375</c:v>
                </c:pt>
                <c:pt idx="2">
                  <c:v>23.6712761796732</c:v>
                </c:pt>
                <c:pt idx="3">
                  <c:v>31.2735802469136</c:v>
                </c:pt>
                <c:pt idx="4">
                  <c:v>148.101591598361</c:v>
                </c:pt>
                <c:pt idx="5">
                  <c:v>70.1023367158672</c:v>
                </c:pt>
                <c:pt idx="6">
                  <c:v>70.2352292910448</c:v>
                </c:pt>
                <c:pt idx="7">
                  <c:v>49.8207669811321</c:v>
                </c:pt>
                <c:pt idx="8">
                  <c:v>11.4262994115776</c:v>
                </c:pt>
                <c:pt idx="9">
                  <c:v>29.236129797048</c:v>
                </c:pt>
                <c:pt idx="10">
                  <c:v>38.2407454433498</c:v>
                </c:pt>
                <c:pt idx="11">
                  <c:v>49.7895180084746</c:v>
                </c:pt>
                <c:pt idx="12">
                  <c:v>55.0245535714286</c:v>
                </c:pt>
                <c:pt idx="13">
                  <c:v>58.1486280487805</c:v>
                </c:pt>
                <c:pt idx="14">
                  <c:v>66.8058035714286</c:v>
                </c:pt>
                <c:pt idx="15">
                  <c:v>36.4375</c:v>
                </c:pt>
              </c:numCache>
            </c:numRef>
          </c:val>
          <c:smooth val="0"/>
        </c:ser>
        <c:hiLowLines>
          <c:spPr>
            <a:ln w="0">
              <a:noFill/>
            </a:ln>
          </c:spPr>
        </c:hiLowLines>
        <c:marker val="1"/>
        <c:axId val="50111463"/>
        <c:axId val="55095729"/>
      </c:lineChart>
      <c:catAx>
        <c:axId val="50111463"/>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50" strike="noStrike" u="none">
                <a:solidFill>
                  <a:srgbClr val="000000"/>
                </a:solidFill>
                <a:uFillTx/>
                <a:latin typeface="Times New Roman"/>
              </a:defRPr>
            </a:pPr>
          </a:p>
        </c:txPr>
        <c:crossAx val="55095729"/>
        <c:crossesAt val="0"/>
        <c:auto val="1"/>
        <c:lblAlgn val="ctr"/>
        <c:lblOffset val="100"/>
        <c:noMultiLvlLbl val="0"/>
      </c:catAx>
      <c:valAx>
        <c:axId val="55095729"/>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50" strike="noStrike" u="none">
                    <a:solidFill>
                      <a:srgbClr val="000000"/>
                    </a:solidFill>
                    <a:uFillTx/>
                    <a:latin typeface="Times New Roman"/>
                  </a:rPr>
                  <a:t>Maket Cap. Multiple</a:t>
                </a:r>
              </a:p>
            </c:rich>
          </c:tx>
          <c:overlay val="0"/>
          <c:spPr>
            <a:noFill/>
            <a:ln w="0">
              <a:noFill/>
            </a:ln>
          </c:spPr>
        </c:title>
        <c:numFmt formatCode="#,##0.0\x_);[RED]\(#,##0.0&quot;x)&quot;;;"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Times New Roman"/>
              </a:defRPr>
            </a:pPr>
          </a:p>
        </c:txPr>
        <c:crossAx val="50111463"/>
        <c:crossesAt val="1"/>
        <c:crossBetween val="midCat"/>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950"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chartSpace>
</file>

<file path=xl/charts/chart1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325" strike="noStrike" u="none">
                <a:solidFill>
                  <a:srgbClr val="000000"/>
                </a:solidFill>
                <a:uFillTx/>
                <a:latin typeface="Times New Roman"/>
              </a:rPr>
              <a:t>Ballard Power Systems (BLDP)</a:t>
            </a:r>
          </a:p>
        </c:rich>
      </c:tx>
      <c:overlay val="0"/>
      <c:spPr>
        <a:noFill/>
        <a:ln w="0">
          <a:noFill/>
        </a:ln>
      </c:spPr>
    </c:title>
    <c:autoTitleDeleted val="0"/>
    <c:plotArea>
      <c:lineChart>
        <c:grouping val="standard"/>
        <c:varyColors val="0"/>
        <c:ser>
          <c:idx val="0"/>
          <c:order val="0"/>
          <c:tx>
            <c:strRef>
              <c:f>"Sales"</c:f>
              <c:strCache>
                <c:ptCount val="1"/>
                <c:pt idx="0">
                  <c:v>Sales</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Companies'!$H$196:$H$211</c:f>
              <c:numCache>
                <c:formatCode>#,##0.0\x_);[RED]\(#,##0.0"x)";;</c:formatCode>
                <c:ptCount val="16"/>
                <c:pt idx="0">
                  <c:v>23.1271398390419</c:v>
                </c:pt>
                <c:pt idx="1">
                  <c:v>19.1654378747861</c:v>
                </c:pt>
                <c:pt idx="2">
                  <c:v>54.0879030545302</c:v>
                </c:pt>
                <c:pt idx="3">
                  <c:v>44.612025099734</c:v>
                </c:pt>
                <c:pt idx="4">
                  <c:v>45.2428710316224</c:v>
                </c:pt>
                <c:pt idx="5">
                  <c:v>133.188751231258</c:v>
                </c:pt>
                <c:pt idx="6">
                  <c:v>106.69725</c:v>
                </c:pt>
                <c:pt idx="7">
                  <c:v>103.182353671429</c:v>
                </c:pt>
                <c:pt idx="8">
                  <c:v>32.5983651866119</c:v>
                </c:pt>
                <c:pt idx="9">
                  <c:v>39.5809615384615</c:v>
                </c:pt>
                <c:pt idx="10">
                  <c:v>47.52</c:v>
                </c:pt>
                <c:pt idx="11">
                  <c:v>50.0175</c:v>
                </c:pt>
                <c:pt idx="12">
                  <c:v>49.005</c:v>
                </c:pt>
                <c:pt idx="13">
                  <c:v>44.55</c:v>
                </c:pt>
                <c:pt idx="14">
                  <c:v>72.53296875</c:v>
                </c:pt>
                <c:pt idx="15">
                  <c:v>96.3120085714286</c:v>
                </c:pt>
              </c:numCache>
            </c:numRef>
          </c:val>
          <c:smooth val="0"/>
        </c:ser>
        <c:hiLowLines>
          <c:spPr>
            <a:ln w="0">
              <a:noFill/>
            </a:ln>
          </c:spPr>
        </c:hiLowLines>
        <c:marker val="1"/>
        <c:axId val="96524033"/>
        <c:axId val="95943342"/>
      </c:lineChart>
      <c:lineChart>
        <c:grouping val="standard"/>
        <c:varyColors val="0"/>
        <c:ser>
          <c:idx val="1"/>
          <c:order val="1"/>
          <c:tx>
            <c:strRef>
              <c:f>"Price"</c:f>
              <c:strCache>
                <c:ptCount val="1"/>
                <c:pt idx="0">
                  <c:v>Price</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Companies'!$E$196:$E$211</c:f>
              <c:numCache>
                <c:formatCode>\$#,##0.0_);[RED]"($"#,##0.0\)</c:formatCode>
                <c:ptCount val="16"/>
                <c:pt idx="0">
                  <c:v>95.8556875</c:v>
                </c:pt>
                <c:pt idx="1">
                  <c:v>91.30375</c:v>
                </c:pt>
                <c:pt idx="2">
                  <c:v>88.043</c:v>
                </c:pt>
                <c:pt idx="3">
                  <c:v>80.088</c:v>
                </c:pt>
                <c:pt idx="4">
                  <c:v>123.988</c:v>
                </c:pt>
                <c:pt idx="5">
                  <c:v>73.096</c:v>
                </c:pt>
                <c:pt idx="6">
                  <c:v>75</c:v>
                </c:pt>
                <c:pt idx="7">
                  <c:v>70</c:v>
                </c:pt>
                <c:pt idx="8">
                  <c:v>72.624</c:v>
                </c:pt>
                <c:pt idx="9">
                  <c:v>65</c:v>
                </c:pt>
                <c:pt idx="10">
                  <c:v>60</c:v>
                </c:pt>
                <c:pt idx="11">
                  <c:v>55</c:v>
                </c:pt>
                <c:pt idx="12">
                  <c:v>50</c:v>
                </c:pt>
                <c:pt idx="13">
                  <c:v>45</c:v>
                </c:pt>
                <c:pt idx="14">
                  <c:v>40</c:v>
                </c:pt>
                <c:pt idx="15">
                  <c:v>35</c:v>
                </c:pt>
              </c:numCache>
            </c:numRef>
          </c:val>
          <c:smooth val="0"/>
        </c:ser>
        <c:hiLowLines>
          <c:spPr>
            <a:ln w="0">
              <a:noFill/>
            </a:ln>
          </c:spPr>
        </c:hiLowLines>
        <c:marker val="1"/>
        <c:axId val="99613973"/>
        <c:axId val="44018334"/>
      </c:lineChart>
      <c:catAx>
        <c:axId val="96524033"/>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50" strike="noStrike" u="none">
                <a:solidFill>
                  <a:srgbClr val="000000"/>
                </a:solidFill>
                <a:uFillTx/>
                <a:latin typeface="Times New Roman"/>
              </a:defRPr>
            </a:pPr>
          </a:p>
        </c:txPr>
        <c:crossAx val="95943342"/>
        <c:crossesAt val="0"/>
        <c:auto val="1"/>
        <c:lblAlgn val="ctr"/>
        <c:lblOffset val="100"/>
        <c:noMultiLvlLbl val="0"/>
      </c:catAx>
      <c:valAx>
        <c:axId val="95943342"/>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25" strike="noStrike" u="none">
                    <a:solidFill>
                      <a:srgbClr val="000000"/>
                    </a:solidFill>
                    <a:uFillTx/>
                    <a:latin typeface="Times New Roman"/>
                  </a:rPr>
                  <a:t>Revenue Multiple</a:t>
                </a:r>
              </a:p>
            </c:rich>
          </c:tx>
          <c:overlay val="0"/>
          <c:spPr>
            <a:noFill/>
            <a:ln w="0">
              <a:noFill/>
            </a:ln>
          </c:spPr>
        </c:title>
        <c:numFmt formatCode="#,##0.0\x_);[RED]\(#,##0.0&quot;x)&quot;;;"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Times New Roman"/>
              </a:defRPr>
            </a:pPr>
          </a:p>
        </c:txPr>
        <c:crossAx val="96524033"/>
        <c:crossesAt val="1"/>
        <c:crossBetween val="midCat"/>
      </c:valAx>
      <c:catAx>
        <c:axId val="99613973"/>
        <c:scaling>
          <c:orientation val="minMax"/>
        </c:scaling>
        <c:delete val="1"/>
        <c:axPos val="t"/>
        <c:numFmt formatCode="General" sourceLinked="1"/>
        <c:majorTickMark val="cross"/>
        <c:minorTickMark val="none"/>
        <c:tickLblPos val="nextTo"/>
        <c:spPr>
          <a:ln w="0">
            <a:noFill/>
          </a:ln>
        </c:spPr>
        <c:txPr>
          <a:bodyPr/>
          <a:lstStyle/>
          <a:p>
            <a:pPr>
              <a:defRPr b="0" sz="1050" strike="noStrike" u="none">
                <a:solidFill>
                  <a:srgbClr val="000000"/>
                </a:solidFill>
                <a:uFillTx/>
                <a:latin typeface="Times New Roman"/>
              </a:defRPr>
            </a:pPr>
          </a:p>
        </c:txPr>
        <c:crossAx val="44018334"/>
        <c:auto val="1"/>
        <c:lblAlgn val="ctr"/>
        <c:lblOffset val="100"/>
        <c:noMultiLvlLbl val="0"/>
      </c:catAx>
      <c:valAx>
        <c:axId val="44018334"/>
        <c:scaling>
          <c:orientation val="minMax"/>
        </c:scaling>
        <c:delete val="0"/>
        <c:axPos val="r"/>
        <c:title>
          <c:tx>
            <c:rich>
              <a:bodyPr rot="-5400000"/>
              <a:lstStyle/>
              <a:p>
                <a:pPr>
                  <a:defRPr b="0" sz="1300" strike="noStrike" u="none">
                    <a:uFillTx/>
                    <a:latin typeface="Arial"/>
                  </a:defRPr>
                </a:pPr>
                <a:r>
                  <a:rPr b="1" sz="925" strike="noStrike" u="none">
                    <a:solidFill>
                      <a:srgbClr val="000000"/>
                    </a:solidFill>
                    <a:uFillTx/>
                    <a:latin typeface="Times New Roman"/>
                  </a:rPr>
                  <a:t>Annaulized Revenues ($M)</a:t>
                </a:r>
              </a:p>
            </c:rich>
          </c:tx>
          <c:overlay val="0"/>
          <c:spPr>
            <a:noFill/>
            <a:ln w="0">
              <a:noFill/>
            </a:ln>
          </c:spPr>
        </c:title>
        <c:numFmt formatCode="\$#,##0_);[RED]&quot;($&quot;#,##0\)" sourceLinked="0"/>
        <c:majorTickMark val="cross"/>
        <c:minorTickMark val="none"/>
        <c:tickLblPos val="nextTo"/>
        <c:spPr>
          <a:ln w="0">
            <a:solidFill>
              <a:srgbClr val="000000"/>
            </a:solidFill>
          </a:ln>
        </c:spPr>
        <c:txPr>
          <a:bodyPr/>
          <a:lstStyle/>
          <a:p>
            <a:pPr>
              <a:defRPr b="0" sz="1050" strike="noStrike" u="none">
                <a:solidFill>
                  <a:srgbClr val="000000"/>
                </a:solidFill>
                <a:uFillTx/>
                <a:latin typeface="Times New Roman"/>
              </a:defRPr>
            </a:pPr>
          </a:p>
        </c:txPr>
        <c:crossAx val="99613973"/>
        <c:crosses val="max"/>
        <c:crossBetween val="midCat"/>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950"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chartSpace>
</file>

<file path=xl/charts/chart1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325" strike="noStrike" u="none">
                <a:solidFill>
                  <a:srgbClr val="000000"/>
                </a:solidFill>
                <a:uFillTx/>
                <a:latin typeface="Times New Roman"/>
              </a:rPr>
              <a:t>Itron (ITRI)</a:t>
            </a:r>
          </a:p>
        </c:rich>
      </c:tx>
      <c:overlay val="0"/>
      <c:spPr>
        <a:noFill/>
        <a:ln w="0">
          <a:noFill/>
        </a:ln>
      </c:spPr>
    </c:title>
    <c:autoTitleDeleted val="0"/>
    <c:plotArea>
      <c:lineChart>
        <c:grouping val="standard"/>
        <c:varyColors val="0"/>
        <c:ser>
          <c:idx val="0"/>
          <c:order val="0"/>
          <c:tx>
            <c:strRef>
              <c:f>"EBITDA"</c:f>
              <c:strCache>
                <c:ptCount val="1"/>
                <c:pt idx="0">
                  <c:v>EBITDA</c:v>
                </c:pt>
              </c:strCache>
            </c:strRef>
          </c:tx>
          <c:spPr>
            <a:solidFill>
              <a:srgbClr val="ff0000"/>
            </a:solidFill>
            <a:ln w="12600">
              <a:solidFill>
                <a:srgbClr val="ff0000"/>
              </a:solidFill>
              <a:round/>
            </a:ln>
          </c:spPr>
          <c:marker>
            <c:symbol val="square"/>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Companies'!$I$215:$I$230</c:f>
              <c:numCache>
                <c:formatCode>#,##0.0\x_);[RED]\(#,##0.0"x)";;</c:formatCode>
                <c:ptCount val="16"/>
                <c:pt idx="0">
                  <c:v>18.3998814287832</c:v>
                </c:pt>
                <c:pt idx="1">
                  <c:v>21.2519697780951</c:v>
                </c:pt>
                <c:pt idx="2">
                  <c:v>12.6733451007405</c:v>
                </c:pt>
                <c:pt idx="3">
                  <c:v>12.2642673775671</c:v>
                </c:pt>
                <c:pt idx="4">
                  <c:v>2.95213753423215</c:v>
                </c:pt>
                <c:pt idx="5">
                  <c:v>9.49599358974359</c:v>
                </c:pt>
                <c:pt idx="6">
                  <c:v>15.0017597372126</c:v>
                </c:pt>
                <c:pt idx="7">
                  <c:v>13.4431546118952</c:v>
                </c:pt>
                <c:pt idx="11">
                  <c:v>22.0303867403315</c:v>
                </c:pt>
                <c:pt idx="12">
                  <c:v>9.50270432692308</c:v>
                </c:pt>
                <c:pt idx="14">
                  <c:v>390.096875</c:v>
                </c:pt>
                <c:pt idx="15">
                  <c:v>43.210871257485</c:v>
                </c:pt>
              </c:numCache>
            </c:numRef>
          </c:val>
          <c:smooth val="0"/>
        </c:ser>
        <c:ser>
          <c:idx val="1"/>
          <c:order val="1"/>
          <c:tx>
            <c:strRef>
              <c:f>"Earnings"</c:f>
              <c:strCache>
                <c:ptCount val="1"/>
                <c:pt idx="0">
                  <c:v>Earnings</c:v>
                </c:pt>
              </c:strCache>
            </c:strRef>
          </c:tx>
          <c:spPr>
            <a:solidFill>
              <a:srgbClr val="00ff00"/>
            </a:solidFill>
            <a:ln w="12600">
              <a:solidFill>
                <a:srgbClr val="00ff00"/>
              </a:solidFill>
              <a:round/>
            </a:ln>
          </c:spPr>
          <c:marker>
            <c:symbol val="triangle"/>
            <c:size val="5"/>
            <c:spPr>
              <a:solidFill>
                <a:srgbClr val="00ff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Companies'!$J$215:$J$230</c:f>
              <c:numCache>
                <c:formatCode>#,##0.0\x_);[RED]\(#,##0.0"x)";;</c:formatCode>
                <c:ptCount val="16"/>
                <c:pt idx="0">
                  <c:v>47.2765795395534</c:v>
                </c:pt>
                <c:pt idx="1">
                  <c:v>54.0511968527765</c:v>
                </c:pt>
                <c:pt idx="2">
                  <c:v>23.5124968051118</c:v>
                </c:pt>
                <c:pt idx="3">
                  <c:v>30.2465503246753</c:v>
                </c:pt>
                <c:pt idx="4">
                  <c:v>15.5882056451613</c:v>
                </c:pt>
                <c:pt idx="5">
                  <c:v>22.4342848557692</c:v>
                </c:pt>
                <c:pt idx="6">
                  <c:v>36.0821106094808</c:v>
                </c:pt>
                <c:pt idx="7">
                  <c:v>14.558525518559</c:v>
                </c:pt>
                <c:pt idx="11">
                  <c:v>10.4658792650919</c:v>
                </c:pt>
                <c:pt idx="12">
                  <c:v>42.9516173245613</c:v>
                </c:pt>
                <c:pt idx="15">
                  <c:v>471.648071895425</c:v>
                </c:pt>
              </c:numCache>
            </c:numRef>
          </c:val>
          <c:smooth val="0"/>
        </c:ser>
        <c:hiLowLines>
          <c:spPr>
            <a:ln w="0">
              <a:noFill/>
            </a:ln>
          </c:spPr>
        </c:hiLowLines>
        <c:marker val="1"/>
        <c:axId val="55579666"/>
        <c:axId val="28204976"/>
      </c:lineChart>
      <c:barChart>
        <c:barDir val="col"/>
        <c:grouping val="clustered"/>
        <c:varyColors val="0"/>
        <c:ser>
          <c:idx val="2"/>
          <c:order val="2"/>
          <c:tx>
            <c:strRef>
              <c:f>"Sales"</c:f>
              <c:strCache>
                <c:ptCount val="1"/>
                <c:pt idx="0">
                  <c:v>Sales</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Companies'!$H$215:$H$230</c:f>
              <c:numCache>
                <c:formatCode>#,##0.0\x_);[RED]\(#,##0.0"x)";;</c:formatCode>
                <c:ptCount val="16"/>
                <c:pt idx="0">
                  <c:v>1.73039220655468</c:v>
                </c:pt>
                <c:pt idx="1">
                  <c:v>1.86197881700477</c:v>
                </c:pt>
                <c:pt idx="2">
                  <c:v>1.39187719862314</c:v>
                </c:pt>
                <c:pt idx="3">
                  <c:v>0.981079394667004</c:v>
                </c:pt>
                <c:pt idx="4">
                  <c:v>0.286118476796178</c:v>
                </c:pt>
                <c:pt idx="5">
                  <c:v>0.548709020248818</c:v>
                </c:pt>
                <c:pt idx="6">
                  <c:v>0.713365243004418</c:v>
                </c:pt>
                <c:pt idx="7">
                  <c:v>0.559637810021403</c:v>
                </c:pt>
                <c:pt idx="8">
                  <c:v>0.555598143418939</c:v>
                </c:pt>
                <c:pt idx="9">
                  <c:v>0.450370676513607</c:v>
                </c:pt>
                <c:pt idx="10">
                  <c:v>0.618771475566662</c:v>
                </c:pt>
                <c:pt idx="11">
                  <c:v>0.690874963904129</c:v>
                </c:pt>
                <c:pt idx="12">
                  <c:v>0.433763876920723</c:v>
                </c:pt>
                <c:pt idx="13">
                  <c:v>0.442852600339175</c:v>
                </c:pt>
                <c:pt idx="14">
                  <c:v>0.770320805015715</c:v>
                </c:pt>
                <c:pt idx="15">
                  <c:v>1.13270162303007</c:v>
                </c:pt>
              </c:numCache>
            </c:numRef>
          </c:val>
        </c:ser>
        <c:gapWidth val="150"/>
        <c:overlap val="0"/>
        <c:axId val="36819273"/>
        <c:axId val="5028912"/>
      </c:barChart>
      <c:catAx>
        <c:axId val="55579666"/>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50" strike="noStrike" u="none">
                <a:solidFill>
                  <a:srgbClr val="000000"/>
                </a:solidFill>
                <a:uFillTx/>
                <a:latin typeface="Times New Roman"/>
              </a:defRPr>
            </a:pPr>
          </a:p>
        </c:txPr>
        <c:crossAx val="28204976"/>
        <c:crossesAt val="0"/>
        <c:auto val="1"/>
        <c:lblAlgn val="ctr"/>
        <c:lblOffset val="100"/>
        <c:noMultiLvlLbl val="0"/>
      </c:catAx>
      <c:valAx>
        <c:axId val="28204976"/>
        <c:scaling>
          <c:orientation val="minMax"/>
          <c:max val="50"/>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50" strike="noStrike" u="none">
                    <a:solidFill>
                      <a:srgbClr val="000000"/>
                    </a:solidFill>
                    <a:uFillTx/>
                    <a:latin typeface="Times New Roman"/>
                  </a:rPr>
                  <a:t>Price to EBITDA &amp; Income</a:t>
                </a:r>
              </a:p>
            </c:rich>
          </c:tx>
          <c:overlay val="0"/>
          <c:spPr>
            <a:noFill/>
            <a:ln w="0">
              <a:noFill/>
            </a:ln>
          </c:spPr>
        </c:title>
        <c:numFmt formatCode="#,##0.0\x_);[RED]\(#,##0.0&quot;x)&quot;;;"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Times New Roman"/>
              </a:defRPr>
            </a:pPr>
          </a:p>
        </c:txPr>
        <c:crossAx val="55579666"/>
        <c:crossesAt val="1"/>
        <c:crossBetween val="midCat"/>
        <c:majorUnit val="5"/>
      </c:valAx>
      <c:catAx>
        <c:axId val="36819273"/>
        <c:scaling>
          <c:orientation val="minMax"/>
        </c:scaling>
        <c:delete val="1"/>
        <c:axPos val="t"/>
        <c:numFmt formatCode="General" sourceLinked="1"/>
        <c:majorTickMark val="out"/>
        <c:minorTickMark val="none"/>
        <c:tickLblPos val="nextTo"/>
        <c:spPr>
          <a:ln w="0">
            <a:noFill/>
          </a:ln>
        </c:spPr>
        <c:txPr>
          <a:bodyPr/>
          <a:lstStyle/>
          <a:p>
            <a:pPr>
              <a:defRPr b="0" sz="1050" strike="noStrike" u="none">
                <a:solidFill>
                  <a:srgbClr val="000000"/>
                </a:solidFill>
                <a:uFillTx/>
                <a:latin typeface="Times New Roman"/>
              </a:defRPr>
            </a:pPr>
          </a:p>
        </c:txPr>
        <c:crossAx val="5028912"/>
        <c:auto val="1"/>
        <c:lblAlgn val="ctr"/>
        <c:lblOffset val="100"/>
        <c:noMultiLvlLbl val="0"/>
      </c:catAx>
      <c:valAx>
        <c:axId val="5028912"/>
        <c:scaling>
          <c:orientation val="minMax"/>
          <c:max val="5"/>
        </c:scaling>
        <c:delete val="0"/>
        <c:axPos val="r"/>
        <c:title>
          <c:tx>
            <c:rich>
              <a:bodyPr rot="-5400000"/>
              <a:lstStyle/>
              <a:p>
                <a:pPr>
                  <a:defRPr b="0" sz="1300" strike="noStrike" u="none">
                    <a:uFillTx/>
                    <a:latin typeface="Arial"/>
                  </a:defRPr>
                </a:pPr>
                <a:r>
                  <a:rPr b="1" sz="1050" strike="noStrike" u="none">
                    <a:solidFill>
                      <a:srgbClr val="000000"/>
                    </a:solidFill>
                    <a:uFillTx/>
                    <a:latin typeface="Times New Roman"/>
                  </a:rPr>
                  <a:t>Pice to Sales</a:t>
                </a:r>
              </a:p>
            </c:rich>
          </c:tx>
          <c:overlay val="0"/>
          <c:spPr>
            <a:noFill/>
            <a:ln w="0">
              <a:noFill/>
            </a:ln>
          </c:spPr>
        </c:title>
        <c:numFmt formatCode="#,##0.0\x_);[RED]\(#,##0.0&quot;x)&quot;;;" sourceLinked="1"/>
        <c:majorTickMark val="out"/>
        <c:minorTickMark val="none"/>
        <c:tickLblPos val="nextTo"/>
        <c:spPr>
          <a:ln w="0">
            <a:solidFill>
              <a:srgbClr val="000000"/>
            </a:solidFill>
          </a:ln>
        </c:spPr>
        <c:txPr>
          <a:bodyPr/>
          <a:lstStyle/>
          <a:p>
            <a:pPr>
              <a:defRPr b="0" sz="1050" strike="noStrike" u="none">
                <a:solidFill>
                  <a:srgbClr val="000000"/>
                </a:solidFill>
                <a:uFillTx/>
                <a:latin typeface="Times New Roman"/>
              </a:defRPr>
            </a:pPr>
          </a:p>
        </c:txPr>
        <c:crossAx val="36819273"/>
        <c:crosses val="max"/>
        <c:crossBetween val="midCat"/>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950"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25" strike="noStrike" u="none">
                <a:solidFill>
                  <a:srgbClr val="000000"/>
                </a:solidFill>
                <a:uFillTx/>
                <a:latin typeface="Times New Roman"/>
              </a:rPr>
              <a:t>IdleAire Technologies Value Projection</a:t>
            </a:r>
          </a:p>
        </c:rich>
      </c:tx>
      <c:overlay val="0"/>
      <c:spPr>
        <a:noFill/>
        <a:ln w="0">
          <a:noFill/>
        </a:ln>
      </c:spPr>
    </c:title>
    <c:autoTitleDeleted val="0"/>
    <c:plotArea>
      <c:barChart>
        <c:barDir val="col"/>
        <c:grouping val="clustered"/>
        <c:varyColors val="0"/>
        <c:ser>
          <c:idx val="0"/>
          <c:order val="0"/>
          <c:tx>
            <c:strRef>
              <c:f>"Share Price"</c:f>
              <c:strCache>
                <c:ptCount val="1"/>
                <c:pt idx="0">
                  <c:v>Share Price</c:v>
                </c:pt>
              </c:strCache>
            </c:strRef>
          </c:tx>
          <c:spPr>
            <a:solidFill>
              <a:srgbClr val="ff0000"/>
            </a:solidFill>
            <a:ln w="12600">
              <a:solidFill>
                <a:srgbClr val="ff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ff0000"/>
                  </a:solidFill>
                </a:ln>
              </c:spPr>
            </c:leaderLines>
            <c:extLst>
              <c:ext xmlns:c15="http://schemas.microsoft.com/office/drawing/2012/chart" uri="{CE6537A1-D6FC-4f65-9D91-7224C49458BB}">
                <c15:showLeaderLines val="1"/>
              </c:ext>
            </c:extLst>
          </c:dLbls>
          <c:cat>
            <c:multiLvlStrRef>
              <c:f>Graphs!$D$20:$Y$20</c:f>
              <c:multiLvlStrCache>
                <c:ptCount val="1"/>
                <c:lvl>
                  <c:pt idx="0">
                    <c:v>4Q05</c:v>
                  </c:pt>
                </c:lvl>
                <c:lvl>
                  <c:pt idx="0">
                    <c:v>3Q05</c:v>
                  </c:pt>
                </c:lvl>
                <c:lvl>
                  <c:pt idx="0">
                    <c:v>2Q05</c:v>
                  </c:pt>
                </c:lvl>
                <c:lvl>
                  <c:pt idx="0">
                    <c:v>1Q05</c:v>
                  </c:pt>
                </c:lvl>
                <c:lvl>
                  <c:pt idx="0">
                    <c:v>4Q04</c:v>
                  </c:pt>
                </c:lvl>
                <c:lvl>
                  <c:pt idx="0">
                    <c:v>3Q04</c:v>
                  </c:pt>
                </c:lvl>
                <c:lvl>
                  <c:pt idx="0">
                    <c:v>2Q04</c:v>
                  </c:pt>
                </c:lvl>
                <c:lvl>
                  <c:pt idx="0">
                    <c:v>1Q04</c:v>
                  </c:pt>
                </c:lvl>
                <c:lvl>
                  <c:pt idx="0">
                    <c:v>4Q03</c:v>
                  </c:pt>
                </c:lvl>
                <c:lvl>
                  <c:pt idx="0">
                    <c:v>3Q03</c:v>
                  </c:pt>
                </c:lvl>
                <c:lvl>
                  <c:pt idx="0">
                    <c:v>2Q03</c:v>
                  </c:pt>
                </c:lvl>
                <c:lvl>
                  <c:pt idx="0">
                    <c:v>1Q03</c:v>
                  </c:pt>
                </c:lvl>
                <c:lvl>
                  <c:pt idx="0">
                    <c:v>4Q02</c:v>
                  </c:pt>
                </c:lvl>
                <c:lvl>
                  <c:pt idx="0">
                    <c:v>3Q02</c:v>
                  </c:pt>
                </c:lvl>
                <c:lvl>
                  <c:pt idx="0">
                    <c:v>2Q02</c:v>
                  </c:pt>
                </c:lvl>
                <c:lvl>
                  <c:pt idx="0">
                    <c:v>1Q02</c:v>
                  </c:pt>
                </c:lvl>
                <c:lvl>
                  <c:pt idx="0">
                    <c:v>4Q01</c:v>
                  </c:pt>
                </c:lvl>
                <c:lvl>
                  <c:pt idx="0">
                    <c:v>3Q01</c:v>
                  </c:pt>
                </c:lvl>
                <c:lvl>
                  <c:pt idx="0">
                    <c:v>2Q01</c:v>
                  </c:pt>
                </c:lvl>
                <c:lvl>
                  <c:pt idx="0">
                    <c:v>1Q01</c:v>
                  </c:pt>
                </c:lvl>
                <c:lvl>
                  <c:pt idx="0">
                    <c:v>4Q00</c:v>
                  </c:pt>
                </c:lvl>
                <c:lvl>
                  <c:pt idx="0">
                    <c:v>3Q00</c:v>
                  </c:pt>
                </c:lvl>
              </c:multiLvlStrCache>
            </c:multiLvlStrRef>
          </c:cat>
          <c:val>
            <c:numRef>
              <c:f>Graphs!$D$30:$Y$30</c:f>
              <c:numCache>
                <c:formatCode>\$#,##0.00_);[RED]"($"#,##0.00\);;</c:formatCode>
                <c:ptCount val="22"/>
                <c:pt idx="0">
                  <c:v>0.833</c:v>
                </c:pt>
                <c:pt idx="1">
                  <c:v>0.832588845014808</c:v>
                </c:pt>
                <c:pt idx="2">
                  <c:v>1.59366077159742</c:v>
                </c:pt>
                <c:pt idx="3">
                  <c:v>2</c:v>
                </c:pt>
                <c:pt idx="4">
                  <c:v>1.98703913446723</c:v>
                </c:pt>
                <c:pt idx="5">
                  <c:v>2.36296545720428</c:v>
                </c:pt>
                <c:pt idx="6">
                  <c:v>4.21958117357907</c:v>
                </c:pt>
                <c:pt idx="7">
                  <c:v>4.44021384563882</c:v>
                </c:pt>
                <c:pt idx="8">
                  <c:v>6.64229533583225</c:v>
                </c:pt>
                <c:pt idx="9">
                  <c:v>7.20987749647684</c:v>
                </c:pt>
                <c:pt idx="10">
                  <c:v>8.77636182941166</c:v>
                </c:pt>
                <c:pt idx="11">
                  <c:v>14.6186592051947</c:v>
                </c:pt>
                <c:pt idx="12">
                  <c:v>25.4048904640788</c:v>
                </c:pt>
                <c:pt idx="13">
                  <c:v>41.9565421583994</c:v>
                </c:pt>
                <c:pt idx="14">
                  <c:v>44.8486988980437</c:v>
                </c:pt>
                <c:pt idx="15">
                  <c:v>60.1832450579329</c:v>
                </c:pt>
                <c:pt idx="16">
                  <c:v>87.0510151177876</c:v>
                </c:pt>
                <c:pt idx="17">
                  <c:v>121.305199105241</c:v>
                </c:pt>
                <c:pt idx="18">
                  <c:v>121.305199105241</c:v>
                </c:pt>
                <c:pt idx="19">
                  <c:v>142.471373216802</c:v>
                </c:pt>
                <c:pt idx="20">
                  <c:v>197.402223773168</c:v>
                </c:pt>
                <c:pt idx="21">
                  <c:v>270.355571400313</c:v>
                </c:pt>
              </c:numCache>
            </c:numRef>
          </c:val>
        </c:ser>
        <c:gapWidth val="150"/>
        <c:overlap val="0"/>
        <c:axId val="88690667"/>
        <c:axId val="26231944"/>
      </c:barChart>
      <c:lineChart>
        <c:grouping val="standard"/>
        <c:varyColors val="0"/>
        <c:ser>
          <c:idx val="1"/>
          <c:order val="1"/>
          <c:tx>
            <c:strRef>
              <c:f>"Revenues"</c:f>
              <c:strCache>
                <c:ptCount val="1"/>
                <c:pt idx="0">
                  <c:v>Revenues</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Graphs!$D$20:$Y$20</c:f>
              <c:multiLvlStrCache>
                <c:ptCount val="1"/>
                <c:lvl>
                  <c:pt idx="0">
                    <c:v>4Q05</c:v>
                  </c:pt>
                </c:lvl>
                <c:lvl>
                  <c:pt idx="0">
                    <c:v>3Q05</c:v>
                  </c:pt>
                </c:lvl>
                <c:lvl>
                  <c:pt idx="0">
                    <c:v>2Q05</c:v>
                  </c:pt>
                </c:lvl>
                <c:lvl>
                  <c:pt idx="0">
                    <c:v>1Q05</c:v>
                  </c:pt>
                </c:lvl>
                <c:lvl>
                  <c:pt idx="0">
                    <c:v>4Q04</c:v>
                  </c:pt>
                </c:lvl>
                <c:lvl>
                  <c:pt idx="0">
                    <c:v>3Q04</c:v>
                  </c:pt>
                </c:lvl>
                <c:lvl>
                  <c:pt idx="0">
                    <c:v>2Q04</c:v>
                  </c:pt>
                </c:lvl>
                <c:lvl>
                  <c:pt idx="0">
                    <c:v>1Q04</c:v>
                  </c:pt>
                </c:lvl>
                <c:lvl>
                  <c:pt idx="0">
                    <c:v>4Q03</c:v>
                  </c:pt>
                </c:lvl>
                <c:lvl>
                  <c:pt idx="0">
                    <c:v>3Q03</c:v>
                  </c:pt>
                </c:lvl>
                <c:lvl>
                  <c:pt idx="0">
                    <c:v>2Q03</c:v>
                  </c:pt>
                </c:lvl>
                <c:lvl>
                  <c:pt idx="0">
                    <c:v>1Q03</c:v>
                  </c:pt>
                </c:lvl>
                <c:lvl>
                  <c:pt idx="0">
                    <c:v>4Q02</c:v>
                  </c:pt>
                </c:lvl>
                <c:lvl>
                  <c:pt idx="0">
                    <c:v>3Q02</c:v>
                  </c:pt>
                </c:lvl>
                <c:lvl>
                  <c:pt idx="0">
                    <c:v>2Q02</c:v>
                  </c:pt>
                </c:lvl>
                <c:lvl>
                  <c:pt idx="0">
                    <c:v>1Q02</c:v>
                  </c:pt>
                </c:lvl>
                <c:lvl>
                  <c:pt idx="0">
                    <c:v>4Q01</c:v>
                  </c:pt>
                </c:lvl>
                <c:lvl>
                  <c:pt idx="0">
                    <c:v>3Q01</c:v>
                  </c:pt>
                </c:lvl>
                <c:lvl>
                  <c:pt idx="0">
                    <c:v>2Q01</c:v>
                  </c:pt>
                </c:lvl>
                <c:lvl>
                  <c:pt idx="0">
                    <c:v>1Q01</c:v>
                  </c:pt>
                </c:lvl>
                <c:lvl>
                  <c:pt idx="0">
                    <c:v>4Q00</c:v>
                  </c:pt>
                </c:lvl>
                <c:lvl>
                  <c:pt idx="0">
                    <c:v>3Q00</c:v>
                  </c:pt>
                </c:lvl>
              </c:multiLvlStrCache>
            </c:multiLvlStrRef>
          </c:cat>
          <c:val>
            <c:numRef>
              <c:f>Graphs!$D$22:$Y$22</c:f>
              <c:numCache>
                <c:formatCode>\$#,##0.0;"($"#,##0.0\);;</c:formatCode>
                <c:ptCount val="22"/>
                <c:pt idx="0">
                  <c:v>0</c:v>
                </c:pt>
                <c:pt idx="1">
                  <c:v>0</c:v>
                </c:pt>
                <c:pt idx="2">
                  <c:v>0</c:v>
                </c:pt>
                <c:pt idx="3">
                  <c:v>0</c:v>
                </c:pt>
                <c:pt idx="4">
                  <c:v>0.106</c:v>
                </c:pt>
                <c:pt idx="5">
                  <c:v>2.41025543</c:v>
                </c:pt>
                <c:pt idx="6">
                  <c:v>4.758592323575</c:v>
                </c:pt>
                <c:pt idx="7">
                  <c:v>14.61510851625</c:v>
                </c:pt>
                <c:pt idx="8">
                  <c:v>39.35399665625</c:v>
                </c:pt>
                <c:pt idx="9">
                  <c:v>64.5791819415</c:v>
                </c:pt>
                <c:pt idx="10">
                  <c:v>106.950862614139</c:v>
                </c:pt>
                <c:pt idx="11">
                  <c:v>178.146507932035</c:v>
                </c:pt>
                <c:pt idx="12">
                  <c:v>309.5901243093</c:v>
                </c:pt>
                <c:pt idx="13">
                  <c:v>511.292545062278</c:v>
                </c:pt>
                <c:pt idx="14">
                  <c:v>563.577804773539</c:v>
                </c:pt>
                <c:pt idx="15">
                  <c:v>756.274807681819</c:v>
                </c:pt>
                <c:pt idx="16">
                  <c:v>1093.90063053827</c:v>
                </c:pt>
                <c:pt idx="17">
                  <c:v>1524.34562203834</c:v>
                </c:pt>
                <c:pt idx="18">
                  <c:v>1450.63826028285</c:v>
                </c:pt>
                <c:pt idx="19">
                  <c:v>1790.3240391239</c:v>
                </c:pt>
                <c:pt idx="20">
                  <c:v>2480.59619710283</c:v>
                </c:pt>
                <c:pt idx="21">
                  <c:v>3397.34269180171</c:v>
                </c:pt>
              </c:numCache>
            </c:numRef>
          </c:val>
          <c:smooth val="0"/>
        </c:ser>
        <c:hiLowLines>
          <c:spPr>
            <a:ln w="0">
              <a:noFill/>
            </a:ln>
          </c:spPr>
        </c:hiLowLines>
        <c:marker val="1"/>
        <c:axId val="7239235"/>
        <c:axId val="14353373"/>
      </c:lineChart>
      <c:catAx>
        <c:axId val="88690667"/>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800" strike="noStrike" u="none">
                <a:solidFill>
                  <a:srgbClr val="000000"/>
                </a:solidFill>
                <a:uFillTx/>
                <a:latin typeface="Times New Roman"/>
              </a:defRPr>
            </a:pPr>
          </a:p>
        </c:txPr>
        <c:crossAx val="26231944"/>
        <c:crossesAt val="0"/>
        <c:auto val="1"/>
        <c:lblAlgn val="ctr"/>
        <c:lblOffset val="100"/>
        <c:noMultiLvlLbl val="0"/>
      </c:catAx>
      <c:valAx>
        <c:axId val="26231944"/>
        <c:scaling>
          <c:orientation val="minMax"/>
          <c:max val="280"/>
          <c:min val="0"/>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800" strike="noStrike" u="none">
                    <a:solidFill>
                      <a:srgbClr val="000000"/>
                    </a:solidFill>
                    <a:uFillTx/>
                    <a:latin typeface="Times New Roman"/>
                  </a:rPr>
                  <a:t>Share Price</a:t>
                </a:r>
              </a:p>
            </c:rich>
          </c:tx>
          <c:overlay val="0"/>
          <c:spPr>
            <a:noFill/>
            <a:ln w="0">
              <a:noFill/>
            </a:ln>
          </c:spPr>
        </c:title>
        <c:numFmt formatCode="\$#,##0.00_);[RED]&quot;($&quot;#,##0.00\);;"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Times New Roman"/>
              </a:defRPr>
            </a:pPr>
          </a:p>
        </c:txPr>
        <c:crossAx val="88690667"/>
        <c:crossesAt val="1"/>
        <c:crossBetween val="midCat"/>
      </c:valAx>
      <c:catAx>
        <c:axId val="7239235"/>
        <c:scaling>
          <c:orientation val="minMax"/>
        </c:scaling>
        <c:delete val="1"/>
        <c:axPos val="t"/>
        <c:numFmt formatCode="General" sourceLinked="1"/>
        <c:majorTickMark val="cross"/>
        <c:minorTickMark val="none"/>
        <c:tickLblPos val="nextTo"/>
        <c:spPr>
          <a:ln w="0">
            <a:noFill/>
          </a:ln>
        </c:spPr>
        <c:txPr>
          <a:bodyPr/>
          <a:lstStyle/>
          <a:p>
            <a:pPr>
              <a:defRPr b="0" sz="850" strike="noStrike" u="none">
                <a:solidFill>
                  <a:srgbClr val="000000"/>
                </a:solidFill>
                <a:uFillTx/>
                <a:latin typeface="Arial"/>
              </a:defRPr>
            </a:pPr>
          </a:p>
        </c:txPr>
        <c:crossAx val="14353373"/>
        <c:auto val="1"/>
        <c:lblAlgn val="ctr"/>
        <c:lblOffset val="100"/>
        <c:noMultiLvlLbl val="0"/>
      </c:catAx>
      <c:valAx>
        <c:axId val="14353373"/>
        <c:scaling>
          <c:orientation val="minMax"/>
          <c:max val="3500"/>
        </c:scaling>
        <c:delete val="0"/>
        <c:axPos val="r"/>
        <c:title>
          <c:tx>
            <c:rich>
              <a:bodyPr rot="-5400000"/>
              <a:lstStyle/>
              <a:p>
                <a:pPr>
                  <a:defRPr b="0" sz="1300" strike="noStrike" u="none">
                    <a:uFillTx/>
                    <a:latin typeface="Arial"/>
                  </a:defRPr>
                </a:pPr>
                <a:r>
                  <a:rPr b="1" sz="800" strike="noStrike" u="none">
                    <a:solidFill>
                      <a:srgbClr val="000000"/>
                    </a:solidFill>
                    <a:uFillTx/>
                    <a:latin typeface="Times New Roman"/>
                  </a:rPr>
                  <a:t>Annualized Revenues ($M)</a:t>
                </a:r>
              </a:p>
            </c:rich>
          </c:tx>
          <c:overlay val="0"/>
          <c:spPr>
            <a:noFill/>
            <a:ln w="0">
              <a:noFill/>
            </a:ln>
          </c:spPr>
        </c:title>
        <c:numFmt formatCode="\$#,##0.0;&quot;($&quot;#,##0.0\);;" sourceLinked="1"/>
        <c:majorTickMark val="cross"/>
        <c:minorTickMark val="none"/>
        <c:tickLblPos val="nextTo"/>
        <c:spPr>
          <a:ln w="0">
            <a:solidFill>
              <a:srgbClr val="000000"/>
            </a:solidFill>
          </a:ln>
        </c:spPr>
        <c:txPr>
          <a:bodyPr/>
          <a:lstStyle/>
          <a:p>
            <a:pPr>
              <a:defRPr b="0" sz="800" strike="noStrike" u="none">
                <a:solidFill>
                  <a:srgbClr val="000000"/>
                </a:solidFill>
                <a:uFillTx/>
                <a:latin typeface="Times New Roman"/>
              </a:defRPr>
            </a:pPr>
          </a:p>
        </c:txPr>
        <c:crossAx val="7239235"/>
        <c:crosses val="max"/>
        <c:crossBetween val="midCat"/>
      </c:valAx>
      <c:spPr>
        <a:solidFill>
          <a:srgbClr val="ffffff"/>
        </a:solidFill>
        <a:ln w="12600">
          <a:solidFill>
            <a:srgbClr val="808080"/>
          </a:solidFill>
          <a:round/>
        </a:ln>
      </c:spPr>
    </c:plotArea>
    <c:legend>
      <c:legendPos val="b"/>
      <c:overlay val="0"/>
      <c:spPr>
        <a:solidFill>
          <a:srgbClr val="ffffff"/>
        </a:solidFill>
        <a:ln w="0">
          <a:solidFill>
            <a:srgbClr val="000000"/>
          </a:solidFill>
        </a:ln>
      </c:spPr>
      <c:txPr>
        <a:bodyPr/>
        <a:lstStyle/>
        <a:p>
          <a:pPr>
            <a:defRPr b="0" sz="800"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600" strike="noStrike" u="none">
                <a:solidFill>
                  <a:srgbClr val="000000"/>
                </a:solidFill>
                <a:uFillTx/>
                <a:latin typeface="Times New Roman"/>
              </a:rPr>
              <a:t>Qualcomm (QCOM)</a:t>
            </a:r>
          </a:p>
        </c:rich>
      </c:tx>
      <c:overlay val="0"/>
      <c:spPr>
        <a:noFill/>
        <a:ln w="0">
          <a:noFill/>
        </a:ln>
      </c:spPr>
    </c:title>
    <c:autoTitleDeleted val="0"/>
    <c:plotArea>
      <c:lineChart>
        <c:grouping val="standard"/>
        <c:varyColors val="0"/>
        <c:ser>
          <c:idx val="0"/>
          <c:order val="0"/>
          <c:tx>
            <c:strRef>
              <c:f>"Sales"</c:f>
              <c:strCache>
                <c:ptCount val="1"/>
                <c:pt idx="0">
                  <c:v>Sales</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Companies'!$H$6:$H$21</c:f>
              <c:numCache>
                <c:formatCode>#,##0.0\x_);[RED]\(#,##0.0"x)";;</c:formatCode>
                <c:ptCount val="16"/>
                <c:pt idx="0">
                  <c:v>11.8696898651719</c:v>
                </c:pt>
                <c:pt idx="1">
                  <c:v>13.108422941869</c:v>
                </c:pt>
                <c:pt idx="2">
                  <c:v>15.9666569807031</c:v>
                </c:pt>
                <c:pt idx="3">
                  <c:v>14.8815728596365</c:v>
                </c:pt>
                <c:pt idx="4">
                  <c:v>22.5132166538016</c:v>
                </c:pt>
                <c:pt idx="5">
                  <c:v>20.900552221278</c:v>
                </c:pt>
                <c:pt idx="6">
                  <c:v>15.5931290039116</c:v>
                </c:pt>
                <c:pt idx="7">
                  <c:v>36.7678499716932</c:v>
                </c:pt>
                <c:pt idx="8">
                  <c:v>26.1255760227235</c:v>
                </c:pt>
                <c:pt idx="9">
                  <c:v>28.2702031722964</c:v>
                </c:pt>
                <c:pt idx="10">
                  <c:v>21.4621800319645</c:v>
                </c:pt>
                <c:pt idx="11">
                  <c:v>19.2905005389347</c:v>
                </c:pt>
                <c:pt idx="12">
                  <c:v>7.76419854805928</c:v>
                </c:pt>
                <c:pt idx="13">
                  <c:v>7.23794819410216</c:v>
                </c:pt>
                <c:pt idx="14">
                  <c:v>8.8933789893055</c:v>
                </c:pt>
                <c:pt idx="15">
                  <c:v>9.69812491700118</c:v>
                </c:pt>
              </c:numCache>
            </c:numRef>
          </c:val>
          <c:smooth val="0"/>
        </c:ser>
        <c:ser>
          <c:idx val="1"/>
          <c:order val="1"/>
          <c:tx>
            <c:strRef>
              <c:f>"EBITDA"</c:f>
              <c:strCache>
                <c:ptCount val="1"/>
                <c:pt idx="0">
                  <c:v>EBITDA</c:v>
                </c:pt>
              </c:strCache>
            </c:strRef>
          </c:tx>
          <c:spPr>
            <a:solidFill>
              <a:srgbClr val="ff0000"/>
            </a:solidFill>
            <a:ln w="12600">
              <a:solidFill>
                <a:srgbClr val="ff0000"/>
              </a:solidFill>
              <a:round/>
            </a:ln>
          </c:spPr>
          <c:marker>
            <c:symbol val="square"/>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Companies'!$I$6:$I$21</c:f>
              <c:numCache>
                <c:formatCode>#,##0.0\x_);[RED]\(#,##0.0"x)";;</c:formatCode>
                <c:ptCount val="16"/>
                <c:pt idx="0">
                  <c:v>40.1325200981406</c:v>
                </c:pt>
                <c:pt idx="1">
                  <c:v>44.3207912881613</c:v>
                </c:pt>
                <c:pt idx="2">
                  <c:v>53.9847451329265</c:v>
                </c:pt>
                <c:pt idx="3">
                  <c:v>50.3159752837111</c:v>
                </c:pt>
                <c:pt idx="5">
                  <c:v>76.7288575223003</c:v>
                </c:pt>
                <c:pt idx="6">
                  <c:v>51.0991622805809</c:v>
                </c:pt>
                <c:pt idx="7">
                  <c:v>372.713458598571</c:v>
                </c:pt>
                <c:pt idx="8">
                  <c:v>112.582485880325</c:v>
                </c:pt>
                <c:pt idx="9">
                  <c:v>133.853768700475</c:v>
                </c:pt>
                <c:pt idx="10">
                  <c:v>219.21970135903</c:v>
                </c:pt>
                <c:pt idx="11">
                  <c:v>3466.2490364232</c:v>
                </c:pt>
                <c:pt idx="12">
                  <c:v>93.7527871144866</c:v>
                </c:pt>
                <c:pt idx="13">
                  <c:v>78.7407060658396</c:v>
                </c:pt>
                <c:pt idx="14">
                  <c:v>145.936060296516</c:v>
                </c:pt>
                <c:pt idx="15">
                  <c:v>143.777665152726</c:v>
                </c:pt>
              </c:numCache>
            </c:numRef>
          </c:val>
          <c:smooth val="0"/>
        </c:ser>
        <c:ser>
          <c:idx val="2"/>
          <c:order val="2"/>
          <c:tx>
            <c:strRef>
              <c:f>"Earnings"</c:f>
              <c:strCache>
                <c:ptCount val="1"/>
                <c:pt idx="0">
                  <c:v>Earnings</c:v>
                </c:pt>
              </c:strCache>
            </c:strRef>
          </c:tx>
          <c:spPr>
            <a:solidFill>
              <a:srgbClr val="00ff00"/>
            </a:solidFill>
            <a:ln w="12600">
              <a:solidFill>
                <a:srgbClr val="00ff00"/>
              </a:solidFill>
              <a:round/>
            </a:ln>
          </c:spPr>
          <c:marker>
            <c:symbol val="triangle"/>
            <c:size val="5"/>
            <c:spPr>
              <a:solidFill>
                <a:srgbClr val="00ff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Companies'!$J$6:$J$21</c:f>
              <c:numCache>
                <c:formatCode>#,##0.0\x_);[RED]\(#,##0.0"x)";;</c:formatCode>
                <c:ptCount val="16"/>
                <c:pt idx="0">
                  <c:v>56.7921249113391</c:v>
                </c:pt>
                <c:pt idx="1">
                  <c:v>62.7190096423392</c:v>
                </c:pt>
                <c:pt idx="2">
                  <c:v>76.3946141781916</c:v>
                </c:pt>
                <c:pt idx="3">
                  <c:v>71.2028835059569</c:v>
                </c:pt>
                <c:pt idx="5">
                  <c:v>95.7717786641428</c:v>
                </c:pt>
                <c:pt idx="6">
                  <c:v>71.9195415672814</c:v>
                </c:pt>
                <c:pt idx="7">
                  <c:v>133.977607734233</c:v>
                </c:pt>
                <c:pt idx="8">
                  <c:v>165.214078176254</c:v>
                </c:pt>
                <c:pt idx="9">
                  <c:v>220.077164140217</c:v>
                </c:pt>
                <c:pt idx="10">
                  <c:v>365.796244784423</c:v>
                </c:pt>
                <c:pt idx="12">
                  <c:v>150.584015042242</c:v>
                </c:pt>
                <c:pt idx="13">
                  <c:v>167.904948830043</c:v>
                </c:pt>
                <c:pt idx="14">
                  <c:v>1332.55632808489</c:v>
                </c:pt>
                <c:pt idx="15">
                  <c:v>283.569951174503</c:v>
                </c:pt>
              </c:numCache>
            </c:numRef>
          </c:val>
          <c:smooth val="0"/>
        </c:ser>
        <c:hiLowLines>
          <c:spPr>
            <a:ln w="0">
              <a:noFill/>
            </a:ln>
          </c:spPr>
        </c:hiLowLines>
        <c:marker val="1"/>
        <c:axId val="76086788"/>
        <c:axId val="93696088"/>
      </c:lineChart>
      <c:catAx>
        <c:axId val="76086788"/>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1150" strike="noStrike" u="none">
                <a:solidFill>
                  <a:srgbClr val="000000"/>
                </a:solidFill>
                <a:uFillTx/>
                <a:latin typeface="Times New Roman"/>
              </a:defRPr>
            </a:pPr>
          </a:p>
        </c:txPr>
        <c:crossAx val="93696088"/>
        <c:crossesAt val="0"/>
        <c:auto val="1"/>
        <c:lblAlgn val="ctr"/>
        <c:lblOffset val="100"/>
        <c:noMultiLvlLbl val="0"/>
      </c:catAx>
      <c:valAx>
        <c:axId val="93696088"/>
        <c:scaling>
          <c:orientation val="minMax"/>
          <c:max val="200"/>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200" strike="noStrike" u="none">
                    <a:solidFill>
                      <a:srgbClr val="000000"/>
                    </a:solidFill>
                    <a:uFillTx/>
                    <a:latin typeface="Times New Roman"/>
                  </a:rPr>
                  <a:t>Maket Cap. Multiple</a:t>
                </a:r>
              </a:p>
            </c:rich>
          </c:tx>
          <c:overlay val="0"/>
          <c:spPr>
            <a:noFill/>
            <a:ln w="0">
              <a:noFill/>
            </a:ln>
          </c:spPr>
        </c:title>
        <c:numFmt formatCode="#,##0.0\x_);[RED]\(#,##0.0&quot;x)&quot;;;" sourceLinked="1"/>
        <c:majorTickMark val="out"/>
        <c:minorTickMark val="out"/>
        <c:tickLblPos val="nextTo"/>
        <c:spPr>
          <a:ln w="0">
            <a:solidFill>
              <a:srgbClr val="000000"/>
            </a:solidFill>
          </a:ln>
        </c:spPr>
        <c:txPr>
          <a:bodyPr/>
          <a:lstStyle/>
          <a:p>
            <a:pPr>
              <a:defRPr b="0" sz="1150" strike="noStrike" u="none">
                <a:solidFill>
                  <a:srgbClr val="000000"/>
                </a:solidFill>
                <a:uFillTx/>
                <a:latin typeface="Times New Roman"/>
              </a:defRPr>
            </a:pPr>
          </a:p>
        </c:txPr>
        <c:crossAx val="76086788"/>
        <c:crossesAt val="1"/>
        <c:crossBetween val="midCat"/>
        <c:majorUnit val="25"/>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1150"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600" strike="noStrike" u="none">
                <a:solidFill>
                  <a:srgbClr val="000000"/>
                </a:solidFill>
                <a:uFillTx/>
                <a:latin typeface="Times New Roman"/>
              </a:rPr>
              <a:t>Motorola (MOT)</a:t>
            </a:r>
          </a:p>
        </c:rich>
      </c:tx>
      <c:overlay val="0"/>
      <c:spPr>
        <a:noFill/>
        <a:ln w="0">
          <a:noFill/>
        </a:ln>
      </c:spPr>
    </c:title>
    <c:autoTitleDeleted val="0"/>
    <c:plotArea>
      <c:lineChart>
        <c:grouping val="standard"/>
        <c:varyColors val="0"/>
        <c:ser>
          <c:idx val="0"/>
          <c:order val="0"/>
          <c:tx>
            <c:strRef>
              <c:f>"Sales"</c:f>
              <c:strCache>
                <c:ptCount val="1"/>
                <c:pt idx="0">
                  <c:v>Sales</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Companies'!$H$25:$H$40</c:f>
              <c:numCache>
                <c:formatCode>#,##0.0\x_);[RED]\(#,##0.0"x)";;</c:formatCode>
                <c:ptCount val="16"/>
                <c:pt idx="0">
                  <c:v>0.926644882587506</c:v>
                </c:pt>
                <c:pt idx="1">
                  <c:v>0.932134634360268</c:v>
                </c:pt>
                <c:pt idx="2">
                  <c:v>0.979509442153245</c:v>
                </c:pt>
                <c:pt idx="3">
                  <c:v>0.835038143332975</c:v>
                </c:pt>
                <c:pt idx="4">
                  <c:v>1.17406914893617</c:v>
                </c:pt>
                <c:pt idx="5">
                  <c:v>1.65987874782735</c:v>
                </c:pt>
                <c:pt idx="6">
                  <c:v>1.76932314964884</c:v>
                </c:pt>
                <c:pt idx="7">
                  <c:v>2.97235114906478</c:v>
                </c:pt>
                <c:pt idx="8">
                  <c:v>2.93838735417125</c:v>
                </c:pt>
                <c:pt idx="9">
                  <c:v>1.89037054116503</c:v>
                </c:pt>
                <c:pt idx="10">
                  <c:v>2.07271232876712</c:v>
                </c:pt>
                <c:pt idx="11">
                  <c:v>1.66044676318511</c:v>
                </c:pt>
                <c:pt idx="12">
                  <c:v>0.964582243530499</c:v>
                </c:pt>
                <c:pt idx="13">
                  <c:v>0.895544952810403</c:v>
                </c:pt>
                <c:pt idx="14">
                  <c:v>1.11655462516019</c:v>
                </c:pt>
                <c:pt idx="15">
                  <c:v>1.31505212605286</c:v>
                </c:pt>
              </c:numCache>
            </c:numRef>
          </c:val>
          <c:smooth val="0"/>
        </c:ser>
        <c:ser>
          <c:idx val="1"/>
          <c:order val="1"/>
          <c:tx>
            <c:strRef>
              <c:f>"EBITDA"</c:f>
              <c:strCache>
                <c:ptCount val="1"/>
                <c:pt idx="0">
                  <c:v>EBITDA</c:v>
                </c:pt>
              </c:strCache>
            </c:strRef>
          </c:tx>
          <c:spPr>
            <a:solidFill>
              <a:srgbClr val="ff0000"/>
            </a:solidFill>
            <a:ln w="12600">
              <a:solidFill>
                <a:srgbClr val="ff0000"/>
              </a:solidFill>
              <a:round/>
            </a:ln>
          </c:spPr>
          <c:marker>
            <c:symbol val="square"/>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Companies'!$I$25:$I$40</c:f>
              <c:numCache>
                <c:formatCode>#,##0.0\x_);[RED]\(#,##0.0"x)";;</c:formatCode>
                <c:ptCount val="16"/>
                <c:pt idx="0">
                  <c:v>9.22816928111757</c:v>
                </c:pt>
                <c:pt idx="1">
                  <c:v>9.69622666726066</c:v>
                </c:pt>
                <c:pt idx="2">
                  <c:v>11.4902088720907</c:v>
                </c:pt>
                <c:pt idx="3">
                  <c:v>10.2749297636754</c:v>
                </c:pt>
                <c:pt idx="4">
                  <c:v>9.13975155279503</c:v>
                </c:pt>
                <c:pt idx="5">
                  <c:v>20.7879009935686</c:v>
                </c:pt>
                <c:pt idx="6">
                  <c:v>38.9882994047619</c:v>
                </c:pt>
                <c:pt idx="7">
                  <c:v>40.7212107421875</c:v>
                </c:pt>
                <c:pt idx="8">
                  <c:v>58.2929858078603</c:v>
                </c:pt>
                <c:pt idx="9">
                  <c:v>94.78364</c:v>
                </c:pt>
                <c:pt idx="10">
                  <c:v>44.7416129032258</c:v>
                </c:pt>
                <c:pt idx="11">
                  <c:v>44.4471147404844</c:v>
                </c:pt>
                <c:pt idx="12">
                  <c:v>30.887666296729</c:v>
                </c:pt>
                <c:pt idx="13">
                  <c:v>164.229166730769</c:v>
                </c:pt>
                <c:pt idx="15">
                  <c:v>35.2352098832685</c:v>
                </c:pt>
              </c:numCache>
            </c:numRef>
          </c:val>
          <c:smooth val="0"/>
        </c:ser>
        <c:ser>
          <c:idx val="2"/>
          <c:order val="2"/>
          <c:tx>
            <c:strRef>
              <c:f>"Earnings"</c:f>
              <c:strCache>
                <c:ptCount val="1"/>
                <c:pt idx="0">
                  <c:v>Earnings</c:v>
                </c:pt>
              </c:strCache>
            </c:strRef>
          </c:tx>
          <c:spPr>
            <a:solidFill>
              <a:srgbClr val="00ff00"/>
            </a:solidFill>
            <a:ln w="12600">
              <a:solidFill>
                <a:srgbClr val="00ff00"/>
              </a:solidFill>
              <a:round/>
            </a:ln>
          </c:spPr>
          <c:marker>
            <c:symbol val="triangle"/>
            <c:size val="5"/>
            <c:spPr>
              <a:solidFill>
                <a:srgbClr val="00ff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Companies'!$J$25:$J$40</c:f>
              <c:numCache>
                <c:formatCode>#,##0.0\x_);[RED]\(#,##0.0"x)";;</c:formatCode>
                <c:ptCount val="16"/>
                <c:pt idx="0">
                  <c:v>22.7782303953372</c:v>
                </c:pt>
                <c:pt idx="1">
                  <c:v>21.2541697589938</c:v>
                </c:pt>
                <c:pt idx="2">
                  <c:v>25.0135458167331</c:v>
                </c:pt>
                <c:pt idx="3">
                  <c:v>20.54646397885</c:v>
                </c:pt>
                <c:pt idx="4">
                  <c:v>33.4431818181818</c:v>
                </c:pt>
                <c:pt idx="5">
                  <c:v>29.6746307968456</c:v>
                </c:pt>
                <c:pt idx="6">
                  <c:v>80.2700281862745</c:v>
                </c:pt>
                <c:pt idx="7">
                  <c:v>58.173158203125</c:v>
                </c:pt>
                <c:pt idx="8">
                  <c:v>82.6569272445821</c:v>
                </c:pt>
                <c:pt idx="9">
                  <c:v>136.355411929825</c:v>
                </c:pt>
                <c:pt idx="10">
                  <c:v>65.2701176470588</c:v>
                </c:pt>
                <c:pt idx="11">
                  <c:v>64.5488249246231</c:v>
                </c:pt>
                <c:pt idx="12">
                  <c:v>46.3314994450935</c:v>
                </c:pt>
                <c:pt idx="13">
                  <c:v>237.2199075</c:v>
                </c:pt>
                <c:pt idx="15">
                  <c:v>50.3080496666667</c:v>
                </c:pt>
              </c:numCache>
            </c:numRef>
          </c:val>
          <c:smooth val="0"/>
        </c:ser>
        <c:hiLowLines>
          <c:spPr>
            <a:ln w="0">
              <a:noFill/>
            </a:ln>
          </c:spPr>
        </c:hiLowLines>
        <c:marker val="1"/>
        <c:axId val="75532785"/>
        <c:axId val="75473248"/>
      </c:lineChart>
      <c:catAx>
        <c:axId val="75532785"/>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1150" strike="noStrike" u="none">
                <a:solidFill>
                  <a:srgbClr val="000000"/>
                </a:solidFill>
                <a:uFillTx/>
                <a:latin typeface="Times New Roman"/>
              </a:defRPr>
            </a:pPr>
          </a:p>
        </c:txPr>
        <c:crossAx val="75473248"/>
        <c:crossesAt val="0"/>
        <c:auto val="1"/>
        <c:lblAlgn val="ctr"/>
        <c:lblOffset val="100"/>
        <c:noMultiLvlLbl val="0"/>
      </c:catAx>
      <c:valAx>
        <c:axId val="75473248"/>
        <c:scaling>
          <c:orientation val="minMax"/>
          <c:max val="100"/>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200" strike="noStrike" u="none">
                    <a:solidFill>
                      <a:srgbClr val="000000"/>
                    </a:solidFill>
                    <a:uFillTx/>
                    <a:latin typeface="Times New Roman"/>
                  </a:rPr>
                  <a:t>Maket Cap. Multiple</a:t>
                </a:r>
              </a:p>
            </c:rich>
          </c:tx>
          <c:overlay val="0"/>
          <c:spPr>
            <a:noFill/>
            <a:ln w="0">
              <a:noFill/>
            </a:ln>
          </c:spPr>
        </c:title>
        <c:numFmt formatCode="#,##0.0\x_);[RED]\(#,##0.0&quot;x)&quot;;;" sourceLinked="1"/>
        <c:majorTickMark val="out"/>
        <c:minorTickMark val="out"/>
        <c:tickLblPos val="nextTo"/>
        <c:spPr>
          <a:ln w="0">
            <a:solidFill>
              <a:srgbClr val="000000"/>
            </a:solidFill>
          </a:ln>
        </c:spPr>
        <c:txPr>
          <a:bodyPr/>
          <a:lstStyle/>
          <a:p>
            <a:pPr>
              <a:defRPr b="0" sz="1150" strike="noStrike" u="none">
                <a:solidFill>
                  <a:srgbClr val="000000"/>
                </a:solidFill>
                <a:uFillTx/>
                <a:latin typeface="Times New Roman"/>
              </a:defRPr>
            </a:pPr>
          </a:p>
        </c:txPr>
        <c:crossAx val="75532785"/>
        <c:crossesAt val="1"/>
        <c:crossBetween val="midCat"/>
        <c:majorUnit val="20"/>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1150"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575" strike="noStrike" u="none">
                <a:solidFill>
                  <a:srgbClr val="000000"/>
                </a:solidFill>
                <a:uFillTx/>
                <a:latin typeface="Times New Roman"/>
              </a:rPr>
              <a:t>Williams Companies (WMB)</a:t>
            </a:r>
          </a:p>
        </c:rich>
      </c:tx>
      <c:overlay val="0"/>
      <c:spPr>
        <a:noFill/>
        <a:ln w="0">
          <a:noFill/>
        </a:ln>
      </c:spPr>
    </c:title>
    <c:autoTitleDeleted val="0"/>
    <c:plotArea>
      <c:lineChart>
        <c:grouping val="standard"/>
        <c:varyColors val="0"/>
        <c:ser>
          <c:idx val="0"/>
          <c:order val="0"/>
          <c:tx>
            <c:strRef>
              <c:f>"Sales"</c:f>
              <c:strCache>
                <c:ptCount val="1"/>
                <c:pt idx="0">
                  <c:v>Sales</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Companies'!$H$44:$H$59</c:f>
              <c:numCache>
                <c:formatCode>#,##0.0\x_);[RED]\(#,##0.0"x)";;</c:formatCode>
                <c:ptCount val="16"/>
                <c:pt idx="0">
                  <c:v>0.782692129415037</c:v>
                </c:pt>
                <c:pt idx="1">
                  <c:v>0.80910751565762</c:v>
                </c:pt>
                <c:pt idx="2">
                  <c:v>1.05275091094202</c:v>
                </c:pt>
                <c:pt idx="3">
                  <c:v>1.484907154481</c:v>
                </c:pt>
                <c:pt idx="4">
                  <c:v>1.51191964285714</c:v>
                </c:pt>
                <c:pt idx="5">
                  <c:v>1.65702931114454</c:v>
                </c:pt>
                <c:pt idx="6">
                  <c:v>1.62334362512679</c:v>
                </c:pt>
                <c:pt idx="7">
                  <c:v>1.98230587659101</c:v>
                </c:pt>
                <c:pt idx="8">
                  <c:v>1.3620732738635</c:v>
                </c:pt>
                <c:pt idx="9">
                  <c:v>1.84944910363727</c:v>
                </c:pt>
                <c:pt idx="10">
                  <c:v>2.30706447711992</c:v>
                </c:pt>
                <c:pt idx="11">
                  <c:v>2.14088521832725</c:v>
                </c:pt>
                <c:pt idx="12">
                  <c:v>1.59843686469831</c:v>
                </c:pt>
                <c:pt idx="13">
                  <c:v>1.57705578172037</c:v>
                </c:pt>
                <c:pt idx="14">
                  <c:v>1.94753032118701</c:v>
                </c:pt>
                <c:pt idx="15">
                  <c:v>1.6301738304319</c:v>
                </c:pt>
              </c:numCache>
            </c:numRef>
          </c:val>
          <c:smooth val="0"/>
        </c:ser>
        <c:ser>
          <c:idx val="1"/>
          <c:order val="1"/>
          <c:tx>
            <c:strRef>
              <c:f>"EBITDA"</c:f>
              <c:strCache>
                <c:ptCount val="1"/>
                <c:pt idx="0">
                  <c:v>EBITDA</c:v>
                </c:pt>
              </c:strCache>
            </c:strRef>
          </c:tx>
          <c:spPr>
            <a:solidFill>
              <a:srgbClr val="ff0000"/>
            </a:solidFill>
            <a:ln w="12600">
              <a:solidFill>
                <a:srgbClr val="ff0000"/>
              </a:solidFill>
              <a:round/>
            </a:ln>
          </c:spPr>
          <c:marker>
            <c:symbol val="square"/>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Companies'!$I$44:$I$59</c:f>
              <c:numCache>
                <c:formatCode>#,##0.0\x_);[RED]\(#,##0.0"x)";;</c:formatCode>
                <c:ptCount val="16"/>
                <c:pt idx="0">
                  <c:v>2.48284075871195</c:v>
                </c:pt>
                <c:pt idx="1">
                  <c:v>2.82744919228765</c:v>
                </c:pt>
                <c:pt idx="2">
                  <c:v>4.16856301718651</c:v>
                </c:pt>
                <c:pt idx="3">
                  <c:v>6.96356295993459</c:v>
                </c:pt>
                <c:pt idx="4">
                  <c:v>9.07151785714286</c:v>
                </c:pt>
                <c:pt idx="5">
                  <c:v>14.9813896100569</c:v>
                </c:pt>
                <c:pt idx="6">
                  <c:v>9.79384207343322</c:v>
                </c:pt>
                <c:pt idx="7">
                  <c:v>18.0039056363636</c:v>
                </c:pt>
                <c:pt idx="8">
                  <c:v>7.53789330108499</c:v>
                </c:pt>
                <c:pt idx="9">
                  <c:v>18.3424473769093</c:v>
                </c:pt>
                <c:pt idx="10">
                  <c:v>25.0434613447712</c:v>
                </c:pt>
                <c:pt idx="11">
                  <c:v>18.3756951565121</c:v>
                </c:pt>
                <c:pt idx="12">
                  <c:v>10.1413431331699</c:v>
                </c:pt>
                <c:pt idx="13">
                  <c:v>17.1404887612327</c:v>
                </c:pt>
                <c:pt idx="14">
                  <c:v>15.5714659569626</c:v>
                </c:pt>
                <c:pt idx="15">
                  <c:v>14.042148192832</c:v>
                </c:pt>
              </c:numCache>
            </c:numRef>
          </c:val>
          <c:smooth val="0"/>
        </c:ser>
        <c:ser>
          <c:idx val="2"/>
          <c:order val="2"/>
          <c:tx>
            <c:strRef>
              <c:f>"Earnings"</c:f>
              <c:strCache>
                <c:ptCount val="1"/>
                <c:pt idx="0">
                  <c:v>Earnings</c:v>
                </c:pt>
              </c:strCache>
            </c:strRef>
          </c:tx>
          <c:spPr>
            <a:solidFill>
              <a:srgbClr val="00ff00"/>
            </a:solidFill>
            <a:ln w="12600">
              <a:solidFill>
                <a:srgbClr val="00ff00"/>
              </a:solidFill>
              <a:round/>
            </a:ln>
          </c:spPr>
          <c:marker>
            <c:symbol val="triangle"/>
            <c:size val="5"/>
            <c:spPr>
              <a:solidFill>
                <a:srgbClr val="00ff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Companies'!$J$44:$J$59</c:f>
              <c:numCache>
                <c:formatCode>#,##0.0\x_);[RED]\(#,##0.0"x)";;</c:formatCode>
                <c:ptCount val="16"/>
                <c:pt idx="0">
                  <c:v>10.2423534763818</c:v>
                </c:pt>
                <c:pt idx="1">
                  <c:v>11.30390625</c:v>
                </c:pt>
                <c:pt idx="2">
                  <c:v>15.9548776773932</c:v>
                </c:pt>
                <c:pt idx="3">
                  <c:v>24.9809948667807</c:v>
                </c:pt>
                <c:pt idx="4">
                  <c:v>29.2494818056195</c:v>
                </c:pt>
                <c:pt idx="5">
                  <c:v>39.1173855879438</c:v>
                </c:pt>
                <c:pt idx="6">
                  <c:v>13.1930123894258</c:v>
                </c:pt>
                <c:pt idx="7">
                  <c:v>48.2692475085256</c:v>
                </c:pt>
                <c:pt idx="8">
                  <c:v>19.3431786334107</c:v>
                </c:pt>
                <c:pt idx="9">
                  <c:v>145.303515519573</c:v>
                </c:pt>
                <c:pt idx="10">
                  <c:v>254.032016734807</c:v>
                </c:pt>
                <c:pt idx="11">
                  <c:v>81.1324552231969</c:v>
                </c:pt>
                <c:pt idx="12">
                  <c:v>135.767231195313</c:v>
                </c:pt>
                <c:pt idx="13">
                  <c:v>92.6974719299065</c:v>
                </c:pt>
                <c:pt idx="14">
                  <c:v>58.4654533984772</c:v>
                </c:pt>
                <c:pt idx="15">
                  <c:v>46.8896402209985</c:v>
                </c:pt>
              </c:numCache>
            </c:numRef>
          </c:val>
          <c:smooth val="0"/>
        </c:ser>
        <c:hiLowLines>
          <c:spPr>
            <a:ln w="0">
              <a:noFill/>
            </a:ln>
          </c:spPr>
        </c:hiLowLines>
        <c:marker val="1"/>
        <c:axId val="67954577"/>
        <c:axId val="74147702"/>
      </c:lineChart>
      <c:catAx>
        <c:axId val="67954577"/>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1125" strike="noStrike" u="none">
                <a:solidFill>
                  <a:srgbClr val="000000"/>
                </a:solidFill>
                <a:uFillTx/>
                <a:latin typeface="Times New Roman"/>
              </a:defRPr>
            </a:pPr>
          </a:p>
        </c:txPr>
        <c:crossAx val="74147702"/>
        <c:crossesAt val="0"/>
        <c:auto val="1"/>
        <c:lblAlgn val="ctr"/>
        <c:lblOffset val="100"/>
        <c:noMultiLvlLbl val="0"/>
      </c:catAx>
      <c:valAx>
        <c:axId val="74147702"/>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200" strike="noStrike" u="none">
                    <a:solidFill>
                      <a:srgbClr val="000000"/>
                    </a:solidFill>
                    <a:uFillTx/>
                    <a:latin typeface="Times New Roman"/>
                  </a:rPr>
                  <a:t>Maket Cap. Multiple</a:t>
                </a:r>
              </a:p>
            </c:rich>
          </c:tx>
          <c:overlay val="0"/>
          <c:spPr>
            <a:noFill/>
            <a:ln w="0">
              <a:noFill/>
            </a:ln>
          </c:spPr>
        </c:title>
        <c:numFmt formatCode="#,##0.0\x_);[RED]\(#,##0.0&quot;x)&quot;;;" sourceLinked="1"/>
        <c:majorTickMark val="out"/>
        <c:minorTickMark val="none"/>
        <c:tickLblPos val="nextTo"/>
        <c:spPr>
          <a:ln w="0">
            <a:solidFill>
              <a:srgbClr val="000000"/>
            </a:solidFill>
          </a:ln>
        </c:spPr>
        <c:txPr>
          <a:bodyPr/>
          <a:lstStyle/>
          <a:p>
            <a:pPr>
              <a:defRPr b="0" sz="1125" strike="noStrike" u="none">
                <a:solidFill>
                  <a:srgbClr val="000000"/>
                </a:solidFill>
                <a:uFillTx/>
                <a:latin typeface="Times New Roman"/>
              </a:defRPr>
            </a:pPr>
          </a:p>
        </c:txPr>
        <c:crossAx val="67954577"/>
        <c:crossesAt val="1"/>
        <c:crossBetween val="midCat"/>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1125"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600" strike="noStrike" u="none">
                <a:solidFill>
                  <a:srgbClr val="000000"/>
                </a:solidFill>
                <a:uFillTx/>
                <a:latin typeface="Times New Roman"/>
              </a:rPr>
              <a:t>FuelCell Energy (FCEL)</a:t>
            </a:r>
          </a:p>
        </c:rich>
      </c:tx>
      <c:overlay val="0"/>
      <c:spPr>
        <a:noFill/>
        <a:ln w="0">
          <a:noFill/>
        </a:ln>
      </c:spPr>
    </c:title>
    <c:autoTitleDeleted val="0"/>
    <c:plotArea>
      <c:lineChart>
        <c:grouping val="standard"/>
        <c:varyColors val="0"/>
        <c:ser>
          <c:idx val="0"/>
          <c:order val="0"/>
          <c:tx>
            <c:strRef>
              <c:f>"Sales"</c:f>
              <c:strCache>
                <c:ptCount val="1"/>
                <c:pt idx="0">
                  <c:v>Sales</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Companies'!$H$63:$H$78</c:f>
              <c:numCache>
                <c:formatCode>#,##0.0\x_);[RED]\(#,##0.0"x)";;</c:formatCode>
                <c:ptCount val="16"/>
                <c:pt idx="0">
                  <c:v>11.9926021557694</c:v>
                </c:pt>
                <c:pt idx="1">
                  <c:v>9.5397441777506</c:v>
                </c:pt>
                <c:pt idx="2">
                  <c:v>15.9178847244644</c:v>
                </c:pt>
                <c:pt idx="3">
                  <c:v>35.8059594327769</c:v>
                </c:pt>
                <c:pt idx="4">
                  <c:v>52.3327294685991</c:v>
                </c:pt>
                <c:pt idx="5">
                  <c:v>46.993887743698</c:v>
                </c:pt>
                <c:pt idx="6">
                  <c:v>64.4108388956311</c:v>
                </c:pt>
                <c:pt idx="7">
                  <c:v>50.1974542645867</c:v>
                </c:pt>
                <c:pt idx="8">
                  <c:v>22.0994508667502</c:v>
                </c:pt>
                <c:pt idx="9">
                  <c:v>23.9962420886076</c:v>
                </c:pt>
                <c:pt idx="10">
                  <c:v>10.1244055706522</c:v>
                </c:pt>
                <c:pt idx="11">
                  <c:v>4.58923635107118</c:v>
                </c:pt>
                <c:pt idx="12">
                  <c:v>6.95978453214513</c:v>
                </c:pt>
                <c:pt idx="13">
                  <c:v>6.56732291666667</c:v>
                </c:pt>
                <c:pt idx="14">
                  <c:v>10.0741458333333</c:v>
                </c:pt>
                <c:pt idx="15">
                  <c:v>13.6447291666667</c:v>
                </c:pt>
              </c:numCache>
            </c:numRef>
          </c:val>
          <c:smooth val="0"/>
        </c:ser>
        <c:hiLowLines>
          <c:spPr>
            <a:ln w="0">
              <a:noFill/>
            </a:ln>
          </c:spPr>
        </c:hiLowLines>
        <c:marker val="1"/>
        <c:axId val="99190369"/>
        <c:axId val="78337574"/>
      </c:lineChart>
      <c:catAx>
        <c:axId val="99190369"/>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1150" strike="noStrike" u="none">
                <a:solidFill>
                  <a:srgbClr val="000000"/>
                </a:solidFill>
                <a:uFillTx/>
                <a:latin typeface="Times New Roman"/>
              </a:defRPr>
            </a:pPr>
          </a:p>
        </c:txPr>
        <c:crossAx val="78337574"/>
        <c:crossesAt val="0"/>
        <c:auto val="1"/>
        <c:lblAlgn val="ctr"/>
        <c:lblOffset val="100"/>
        <c:noMultiLvlLbl val="0"/>
      </c:catAx>
      <c:valAx>
        <c:axId val="78337574"/>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200" strike="noStrike" u="none">
                    <a:solidFill>
                      <a:srgbClr val="000000"/>
                    </a:solidFill>
                    <a:uFillTx/>
                    <a:latin typeface="Times New Roman"/>
                  </a:rPr>
                  <a:t>Maket Cap. Multiple</a:t>
                </a:r>
              </a:p>
            </c:rich>
          </c:tx>
          <c:overlay val="0"/>
          <c:spPr>
            <a:noFill/>
            <a:ln w="0">
              <a:noFill/>
            </a:ln>
          </c:spPr>
        </c:title>
        <c:numFmt formatCode="#,##0.0\x_);[RED]\(#,##0.0&quot;x)&quot;;;"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Times New Roman"/>
              </a:defRPr>
            </a:pPr>
          </a:p>
        </c:txPr>
        <c:crossAx val="99190369"/>
        <c:crossesAt val="1"/>
        <c:crossBetween val="midCat"/>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1150"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325" strike="noStrike" u="none">
                <a:solidFill>
                  <a:srgbClr val="000000"/>
                </a:solidFill>
                <a:uFillTx/>
                <a:latin typeface="Times New Roman"/>
              </a:rPr>
              <a:t>Extended Stay America (ESA)</a:t>
            </a:r>
          </a:p>
        </c:rich>
      </c:tx>
      <c:overlay val="0"/>
      <c:spPr>
        <a:noFill/>
        <a:ln w="0">
          <a:noFill/>
        </a:ln>
      </c:spPr>
    </c:title>
    <c:autoTitleDeleted val="0"/>
    <c:plotArea>
      <c:lineChart>
        <c:grouping val="standard"/>
        <c:varyColors val="0"/>
        <c:ser>
          <c:idx val="0"/>
          <c:order val="0"/>
          <c:tx>
            <c:strRef>
              <c:f>"Sales"</c:f>
              <c:strCache>
                <c:ptCount val="1"/>
                <c:pt idx="0">
                  <c:v>Sales</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Companies'!$H$82:$H$97</c:f>
              <c:numCache>
                <c:formatCode>#,##0.0\x_);[RED]\(#,##0.0"x)";;</c:formatCode>
                <c:ptCount val="16"/>
                <c:pt idx="0">
                  <c:v>2.99308317552098</c:v>
                </c:pt>
                <c:pt idx="1">
                  <c:v>2.78833552828253</c:v>
                </c:pt>
                <c:pt idx="2">
                  <c:v>2.89185551635081</c:v>
                </c:pt>
                <c:pt idx="3">
                  <c:v>2.89324706833805</c:v>
                </c:pt>
                <c:pt idx="4">
                  <c:v>2.47974156589706</c:v>
                </c:pt>
                <c:pt idx="5">
                  <c:v>2.21090364740363</c:v>
                </c:pt>
                <c:pt idx="6">
                  <c:v>1.6528990130221</c:v>
                </c:pt>
                <c:pt idx="7">
                  <c:v>1.58345107735782</c:v>
                </c:pt>
                <c:pt idx="8">
                  <c:v>1.7256117744502</c:v>
                </c:pt>
                <c:pt idx="9">
                  <c:v>1.86432213647406</c:v>
                </c:pt>
                <c:pt idx="10">
                  <c:v>2.71238742757332</c:v>
                </c:pt>
                <c:pt idx="11">
                  <c:v>2.7335776652613</c:v>
                </c:pt>
                <c:pt idx="12">
                  <c:v>3.23894285145105</c:v>
                </c:pt>
                <c:pt idx="13">
                  <c:v>2.37100955484779</c:v>
                </c:pt>
                <c:pt idx="14">
                  <c:v>3.85058409713894</c:v>
                </c:pt>
                <c:pt idx="15">
                  <c:v>6.45195206616142</c:v>
                </c:pt>
              </c:numCache>
            </c:numRef>
          </c:val>
          <c:smooth val="0"/>
        </c:ser>
        <c:ser>
          <c:idx val="1"/>
          <c:order val="1"/>
          <c:tx>
            <c:strRef>
              <c:f>"EBITDA"</c:f>
              <c:strCache>
                <c:ptCount val="1"/>
                <c:pt idx="0">
                  <c:v>EBITDA</c:v>
                </c:pt>
              </c:strCache>
            </c:strRef>
          </c:tx>
          <c:spPr>
            <a:solidFill>
              <a:srgbClr val="ff0000"/>
            </a:solidFill>
            <a:ln w="12600">
              <a:solidFill>
                <a:srgbClr val="ff0000"/>
              </a:solidFill>
              <a:round/>
            </a:ln>
          </c:spPr>
          <c:marker>
            <c:symbol val="square"/>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Companies'!$I$82:$I$97</c:f>
              <c:numCache>
                <c:formatCode>#,##0.0\x_);[RED]\(#,##0.0"x)";;</c:formatCode>
                <c:ptCount val="16"/>
                <c:pt idx="0">
                  <c:v>6.06098119378577</c:v>
                </c:pt>
                <c:pt idx="1">
                  <c:v>5.643654946852</c:v>
                </c:pt>
                <c:pt idx="2">
                  <c:v>5.85036794766967</c:v>
                </c:pt>
                <c:pt idx="3">
                  <c:v>5.85036794766967</c:v>
                </c:pt>
                <c:pt idx="4">
                  <c:v>4.09120945134161</c:v>
                </c:pt>
                <c:pt idx="5">
                  <c:v>4.20936457081832</c:v>
                </c:pt>
                <c:pt idx="6">
                  <c:v>3.13736216770664</c:v>
                </c:pt>
                <c:pt idx="7">
                  <c:v>3.44191492628993</c:v>
                </c:pt>
                <c:pt idx="8">
                  <c:v>3.83083120900732</c:v>
                </c:pt>
                <c:pt idx="9">
                  <c:v>3.76578783097224</c:v>
                </c:pt>
                <c:pt idx="10">
                  <c:v>5.44302270799962</c:v>
                </c:pt>
                <c:pt idx="11">
                  <c:v>6.41104155191859</c:v>
                </c:pt>
                <c:pt idx="12">
                  <c:v>7.61219076602429</c:v>
                </c:pt>
                <c:pt idx="13">
                  <c:v>7.2622981812682</c:v>
                </c:pt>
                <c:pt idx="14">
                  <c:v>8.57966384081944</c:v>
                </c:pt>
                <c:pt idx="15">
                  <c:v>18.8562089081699</c:v>
                </c:pt>
              </c:numCache>
            </c:numRef>
          </c:val>
          <c:smooth val="0"/>
        </c:ser>
        <c:ser>
          <c:idx val="2"/>
          <c:order val="2"/>
          <c:tx>
            <c:strRef>
              <c:f>"Earnings"</c:f>
              <c:strCache>
                <c:ptCount val="1"/>
                <c:pt idx="0">
                  <c:v>Earnings</c:v>
                </c:pt>
              </c:strCache>
            </c:strRef>
          </c:tx>
          <c:spPr>
            <a:solidFill>
              <a:srgbClr val="00ff00"/>
            </a:solidFill>
            <a:ln w="12600">
              <a:solidFill>
                <a:srgbClr val="00ff00"/>
              </a:solidFill>
              <a:round/>
            </a:ln>
          </c:spPr>
          <c:marker>
            <c:symbol val="triangle"/>
            <c:size val="5"/>
            <c:spPr>
              <a:solidFill>
                <a:srgbClr val="00ff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Companies'!$J$82:$J$97</c:f>
              <c:numCache>
                <c:formatCode>#,##0.0\x_);[RED]\(#,##0.0"x)";;</c:formatCode>
                <c:ptCount val="16"/>
                <c:pt idx="0">
                  <c:v>22.8783333333333</c:v>
                </c:pt>
                <c:pt idx="1">
                  <c:v>21.3030555555556</c:v>
                </c:pt>
                <c:pt idx="2">
                  <c:v>22.0833333333333</c:v>
                </c:pt>
                <c:pt idx="3">
                  <c:v>22.0833333333333</c:v>
                </c:pt>
                <c:pt idx="4">
                  <c:v>13.4825788570674</c:v>
                </c:pt>
                <c:pt idx="5">
                  <c:v>13.8719589987242</c:v>
                </c:pt>
                <c:pt idx="6">
                  <c:v>10.3688497575215</c:v>
                </c:pt>
                <c:pt idx="7">
                  <c:v>15.89345860663</c:v>
                </c:pt>
                <c:pt idx="8">
                  <c:v>19.1388181896007</c:v>
                </c:pt>
                <c:pt idx="9">
                  <c:v>13.3606121193479</c:v>
                </c:pt>
                <c:pt idx="10">
                  <c:v>19.775023962755</c:v>
                </c:pt>
                <c:pt idx="11">
                  <c:v>35.5643505383384</c:v>
                </c:pt>
                <c:pt idx="12">
                  <c:v>0.618233260472784</c:v>
                </c:pt>
                <c:pt idx="13">
                  <c:v>34.9719592134013</c:v>
                </c:pt>
                <c:pt idx="14">
                  <c:v>26.6617548932384</c:v>
                </c:pt>
                <c:pt idx="15">
                  <c:v>72.8646006872137</c:v>
                </c:pt>
              </c:numCache>
            </c:numRef>
          </c:val>
          <c:smooth val="0"/>
        </c:ser>
        <c:hiLowLines>
          <c:spPr>
            <a:ln w="0">
              <a:noFill/>
            </a:ln>
          </c:spPr>
        </c:hiLowLines>
        <c:marker val="1"/>
        <c:axId val="96063139"/>
        <c:axId val="66659423"/>
      </c:lineChart>
      <c:catAx>
        <c:axId val="96063139"/>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50" strike="noStrike" u="none">
                <a:solidFill>
                  <a:srgbClr val="000000"/>
                </a:solidFill>
                <a:uFillTx/>
                <a:latin typeface="Times New Roman"/>
              </a:defRPr>
            </a:pPr>
          </a:p>
        </c:txPr>
        <c:crossAx val="66659423"/>
        <c:crossesAt val="0"/>
        <c:auto val="1"/>
        <c:lblAlgn val="ctr"/>
        <c:lblOffset val="100"/>
        <c:noMultiLvlLbl val="0"/>
      </c:catAx>
      <c:valAx>
        <c:axId val="66659423"/>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50" strike="noStrike" u="none">
                    <a:solidFill>
                      <a:srgbClr val="000000"/>
                    </a:solidFill>
                    <a:uFillTx/>
                    <a:latin typeface="Times New Roman"/>
                  </a:rPr>
                  <a:t>Maket Cap. Multiple</a:t>
                </a:r>
              </a:p>
            </c:rich>
          </c:tx>
          <c:overlay val="0"/>
          <c:spPr>
            <a:noFill/>
            <a:ln w="0">
              <a:noFill/>
            </a:ln>
          </c:spPr>
        </c:title>
        <c:numFmt formatCode="#,##0.0\x_);[RED]\(#,##0.0&quot;x)&quot;;;"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Times New Roman"/>
              </a:defRPr>
            </a:pPr>
          </a:p>
        </c:txPr>
        <c:crossAx val="96063139"/>
        <c:crossesAt val="1"/>
        <c:crossBetween val="midCat"/>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950"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325" strike="noStrike" u="none">
                <a:solidFill>
                  <a:srgbClr val="000000"/>
                </a:solidFill>
                <a:uFillTx/>
                <a:latin typeface="Times New Roman"/>
              </a:rPr>
              <a:t>TiVo, Inc. (TIVO)</a:t>
            </a:r>
          </a:p>
        </c:rich>
      </c:tx>
      <c:overlay val="0"/>
      <c:spPr>
        <a:noFill/>
        <a:ln w="0">
          <a:noFill/>
        </a:ln>
      </c:spPr>
    </c:title>
    <c:autoTitleDeleted val="0"/>
    <c:plotArea>
      <c:lineChart>
        <c:grouping val="standard"/>
        <c:varyColors val="0"/>
        <c:ser>
          <c:idx val="0"/>
          <c:order val="0"/>
          <c:tx>
            <c:strRef>
              <c:f>"Sales"</c:f>
              <c:strCache>
                <c:ptCount val="1"/>
                <c:pt idx="0">
                  <c:v>Sales</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Companies'!$A$101:$A$116</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Companies'!$H$101:$H$116</c:f>
              <c:numCache>
                <c:formatCode>#,##0.0\x_);[RED]\(#,##0.0"x)";;</c:formatCode>
                <c:ptCount val="16"/>
                <c:pt idx="0">
                  <c:v>14.1853537443111</c:v>
                </c:pt>
                <c:pt idx="1">
                  <c:v>16.8800374882849</c:v>
                </c:pt>
                <c:pt idx="2">
                  <c:v>32.2393300918422</c:v>
                </c:pt>
                <c:pt idx="3">
                  <c:v>35.8956473214286</c:v>
                </c:pt>
                <c:pt idx="4">
                  <c:v>45.3842412451362</c:v>
                </c:pt>
                <c:pt idx="5">
                  <c:v>178.491863616517</c:v>
                </c:pt>
                <c:pt idx="6">
                  <c:v>434.979026425591</c:v>
                </c:pt>
                <c:pt idx="7">
                  <c:v>721.764698850236</c:v>
                </c:pt>
                <c:pt idx="8">
                  <c:v>2012.01923076923</c:v>
                </c:pt>
                <c:pt idx="9">
                  <c:v>9466.26222111742</c:v>
                </c:pt>
              </c:numCache>
            </c:numRef>
          </c:val>
          <c:smooth val="0"/>
        </c:ser>
        <c:hiLowLines>
          <c:spPr>
            <a:ln w="0">
              <a:noFill/>
            </a:ln>
          </c:spPr>
        </c:hiLowLines>
        <c:marker val="1"/>
        <c:axId val="34347881"/>
        <c:axId val="54302331"/>
      </c:lineChart>
      <c:catAx>
        <c:axId val="34347881"/>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50" strike="noStrike" u="none">
                <a:solidFill>
                  <a:srgbClr val="000000"/>
                </a:solidFill>
                <a:uFillTx/>
                <a:latin typeface="Times New Roman"/>
              </a:defRPr>
            </a:pPr>
          </a:p>
        </c:txPr>
        <c:crossAx val="54302331"/>
        <c:crossesAt val="0"/>
        <c:auto val="1"/>
        <c:lblAlgn val="ctr"/>
        <c:lblOffset val="100"/>
        <c:noMultiLvlLbl val="0"/>
      </c:catAx>
      <c:valAx>
        <c:axId val="54302331"/>
        <c:scaling>
          <c:orientation val="minMax"/>
          <c:max val="100"/>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50" strike="noStrike" u="none">
                    <a:solidFill>
                      <a:srgbClr val="000000"/>
                    </a:solidFill>
                    <a:uFillTx/>
                    <a:latin typeface="Times New Roman"/>
                  </a:rPr>
                  <a:t>Maket Cap. Multiple</a:t>
                </a:r>
              </a:p>
            </c:rich>
          </c:tx>
          <c:overlay val="0"/>
          <c:spPr>
            <a:noFill/>
            <a:ln w="0">
              <a:noFill/>
            </a:ln>
          </c:spPr>
        </c:title>
        <c:numFmt formatCode="#,##0.0\x_);[RED]\(#,##0.0&quot;x)&quot;;;"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Times New Roman"/>
              </a:defRPr>
            </a:pPr>
          </a:p>
        </c:txPr>
        <c:crossAx val="34347881"/>
        <c:crossesAt val="1"/>
        <c:crossBetween val="midCat"/>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950"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325" strike="noStrike" u="none">
                <a:solidFill>
                  <a:srgbClr val="000000"/>
                </a:solidFill>
                <a:uFillTx/>
                <a:latin typeface="Times New Roman"/>
              </a:rPr>
              <a:t>Emerson (EMR)</a:t>
            </a:r>
          </a:p>
        </c:rich>
      </c:tx>
      <c:overlay val="0"/>
      <c:spPr>
        <a:noFill/>
        <a:ln w="0">
          <a:noFill/>
        </a:ln>
      </c:spPr>
    </c:title>
    <c:autoTitleDeleted val="0"/>
    <c:plotArea>
      <c:lineChart>
        <c:grouping val="standard"/>
        <c:varyColors val="0"/>
        <c:ser>
          <c:idx val="0"/>
          <c:order val="0"/>
          <c:tx>
            <c:strRef>
              <c:f>"Sales"</c:f>
              <c:strCache>
                <c:ptCount val="1"/>
                <c:pt idx="0">
                  <c:v>Sales</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Companies'!$H$120:$H$135</c:f>
              <c:numCache>
                <c:formatCode>#,##0.0\x_);[RED]\(#,##0.0"x)";;</c:formatCode>
                <c:ptCount val="16"/>
                <c:pt idx="0">
                  <c:v>1.52583140881404</c:v>
                </c:pt>
                <c:pt idx="1">
                  <c:v>1.44851388150331</c:v>
                </c:pt>
                <c:pt idx="2">
                  <c:v>1.78748851744783</c:v>
                </c:pt>
                <c:pt idx="3">
                  <c:v>1.76114987739467</c:v>
                </c:pt>
                <c:pt idx="4">
                  <c:v>2.13850097993057</c:v>
                </c:pt>
                <c:pt idx="5">
                  <c:v>1.77744853531746</c:v>
                </c:pt>
                <c:pt idx="6">
                  <c:v>1.60433151479172</c:v>
                </c:pt>
                <c:pt idx="7">
                  <c:v>1.36713324868061</c:v>
                </c:pt>
                <c:pt idx="8">
                  <c:v>1.75365125730251</c:v>
                </c:pt>
                <c:pt idx="9">
                  <c:v>1.88823215859602</c:v>
                </c:pt>
                <c:pt idx="10">
                  <c:v>1.8677534440355</c:v>
                </c:pt>
                <c:pt idx="11">
                  <c:v>1.50231379486304</c:v>
                </c:pt>
                <c:pt idx="12">
                  <c:v>1.73570032897399</c:v>
                </c:pt>
                <c:pt idx="13">
                  <c:v>1.88897599192722</c:v>
                </c:pt>
                <c:pt idx="14">
                  <c:v>1.91184706003476</c:v>
                </c:pt>
                <c:pt idx="15">
                  <c:v>2.11722815160833</c:v>
                </c:pt>
              </c:numCache>
            </c:numRef>
          </c:val>
          <c:smooth val="0"/>
        </c:ser>
        <c:ser>
          <c:idx val="1"/>
          <c:order val="1"/>
          <c:tx>
            <c:strRef>
              <c:f>"EBITDA"</c:f>
              <c:strCache>
                <c:ptCount val="1"/>
                <c:pt idx="0">
                  <c:v>EBITDA</c:v>
                </c:pt>
              </c:strCache>
            </c:strRef>
          </c:tx>
          <c:spPr>
            <a:solidFill>
              <a:srgbClr val="ff0000"/>
            </a:solidFill>
            <a:ln w="12600">
              <a:solidFill>
                <a:srgbClr val="ff0000"/>
              </a:solidFill>
              <a:round/>
            </a:ln>
          </c:spPr>
          <c:marker>
            <c:symbol val="square"/>
            <c:size val="5"/>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Companies'!$I$120:$I$135</c:f>
              <c:numCache>
                <c:formatCode>#,##0.0\x_);[RED]\(#,##0.0"x)";;</c:formatCode>
                <c:ptCount val="16"/>
                <c:pt idx="0">
                  <c:v>14.8541423570595</c:v>
                </c:pt>
                <c:pt idx="1">
                  <c:v>12.2864880662445</c:v>
                </c:pt>
                <c:pt idx="2">
                  <c:v>13.556856187291</c:v>
                </c:pt>
                <c:pt idx="3">
                  <c:v>12.1684364701575</c:v>
                </c:pt>
                <c:pt idx="4">
                  <c:v>13.6511070737843</c:v>
                </c:pt>
                <c:pt idx="5">
                  <c:v>10.5975141895257</c:v>
                </c:pt>
                <c:pt idx="6">
                  <c:v>9.6868525467995</c:v>
                </c:pt>
                <c:pt idx="7">
                  <c:v>8.46514127764128</c:v>
                </c:pt>
                <c:pt idx="8">
                  <c:v>16.2875819134993</c:v>
                </c:pt>
                <c:pt idx="9">
                  <c:v>13.9363093909439</c:v>
                </c:pt>
                <c:pt idx="10">
                  <c:v>11.3407118055556</c:v>
                </c:pt>
                <c:pt idx="11">
                  <c:v>9.29223287767149</c:v>
                </c:pt>
                <c:pt idx="12">
                  <c:v>11.3571210947015</c:v>
                </c:pt>
                <c:pt idx="13">
                  <c:v>11.8485284587874</c:v>
                </c:pt>
                <c:pt idx="14">
                  <c:v>11.6369795054144</c:v>
                </c:pt>
                <c:pt idx="15">
                  <c:v>13.0347879504914</c:v>
                </c:pt>
              </c:numCache>
            </c:numRef>
          </c:val>
          <c:smooth val="0"/>
        </c:ser>
        <c:ser>
          <c:idx val="2"/>
          <c:order val="2"/>
          <c:tx>
            <c:strRef>
              <c:f>"Earnings"</c:f>
              <c:strCache>
                <c:ptCount val="1"/>
                <c:pt idx="0">
                  <c:v>Earnings</c:v>
                </c:pt>
              </c:strCache>
            </c:strRef>
          </c:tx>
          <c:spPr>
            <a:solidFill>
              <a:srgbClr val="00ff00"/>
            </a:solidFill>
            <a:ln w="12600">
              <a:solidFill>
                <a:srgbClr val="00ff00"/>
              </a:solidFill>
              <a:round/>
            </a:ln>
          </c:spPr>
          <c:marker>
            <c:symbol val="triangle"/>
            <c:size val="5"/>
            <c:spPr>
              <a:solidFill>
                <a:srgbClr val="00ff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'CPA Companies'!$A$6:$A$21</c:f>
              <c:strCache>
                <c:ptCount val="16"/>
                <c:pt idx="0">
                  <c:v>4Q01</c:v>
                </c:pt>
                <c:pt idx="1">
                  <c:v>3Q01</c:v>
                </c:pt>
                <c:pt idx="2">
                  <c:v>2Q01</c:v>
                </c:pt>
                <c:pt idx="3">
                  <c:v>1Q01</c:v>
                </c:pt>
                <c:pt idx="4">
                  <c:v>4Q00</c:v>
                </c:pt>
                <c:pt idx="5">
                  <c:v>3Q00</c:v>
                </c:pt>
                <c:pt idx="6">
                  <c:v>2Q00</c:v>
                </c:pt>
                <c:pt idx="7">
                  <c:v>1Q00</c:v>
                </c:pt>
                <c:pt idx="8">
                  <c:v>4Q99</c:v>
                </c:pt>
                <c:pt idx="9">
                  <c:v>3Q99</c:v>
                </c:pt>
                <c:pt idx="10">
                  <c:v>2Q99</c:v>
                </c:pt>
                <c:pt idx="11">
                  <c:v>1Q99</c:v>
                </c:pt>
                <c:pt idx="12">
                  <c:v>4Q98</c:v>
                </c:pt>
                <c:pt idx="13">
                  <c:v>3Q98</c:v>
                </c:pt>
                <c:pt idx="14">
                  <c:v>2Q98</c:v>
                </c:pt>
                <c:pt idx="15">
                  <c:v>1Q98</c:v>
                </c:pt>
              </c:strCache>
            </c:strRef>
          </c:cat>
          <c:val>
            <c:numRef>
              <c:f>'CPA Companies'!$J$120:$J$135</c:f>
              <c:numCache>
                <c:formatCode>#,##0.0\x_);[RED]\(#,##0.0"x)";;</c:formatCode>
                <c:ptCount val="16"/>
                <c:pt idx="0">
                  <c:v>16.8166581350419</c:v>
                </c:pt>
                <c:pt idx="1">
                  <c:v>15.9429133049543</c:v>
                </c:pt>
                <c:pt idx="2">
                  <c:v>19.6493439210827</c:v>
                </c:pt>
                <c:pt idx="3">
                  <c:v>19.3376257990183</c:v>
                </c:pt>
                <c:pt idx="4">
                  <c:v>23.4561011904762</c:v>
                </c:pt>
                <c:pt idx="5">
                  <c:v>19.4767441860465</c:v>
                </c:pt>
                <c:pt idx="6">
                  <c:v>17.3491379310345</c:v>
                </c:pt>
                <c:pt idx="7">
                  <c:v>15.0923295454545</c:v>
                </c:pt>
                <c:pt idx="8">
                  <c:v>19.125</c:v>
                </c:pt>
                <c:pt idx="9">
                  <c:v>20.0728736083554</c:v>
                </c:pt>
                <c:pt idx="10">
                  <c:v>19.66796875</c:v>
                </c:pt>
                <c:pt idx="11">
                  <c:v>16.54296875</c:v>
                </c:pt>
                <c:pt idx="12">
                  <c:v>19.668400520156</c:v>
                </c:pt>
                <c:pt idx="13">
                  <c:v>20.6282918213677</c:v>
                </c:pt>
                <c:pt idx="14">
                  <c:v>20.3969594594595</c:v>
                </c:pt>
                <c:pt idx="15">
                  <c:v>23.28125</c:v>
                </c:pt>
              </c:numCache>
            </c:numRef>
          </c:val>
          <c:smooth val="0"/>
        </c:ser>
        <c:hiLowLines>
          <c:spPr>
            <a:ln w="0">
              <a:noFill/>
            </a:ln>
          </c:spPr>
        </c:hiLowLines>
        <c:marker val="1"/>
        <c:axId val="89790795"/>
        <c:axId val="27105785"/>
      </c:lineChart>
      <c:catAx>
        <c:axId val="89790795"/>
        <c:scaling>
          <c:orientation val="minMax"/>
        </c:scaling>
        <c:delete val="0"/>
        <c:axPos val="b"/>
        <c:numFmt formatCode="General" sourceLinked="1"/>
        <c:majorTickMark val="out"/>
        <c:minorTickMark val="none"/>
        <c:tickLblPos val="nextTo"/>
        <c:spPr>
          <a:ln w="0">
            <a:solidFill>
              <a:srgbClr val="000000"/>
            </a:solidFill>
          </a:ln>
        </c:spPr>
        <c:txPr>
          <a:bodyPr rot="-5400000"/>
          <a:lstStyle/>
          <a:p>
            <a:pPr>
              <a:defRPr b="0" sz="950" strike="noStrike" u="none">
                <a:solidFill>
                  <a:srgbClr val="000000"/>
                </a:solidFill>
                <a:uFillTx/>
                <a:latin typeface="Times New Roman"/>
              </a:defRPr>
            </a:pPr>
          </a:p>
        </c:txPr>
        <c:crossAx val="27105785"/>
        <c:crossesAt val="0"/>
        <c:auto val="1"/>
        <c:lblAlgn val="ctr"/>
        <c:lblOffset val="100"/>
        <c:noMultiLvlLbl val="0"/>
      </c:catAx>
      <c:valAx>
        <c:axId val="27105785"/>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50" strike="noStrike" u="none">
                    <a:solidFill>
                      <a:srgbClr val="000000"/>
                    </a:solidFill>
                    <a:uFillTx/>
                    <a:latin typeface="Times New Roman"/>
                  </a:rPr>
                  <a:t>Maket Cap. Multiple</a:t>
                </a:r>
              </a:p>
            </c:rich>
          </c:tx>
          <c:overlay val="0"/>
          <c:spPr>
            <a:noFill/>
            <a:ln w="0">
              <a:noFill/>
            </a:ln>
          </c:spPr>
        </c:title>
        <c:numFmt formatCode="#,##0.0\x_);[RED]\(#,##0.0&quot;x)&quot;;;"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Times New Roman"/>
              </a:defRPr>
            </a:pPr>
          </a:p>
        </c:txPr>
        <c:crossAx val="89790795"/>
        <c:crossesAt val="1"/>
        <c:crossBetween val="midCat"/>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950"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_rels/drawing2.xml.rels><?xml version="1.0" encoding="UTF-8"?>
<Relationships xmlns="http://schemas.openxmlformats.org/package/2006/relationships"><Relationship Id="rId1" Type="http://schemas.openxmlformats.org/officeDocument/2006/relationships/chart" Target="../charts/chart3.xml"/><Relationship Id="rId2" Type="http://schemas.openxmlformats.org/officeDocument/2006/relationships/chart" Target="../charts/chart4.xml"/><Relationship Id="rId3" Type="http://schemas.openxmlformats.org/officeDocument/2006/relationships/chart" Target="../charts/chart5.xml"/><Relationship Id="rId4" Type="http://schemas.openxmlformats.org/officeDocument/2006/relationships/chart" Target="../charts/chart6.xml"/><Relationship Id="rId5" Type="http://schemas.openxmlformats.org/officeDocument/2006/relationships/chart" Target="../charts/chart7.xml"/><Relationship Id="rId6" Type="http://schemas.openxmlformats.org/officeDocument/2006/relationships/chart" Target="../charts/chart8.xml"/><Relationship Id="rId7" Type="http://schemas.openxmlformats.org/officeDocument/2006/relationships/chart" Target="../charts/chart9.xml"/><Relationship Id="rId8" Type="http://schemas.openxmlformats.org/officeDocument/2006/relationships/chart" Target="../charts/chart10.xml"/><Relationship Id="rId9" Type="http://schemas.openxmlformats.org/officeDocument/2006/relationships/chart" Target="../charts/chart11.xml"/><Relationship Id="rId10" Type="http://schemas.openxmlformats.org/officeDocument/2006/relationships/chart" Target="../charts/chart12.xml"/><Relationship Id="rId11" Type="http://schemas.openxmlformats.org/officeDocument/2006/relationships/chart" Target="../charts/chart13.xml"/><Relationship Id="rId12" Type="http://schemas.openxmlformats.org/officeDocument/2006/relationships/chart" Target="../charts/chart14.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47160</xdr:colOff>
      <xdr:row>0</xdr:row>
      <xdr:rowOff>15120</xdr:rowOff>
    </xdr:from>
    <xdr:to>
      <xdr:col>5</xdr:col>
      <xdr:colOff>243360</xdr:colOff>
      <xdr:row>16</xdr:row>
      <xdr:rowOff>91800</xdr:rowOff>
    </xdr:to>
    <xdr:graphicFrame>
      <xdr:nvGraphicFramePr>
        <xdr:cNvPr id="0" name="Chart 6"/>
        <xdr:cNvGraphicFramePr/>
      </xdr:nvGraphicFramePr>
      <xdr:xfrm>
        <a:off x="47160" y="15120"/>
        <a:ext cx="3326760" cy="28807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266040</xdr:colOff>
      <xdr:row>0</xdr:row>
      <xdr:rowOff>0</xdr:rowOff>
    </xdr:from>
    <xdr:to>
      <xdr:col>10</xdr:col>
      <xdr:colOff>501480</xdr:colOff>
      <xdr:row>16</xdr:row>
      <xdr:rowOff>68760</xdr:rowOff>
    </xdr:to>
    <xdr:graphicFrame>
      <xdr:nvGraphicFramePr>
        <xdr:cNvPr id="1" name="Chart 7"/>
        <xdr:cNvGraphicFramePr/>
      </xdr:nvGraphicFramePr>
      <xdr:xfrm>
        <a:off x="3396600" y="0"/>
        <a:ext cx="3366000" cy="2872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10</xdr:col>
      <xdr:colOff>140760</xdr:colOff>
      <xdr:row>4</xdr:row>
      <xdr:rowOff>0</xdr:rowOff>
    </xdr:from>
    <xdr:to>
      <xdr:col>17</xdr:col>
      <xdr:colOff>360720</xdr:colOff>
      <xdr:row>21</xdr:row>
      <xdr:rowOff>129240</xdr:rowOff>
    </xdr:to>
    <xdr:graphicFrame>
      <xdr:nvGraphicFramePr>
        <xdr:cNvPr id="2" name="Chart 1"/>
        <xdr:cNvGraphicFramePr/>
      </xdr:nvGraphicFramePr>
      <xdr:xfrm>
        <a:off x="8342280" y="621000"/>
        <a:ext cx="4602960" cy="31698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148680</xdr:colOff>
      <xdr:row>23</xdr:row>
      <xdr:rowOff>7200</xdr:rowOff>
    </xdr:from>
    <xdr:to>
      <xdr:col>17</xdr:col>
      <xdr:colOff>360720</xdr:colOff>
      <xdr:row>40</xdr:row>
      <xdr:rowOff>182880</xdr:rowOff>
    </xdr:to>
    <xdr:graphicFrame>
      <xdr:nvGraphicFramePr>
        <xdr:cNvPr id="3" name="Chart 2"/>
        <xdr:cNvGraphicFramePr/>
      </xdr:nvGraphicFramePr>
      <xdr:xfrm>
        <a:off x="8350200" y="4034520"/>
        <a:ext cx="4595040" cy="32234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148680</xdr:colOff>
      <xdr:row>42</xdr:row>
      <xdr:rowOff>7560</xdr:rowOff>
    </xdr:from>
    <xdr:to>
      <xdr:col>17</xdr:col>
      <xdr:colOff>321480</xdr:colOff>
      <xdr:row>59</xdr:row>
      <xdr:rowOff>182880</xdr:rowOff>
    </xdr:to>
    <xdr:graphicFrame>
      <xdr:nvGraphicFramePr>
        <xdr:cNvPr id="4" name="Chart 3"/>
        <xdr:cNvGraphicFramePr/>
      </xdr:nvGraphicFramePr>
      <xdr:xfrm>
        <a:off x="8350200" y="7351200"/>
        <a:ext cx="4555800" cy="32234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148680</xdr:colOff>
      <xdr:row>61</xdr:row>
      <xdr:rowOff>7560</xdr:rowOff>
    </xdr:from>
    <xdr:to>
      <xdr:col>17</xdr:col>
      <xdr:colOff>375840</xdr:colOff>
      <xdr:row>78</xdr:row>
      <xdr:rowOff>182880</xdr:rowOff>
    </xdr:to>
    <xdr:graphicFrame>
      <xdr:nvGraphicFramePr>
        <xdr:cNvPr id="5" name="Chart 7"/>
        <xdr:cNvGraphicFramePr/>
      </xdr:nvGraphicFramePr>
      <xdr:xfrm>
        <a:off x="8350200" y="10667880"/>
        <a:ext cx="4610160" cy="3223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148680</xdr:colOff>
      <xdr:row>80</xdr:row>
      <xdr:rowOff>7920</xdr:rowOff>
    </xdr:from>
    <xdr:to>
      <xdr:col>17</xdr:col>
      <xdr:colOff>321480</xdr:colOff>
      <xdr:row>97</xdr:row>
      <xdr:rowOff>182880</xdr:rowOff>
    </xdr:to>
    <xdr:graphicFrame>
      <xdr:nvGraphicFramePr>
        <xdr:cNvPr id="6" name="Chart 10"/>
        <xdr:cNvGraphicFramePr/>
      </xdr:nvGraphicFramePr>
      <xdr:xfrm>
        <a:off x="8350200" y="13984920"/>
        <a:ext cx="4555800" cy="32151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10</xdr:col>
      <xdr:colOff>148680</xdr:colOff>
      <xdr:row>99</xdr:row>
      <xdr:rowOff>7920</xdr:rowOff>
    </xdr:from>
    <xdr:to>
      <xdr:col>17</xdr:col>
      <xdr:colOff>344880</xdr:colOff>
      <xdr:row>116</xdr:row>
      <xdr:rowOff>182880</xdr:rowOff>
    </xdr:to>
    <xdr:graphicFrame>
      <xdr:nvGraphicFramePr>
        <xdr:cNvPr id="7" name="Chart 11"/>
        <xdr:cNvGraphicFramePr/>
      </xdr:nvGraphicFramePr>
      <xdr:xfrm>
        <a:off x="8350200" y="17294040"/>
        <a:ext cx="4579200" cy="321516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10</xdr:col>
      <xdr:colOff>148680</xdr:colOff>
      <xdr:row>118</xdr:row>
      <xdr:rowOff>7920</xdr:rowOff>
    </xdr:from>
    <xdr:to>
      <xdr:col>17</xdr:col>
      <xdr:colOff>344880</xdr:colOff>
      <xdr:row>135</xdr:row>
      <xdr:rowOff>182880</xdr:rowOff>
    </xdr:to>
    <xdr:graphicFrame>
      <xdr:nvGraphicFramePr>
        <xdr:cNvPr id="8" name="Chart 12"/>
        <xdr:cNvGraphicFramePr/>
      </xdr:nvGraphicFramePr>
      <xdr:xfrm>
        <a:off x="8350200" y="20621880"/>
        <a:ext cx="4579200" cy="321552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10</xdr:col>
      <xdr:colOff>148680</xdr:colOff>
      <xdr:row>137</xdr:row>
      <xdr:rowOff>7920</xdr:rowOff>
    </xdr:from>
    <xdr:to>
      <xdr:col>17</xdr:col>
      <xdr:colOff>375840</xdr:colOff>
      <xdr:row>154</xdr:row>
      <xdr:rowOff>182880</xdr:rowOff>
    </xdr:to>
    <xdr:graphicFrame>
      <xdr:nvGraphicFramePr>
        <xdr:cNvPr id="9" name="Chart 13"/>
        <xdr:cNvGraphicFramePr/>
      </xdr:nvGraphicFramePr>
      <xdr:xfrm>
        <a:off x="8350200" y="23931000"/>
        <a:ext cx="4610160" cy="321516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148680</xdr:colOff>
      <xdr:row>156</xdr:row>
      <xdr:rowOff>8280</xdr:rowOff>
    </xdr:from>
    <xdr:to>
      <xdr:col>17</xdr:col>
      <xdr:colOff>462240</xdr:colOff>
      <xdr:row>173</xdr:row>
      <xdr:rowOff>182880</xdr:rowOff>
    </xdr:to>
    <xdr:graphicFrame>
      <xdr:nvGraphicFramePr>
        <xdr:cNvPr id="10" name="Chart 16"/>
        <xdr:cNvGraphicFramePr/>
      </xdr:nvGraphicFramePr>
      <xdr:xfrm>
        <a:off x="8350200" y="27240120"/>
        <a:ext cx="4696560" cy="321516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10</xdr:col>
      <xdr:colOff>125640</xdr:colOff>
      <xdr:row>175</xdr:row>
      <xdr:rowOff>15120</xdr:rowOff>
    </xdr:from>
    <xdr:to>
      <xdr:col>17</xdr:col>
      <xdr:colOff>493200</xdr:colOff>
      <xdr:row>192</xdr:row>
      <xdr:rowOff>175320</xdr:rowOff>
    </xdr:to>
    <xdr:graphicFrame>
      <xdr:nvGraphicFramePr>
        <xdr:cNvPr id="11" name="Chart 19"/>
        <xdr:cNvGraphicFramePr/>
      </xdr:nvGraphicFramePr>
      <xdr:xfrm>
        <a:off x="8327160" y="30653280"/>
        <a:ext cx="4750560" cy="320040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10</xdr:col>
      <xdr:colOff>180000</xdr:colOff>
      <xdr:row>194</xdr:row>
      <xdr:rowOff>53280</xdr:rowOff>
    </xdr:from>
    <xdr:to>
      <xdr:col>17</xdr:col>
      <xdr:colOff>556200</xdr:colOff>
      <xdr:row>212</xdr:row>
      <xdr:rowOff>46080</xdr:rowOff>
    </xdr:to>
    <xdr:graphicFrame>
      <xdr:nvGraphicFramePr>
        <xdr:cNvPr id="12" name="Chart 20"/>
        <xdr:cNvGraphicFramePr/>
      </xdr:nvGraphicFramePr>
      <xdr:xfrm>
        <a:off x="8381520" y="34000560"/>
        <a:ext cx="4759200" cy="322344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10</xdr:col>
      <xdr:colOff>218880</xdr:colOff>
      <xdr:row>213</xdr:row>
      <xdr:rowOff>30600</xdr:rowOff>
    </xdr:from>
    <xdr:to>
      <xdr:col>17</xdr:col>
      <xdr:colOff>423000</xdr:colOff>
      <xdr:row>231</xdr:row>
      <xdr:rowOff>7560</xdr:rowOff>
    </xdr:to>
    <xdr:graphicFrame>
      <xdr:nvGraphicFramePr>
        <xdr:cNvPr id="13" name="Chart 22"/>
        <xdr:cNvGraphicFramePr/>
      </xdr:nvGraphicFramePr>
      <xdr:xfrm>
        <a:off x="8420400" y="37294200"/>
        <a:ext cx="4587120" cy="320796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Executives/2001/2001%20Financials/2001%20IdleAire%20Financials%204_3%20(mcrabtree%20v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Notes"/>
      <sheetName val="Graphs"/>
      <sheetName val="Cap Equip"/>
      <sheetName val="Facility"/>
      <sheetName val="Grants"/>
      <sheetName val="Value"/>
      <sheetName val="Ancillary Services"/>
      <sheetName val="Emission Credits"/>
      <sheetName val="Fixed Assets"/>
      <sheetName val="Assumptions"/>
      <sheetName val="Financing"/>
      <sheetName val="Units"/>
      <sheetName val="Numbers"/>
      <sheetName val="Summary"/>
      <sheetName val="Marketing"/>
      <sheetName val="Employees"/>
      <sheetName val="Unit Costs-3"/>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3">
          <cell r="G23">
            <v>629.0638575</v>
          </cell>
        </row>
        <row r="23">
          <cell r="I23">
            <v>30826.7198593938</v>
          </cell>
        </row>
        <row r="23">
          <cell r="K23">
            <v>276495.009979438</v>
          </cell>
        </row>
        <row r="23">
          <cell r="M23">
            <v>984524.716257991</v>
          </cell>
        </row>
        <row r="23">
          <cell r="O23">
            <v>2279725.29707782</v>
          </cell>
        </row>
        <row r="41">
          <cell r="G41">
            <v>0.68778801</v>
          </cell>
        </row>
        <row r="41">
          <cell r="I41">
            <v>784.88594121</v>
          </cell>
        </row>
        <row r="41">
          <cell r="K41">
            <v>5951.1163068</v>
          </cell>
        </row>
        <row r="41">
          <cell r="M41">
            <v>19970.2352808</v>
          </cell>
        </row>
        <row r="41">
          <cell r="O41">
            <v>45372.0487752</v>
          </cell>
        </row>
        <row r="44">
          <cell r="H44">
            <v>0.344789789591499</v>
          </cell>
        </row>
        <row r="44">
          <cell r="J44">
            <v>0.470428620672667</v>
          </cell>
        </row>
        <row r="44">
          <cell r="L44">
            <v>0.619810134379226</v>
          </cell>
        </row>
        <row r="44">
          <cell r="N44">
            <v>0.632909091822305</v>
          </cell>
        </row>
        <row r="44">
          <cell r="P44">
            <v>0.62892201297792</v>
          </cell>
        </row>
        <row r="53">
          <cell r="H53">
            <v>0.0932822520857246</v>
          </cell>
        </row>
        <row r="53">
          <cell r="J53">
            <v>0.0273923619028623</v>
          </cell>
        </row>
        <row r="53">
          <cell r="L53">
            <v>0.000372520285294334</v>
          </cell>
        </row>
        <row r="53">
          <cell r="N53">
            <v>0.000104619008846711</v>
          </cell>
        </row>
        <row r="53">
          <cell r="P53">
            <v>4.51808821580506E-005</v>
          </cell>
        </row>
        <row r="56">
          <cell r="E56">
            <v>2.75116</v>
          </cell>
        </row>
        <row r="56">
          <cell r="G56">
            <v>18.36563</v>
          </cell>
        </row>
        <row r="56">
          <cell r="I56">
            <v>68.574</v>
          </cell>
        </row>
        <row r="56">
          <cell r="K56">
            <v>252.64</v>
          </cell>
        </row>
        <row r="56">
          <cell r="M56">
            <v>745</v>
          </cell>
        </row>
        <row r="56">
          <cell r="O56">
            <v>1624.32</v>
          </cell>
        </row>
        <row r="59">
          <cell r="E59">
            <v>-723.48496</v>
          </cell>
        </row>
        <row r="59">
          <cell r="G59">
            <v>-5568.96477951613</v>
          </cell>
        </row>
        <row r="59">
          <cell r="I59">
            <v>2974.34249858703</v>
          </cell>
        </row>
        <row r="59">
          <cell r="K59">
            <v>147724.494749755</v>
          </cell>
        </row>
        <row r="59">
          <cell r="M59">
            <v>569085.054518325</v>
          </cell>
        </row>
        <row r="59">
          <cell r="O59">
            <v>1322226.80914261</v>
          </cell>
        </row>
        <row r="61">
          <cell r="G61">
            <v>333.766579130435</v>
          </cell>
        </row>
        <row r="61">
          <cell r="I61">
            <v>7768.47664565217</v>
          </cell>
        </row>
        <row r="61">
          <cell r="K61">
            <v>49077.6609608696</v>
          </cell>
        </row>
        <row r="61">
          <cell r="M61">
            <v>154924.706243478</v>
          </cell>
        </row>
        <row r="61">
          <cell r="O61">
            <v>337537.239356087</v>
          </cell>
        </row>
        <row r="63">
          <cell r="G63">
            <v>-90.3823607254123</v>
          </cell>
        </row>
        <row r="63">
          <cell r="I63">
            <v>76.1774190971701</v>
          </cell>
        </row>
        <row r="63">
          <cell r="K63">
            <v>2437.21803911796</v>
          </cell>
        </row>
        <row r="63">
          <cell r="M63">
            <v>8797.8581603166</v>
          </cell>
        </row>
        <row r="63">
          <cell r="O63">
            <v>9355.5914542502</v>
          </cell>
        </row>
        <row r="64">
          <cell r="G64">
            <v>-5812.34899792115</v>
          </cell>
        </row>
        <row r="64">
          <cell r="I64">
            <v>-4870.31156616231</v>
          </cell>
        </row>
        <row r="64">
          <cell r="K64">
            <v>96209.6157497679</v>
          </cell>
        </row>
        <row r="64">
          <cell r="M64">
            <v>405362.49011453</v>
          </cell>
        </row>
        <row r="64">
          <cell r="O64">
            <v>975333.978332276</v>
          </cell>
        </row>
        <row r="65">
          <cell r="E65">
            <v>0</v>
          </cell>
        </row>
        <row r="67">
          <cell r="G67">
            <v>-5812.34899792115</v>
          </cell>
        </row>
        <row r="67">
          <cell r="I67">
            <v>-2028.74619279362</v>
          </cell>
        </row>
        <row r="67">
          <cell r="K67">
            <v>74833.0321434087</v>
          </cell>
        </row>
        <row r="67">
          <cell r="M67">
            <v>297550.246909476</v>
          </cell>
        </row>
        <row r="67">
          <cell r="O67">
            <v>705602.032454108</v>
          </cell>
        </row>
        <row r="110">
          <cell r="G110">
            <v>2.41025543</v>
          </cell>
        </row>
        <row r="110">
          <cell r="I110">
            <v>64.5791819415</v>
          </cell>
        </row>
        <row r="110">
          <cell r="K110">
            <v>511.292545062278</v>
          </cell>
        </row>
        <row r="110">
          <cell r="M110">
            <v>1524.34562203834</v>
          </cell>
        </row>
        <row r="110">
          <cell r="O110">
            <v>3397.34269180171</v>
          </cell>
        </row>
        <row r="110">
          <cell r="U110">
            <v>0</v>
          </cell>
          <cell r="V110">
            <v>0</v>
          </cell>
          <cell r="W110">
            <v>0.106</v>
          </cell>
          <cell r="X110">
            <v>2.41025543</v>
          </cell>
          <cell r="Y110">
            <v>4.758592323575</v>
          </cell>
          <cell r="Z110">
            <v>14.61510851625</v>
          </cell>
          <cell r="AA110">
            <v>39.35399665625</v>
          </cell>
          <cell r="AB110">
            <v>64.5791819415</v>
          </cell>
          <cell r="AC110">
            <v>106.950862614139</v>
          </cell>
          <cell r="AD110">
            <v>178.146507932035</v>
          </cell>
          <cell r="AE110">
            <v>309.5901243093</v>
          </cell>
          <cell r="AF110">
            <v>511.292545062278</v>
          </cell>
          <cell r="AG110">
            <v>563.577804773539</v>
          </cell>
          <cell r="AH110">
            <v>756.274807681819</v>
          </cell>
          <cell r="AI110">
            <v>1093.90063053827</v>
          </cell>
          <cell r="AJ110">
            <v>1524.34562203834</v>
          </cell>
          <cell r="AK110">
            <v>1450.63826028285</v>
          </cell>
          <cell r="AL110">
            <v>1790.3240391239</v>
          </cell>
          <cell r="AM110">
            <v>2480.59619710283</v>
          </cell>
          <cell r="AN110">
            <v>3397.34269180171</v>
          </cell>
        </row>
        <row r="113">
          <cell r="G113">
            <v>-6.9074694152385</v>
          </cell>
        </row>
        <row r="113">
          <cell r="I113">
            <v>17.5016734873254</v>
          </cell>
        </row>
        <row r="113">
          <cell r="K113">
            <v>289.720531183549</v>
          </cell>
        </row>
        <row r="113">
          <cell r="M113">
            <v>911.425774664459</v>
          </cell>
        </row>
        <row r="113">
          <cell r="O113">
            <v>2036.01782292757</v>
          </cell>
        </row>
        <row r="113">
          <cell r="S113">
            <v>-0.76561701</v>
          </cell>
          <cell r="T113">
            <v>-1.40483787</v>
          </cell>
          <cell r="U113">
            <v>-4.61155476</v>
          </cell>
          <cell r="V113">
            <v>-8.1994824</v>
          </cell>
          <cell r="W113">
            <v>-5.178323803575</v>
          </cell>
          <cell r="X113">
            <v>-6.9074694152385</v>
          </cell>
          <cell r="Y113">
            <v>-10.7288254242064</v>
          </cell>
          <cell r="Z113">
            <v>-3.96920397102344</v>
          </cell>
          <cell r="AA113">
            <v>9.09372590225256</v>
          </cell>
          <cell r="AB113">
            <v>17.5016734873254</v>
          </cell>
          <cell r="AC113">
            <v>42.2157343006007</v>
          </cell>
          <cell r="AD113">
            <v>86.7207504630913</v>
          </cell>
          <cell r="AE113">
            <v>172.24096305178</v>
          </cell>
          <cell r="AF113">
            <v>289.720531183549</v>
          </cell>
          <cell r="AG113">
            <v>290.167837392179</v>
          </cell>
          <cell r="AH113">
            <v>415.653395630057</v>
          </cell>
          <cell r="AI113">
            <v>659.093210386606</v>
          </cell>
          <cell r="AJ113">
            <v>911.425774664459</v>
          </cell>
          <cell r="AK113">
            <v>767.311388796254</v>
          </cell>
          <cell r="AL113">
            <v>985.056816452796</v>
          </cell>
          <cell r="AM113">
            <v>1500.52120839383</v>
          </cell>
          <cell r="AN113">
            <v>2036.01782292757</v>
          </cell>
        </row>
        <row r="117">
          <cell r="S117">
            <v>31.8206</v>
          </cell>
          <cell r="T117">
            <v>33.7365</v>
          </cell>
          <cell r="U117">
            <v>72</v>
          </cell>
          <cell r="V117">
            <v>90.5446</v>
          </cell>
          <cell r="W117">
            <v>92.5</v>
          </cell>
          <cell r="X117">
            <v>110</v>
          </cell>
          <cell r="Y117">
            <v>250</v>
          </cell>
          <cell r="Z117">
            <v>263.0719532925</v>
          </cell>
          <cell r="AA117">
            <v>393.5399665625</v>
          </cell>
          <cell r="AB117">
            <v>427.16783964375</v>
          </cell>
          <cell r="AC117">
            <v>641.705175684835</v>
          </cell>
          <cell r="AD117">
            <v>1068.87904759221</v>
          </cell>
          <cell r="AE117">
            <v>1857.5407458558</v>
          </cell>
          <cell r="AF117">
            <v>3067.75527037367</v>
          </cell>
          <cell r="AG117">
            <v>3381.46682864124</v>
          </cell>
          <cell r="AH117">
            <v>4537.64884609092</v>
          </cell>
          <cell r="AI117">
            <v>6563.40378322961</v>
          </cell>
          <cell r="AJ117">
            <v>9146.07373223003</v>
          </cell>
          <cell r="AK117">
            <v>9146.07373223003</v>
          </cell>
          <cell r="AL117">
            <v>10741.9442347434</v>
          </cell>
          <cell r="AM117">
            <v>14883.577182617</v>
          </cell>
          <cell r="AN117">
            <v>20384.0561508103</v>
          </cell>
        </row>
        <row r="118">
          <cell r="E118">
            <v>40.52</v>
          </cell>
        </row>
        <row r="118">
          <cell r="G118">
            <v>46.551675</v>
          </cell>
        </row>
        <row r="118">
          <cell r="I118">
            <v>59.2475863636364</v>
          </cell>
        </row>
        <row r="118">
          <cell r="K118">
            <v>73.117447543506</v>
          </cell>
        </row>
        <row r="118">
          <cell r="M118">
            <v>75.3972113288829</v>
          </cell>
        </row>
        <row r="118">
          <cell r="O118">
            <v>75.3972113288829</v>
          </cell>
        </row>
        <row r="118">
          <cell r="S118">
            <v>38.2</v>
          </cell>
          <cell r="T118">
            <v>40.52</v>
          </cell>
          <cell r="U118">
            <v>45.179</v>
          </cell>
          <cell r="V118">
            <v>45.2723</v>
          </cell>
          <cell r="W118">
            <v>46.551675</v>
          </cell>
          <cell r="X118">
            <v>46.551675</v>
          </cell>
          <cell r="Y118">
            <v>59.2475863636364</v>
          </cell>
          <cell r="Z118">
            <v>59.2475863636364</v>
          </cell>
          <cell r="AA118">
            <v>59.2475863636364</v>
          </cell>
          <cell r="AB118">
            <v>59.2475863636364</v>
          </cell>
          <cell r="AC118">
            <v>73.117447543506</v>
          </cell>
          <cell r="AD118">
            <v>73.117447543506</v>
          </cell>
          <cell r="AE118">
            <v>73.117447543506</v>
          </cell>
          <cell r="AF118">
            <v>73.117447543506</v>
          </cell>
          <cell r="AG118">
            <v>75.3972113288829</v>
          </cell>
          <cell r="AH118">
            <v>75.3972113288829</v>
          </cell>
          <cell r="AI118">
            <v>75.3972113288829</v>
          </cell>
          <cell r="AJ118">
            <v>75.3972113288829</v>
          </cell>
          <cell r="AK118">
            <v>75.3972113288829</v>
          </cell>
          <cell r="AL118">
            <v>75.3972113288829</v>
          </cell>
          <cell r="AM118">
            <v>75.3972113288829</v>
          </cell>
          <cell r="AN118">
            <v>75.3972113288829</v>
          </cell>
        </row>
        <row r="120">
          <cell r="E120">
            <v>42.365</v>
          </cell>
        </row>
        <row r="120">
          <cell r="G120">
            <v>48.901675</v>
          </cell>
        </row>
        <row r="120">
          <cell r="I120">
            <v>63.3949174090909</v>
          </cell>
        </row>
        <row r="120">
          <cell r="K120">
            <v>78.9668433469865</v>
          </cell>
        </row>
        <row r="120">
          <cell r="M120">
            <v>82.1829603484823</v>
          </cell>
        </row>
        <row r="120">
          <cell r="O120">
            <v>82.9369324617712</v>
          </cell>
        </row>
        <row r="128">
          <cell r="S128">
            <v>1805</v>
          </cell>
          <cell r="T128">
            <v>250.5</v>
          </cell>
          <cell r="U128">
            <v>2180.83333</v>
          </cell>
          <cell r="V128">
            <v>1669.8</v>
          </cell>
          <cell r="W128">
            <v>2558.75</v>
          </cell>
          <cell r="X128">
            <v>0</v>
          </cell>
          <cell r="Y128">
            <v>30000</v>
          </cell>
          <cell r="Z128">
            <v>0</v>
          </cell>
          <cell r="AA128">
            <v>0</v>
          </cell>
          <cell r="AB128">
            <v>0</v>
          </cell>
          <cell r="AC128">
            <v>100000</v>
          </cell>
          <cell r="AD128">
            <v>0</v>
          </cell>
          <cell r="AE128">
            <v>0</v>
          </cell>
          <cell r="AF128">
            <v>0</v>
          </cell>
          <cell r="AG128">
            <v>100000</v>
          </cell>
          <cell r="AH128">
            <v>0</v>
          </cell>
          <cell r="AI128">
            <v>0</v>
          </cell>
          <cell r="AJ128">
            <v>0</v>
          </cell>
          <cell r="AK128">
            <v>0</v>
          </cell>
          <cell r="AL128">
            <v>0</v>
          </cell>
          <cell r="AM128">
            <v>0</v>
          </cell>
          <cell r="AN128">
            <v>0</v>
          </cell>
        </row>
      </sheetData>
      <sheetData sheetId="13">
        <row r="53">
          <cell r="D53">
            <v>110</v>
          </cell>
          <cell r="E53">
            <v>427.16783964375</v>
          </cell>
          <cell r="F53">
            <v>3067.75527037367</v>
          </cell>
          <cell r="G53">
            <v>9146.07373223003</v>
          </cell>
          <cell r="H53">
            <v>20384.0561508103</v>
          </cell>
        </row>
      </sheetData>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6.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5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96484375" defaultRowHeight="13.8" customHeight="true" zeroHeight="false" outlineLevelRow="0" outlineLevelCol="0"/>
  <cols>
    <col collapsed="false" customWidth="true" hidden="false" outlineLevel="0" max="1" min="1" style="0" width="2.88"/>
    <col collapsed="false" customWidth="true" hidden="false" outlineLevel="0" max="2" min="2" style="0" width="48.1"/>
    <col collapsed="false" customWidth="true" hidden="false" outlineLevel="0" max="3" min="3" style="0" width="9.99"/>
    <col collapsed="false" customWidth="true" hidden="false" outlineLevel="0" max="4" min="4" style="0" width="1.44"/>
    <col collapsed="false" customWidth="true" hidden="false" outlineLevel="0" max="5" min="5" style="0" width="9.65"/>
    <col collapsed="false" customWidth="true" hidden="false" outlineLevel="0" max="6" min="6" style="0" width="1.44"/>
    <col collapsed="false" customWidth="true" hidden="false" outlineLevel="0" max="7" min="7" style="0" width="11.1"/>
    <col collapsed="false" customWidth="true" hidden="false" outlineLevel="0" max="8" min="8" style="0" width="1.44"/>
    <col collapsed="false" customWidth="true" hidden="false" outlineLevel="0" max="9" min="9" style="0" width="11.65"/>
    <col collapsed="false" customWidth="true" hidden="false" outlineLevel="0" max="10" min="10" style="0" width="1.44"/>
    <col collapsed="false" customWidth="true" hidden="false" outlineLevel="0" max="11" min="11" style="0" width="11.54"/>
    <col collapsed="false" customWidth="true" hidden="false" outlineLevel="0" max="12" min="12" style="0" width="1.44"/>
    <col collapsed="false" customWidth="true" hidden="false" outlineLevel="0" max="13" min="13" style="0" width="12.1"/>
    <col collapsed="false" customWidth="true" hidden="false" outlineLevel="0" max="14" min="14" style="0" width="1.44"/>
    <col collapsed="false" customWidth="true" hidden="false" outlineLevel="0" max="15" min="15" style="0" width="13.88"/>
  </cols>
  <sheetData>
    <row r="1" customFormat="false" ht="22.8" hidden="false" customHeight="false" outlineLevel="0" collapsed="false">
      <c r="A1" s="1" t="s">
        <v>0</v>
      </c>
      <c r="B1" s="1"/>
      <c r="C1" s="1"/>
      <c r="D1" s="1"/>
      <c r="E1" s="1"/>
      <c r="F1" s="1"/>
      <c r="G1" s="1"/>
      <c r="H1" s="1"/>
      <c r="I1" s="1"/>
      <c r="J1" s="1"/>
      <c r="K1" s="1"/>
      <c r="L1" s="1"/>
      <c r="M1" s="1"/>
      <c r="N1" s="1"/>
      <c r="O1" s="1"/>
    </row>
    <row r="2" customFormat="false" ht="4.5" hidden="false" customHeight="true" outlineLevel="0" collapsed="false">
      <c r="B2" s="2"/>
      <c r="C2" s="2"/>
      <c r="D2" s="2"/>
      <c r="E2" s="2"/>
      <c r="F2" s="2"/>
      <c r="G2" s="2"/>
      <c r="H2" s="2"/>
      <c r="I2" s="2"/>
      <c r="J2" s="2"/>
      <c r="K2" s="2"/>
      <c r="L2" s="2"/>
      <c r="M2" s="2"/>
      <c r="N2" s="2"/>
      <c r="O2" s="2"/>
    </row>
    <row r="3" customFormat="false" ht="15.6" hidden="false" customHeight="false" outlineLevel="0" collapsed="false">
      <c r="A3" s="3" t="s">
        <v>1</v>
      </c>
      <c r="B3" s="4"/>
      <c r="C3" s="4"/>
      <c r="D3" s="5"/>
      <c r="E3" s="6" t="s">
        <v>2</v>
      </c>
      <c r="F3" s="7"/>
      <c r="G3" s="6" t="s">
        <v>3</v>
      </c>
      <c r="H3" s="7"/>
      <c r="I3" s="6" t="s">
        <v>4</v>
      </c>
      <c r="J3" s="7"/>
      <c r="K3" s="6" t="s">
        <v>5</v>
      </c>
      <c r="L3" s="7"/>
      <c r="M3" s="6" t="s">
        <v>6</v>
      </c>
      <c r="N3" s="7"/>
      <c r="O3" s="6" t="s">
        <v>7</v>
      </c>
    </row>
    <row r="4" customFormat="false" ht="6.75" hidden="false" customHeight="true" outlineLevel="0" collapsed="false">
      <c r="A4" s="2"/>
      <c r="B4" s="2"/>
      <c r="C4" s="2"/>
      <c r="D4" s="2"/>
      <c r="E4" s="2"/>
      <c r="F4" s="2"/>
      <c r="G4" s="2"/>
      <c r="H4" s="2"/>
      <c r="I4" s="2"/>
      <c r="J4" s="2"/>
      <c r="K4" s="2"/>
      <c r="L4" s="2"/>
      <c r="M4" s="2"/>
      <c r="N4" s="2"/>
      <c r="O4" s="2"/>
    </row>
    <row r="5" customFormat="false" ht="18" hidden="false" customHeight="false" outlineLevel="0" collapsed="false">
      <c r="A5" s="8" t="s">
        <v>8</v>
      </c>
      <c r="B5" s="9"/>
      <c r="C5" s="9"/>
      <c r="D5" s="9"/>
      <c r="E5" s="9"/>
      <c r="F5" s="9"/>
      <c r="G5" s="9"/>
      <c r="H5" s="9"/>
      <c r="I5" s="9"/>
      <c r="J5" s="9"/>
      <c r="K5" s="9"/>
      <c r="L5" s="9"/>
      <c r="M5" s="9"/>
      <c r="N5" s="9"/>
      <c r="O5" s="10"/>
    </row>
    <row r="6" customFormat="false" ht="15.6" hidden="false" customHeight="false" outlineLevel="0" collapsed="false">
      <c r="A6" s="11" t="s">
        <v>9</v>
      </c>
      <c r="B6" s="4"/>
      <c r="C6" s="12"/>
      <c r="D6" s="3"/>
      <c r="E6" s="13"/>
      <c r="F6" s="14"/>
      <c r="G6" s="13" t="n">
        <f aca="false">[1]Numbers!G23/1000</f>
        <v>0.6290638575</v>
      </c>
      <c r="H6" s="14"/>
      <c r="I6" s="13" t="n">
        <f aca="false">[1]Numbers!I23/1000</f>
        <v>30.8267198593938</v>
      </c>
      <c r="J6" s="14"/>
      <c r="K6" s="13" t="n">
        <f aca="false">[1]Numbers!K23/1000</f>
        <v>276.495009979438</v>
      </c>
      <c r="L6" s="14"/>
      <c r="M6" s="13" t="n">
        <f aca="false">[1]Numbers!M23/1000</f>
        <v>984.524716257991</v>
      </c>
      <c r="N6" s="14"/>
      <c r="O6" s="15" t="n">
        <f aca="false">[1]Numbers!O23/1000</f>
        <v>2279.72529707782</v>
      </c>
    </row>
    <row r="7" customFormat="false" ht="13.8" hidden="false" customHeight="false" outlineLevel="0" collapsed="false">
      <c r="A7" s="16"/>
      <c r="B7" s="17" t="s">
        <v>10</v>
      </c>
      <c r="C7" s="18"/>
      <c r="D7" s="19"/>
      <c r="E7" s="20"/>
      <c r="F7" s="19"/>
      <c r="G7" s="20"/>
      <c r="H7" s="19"/>
      <c r="I7" s="21" t="n">
        <f aca="false">(I6-G6)/G6</f>
        <v>48.0041185673964</v>
      </c>
      <c r="J7" s="19"/>
      <c r="K7" s="21" t="n">
        <f aca="false">(K6-I6)/I6</f>
        <v>7.96932956995042</v>
      </c>
      <c r="L7" s="19"/>
      <c r="M7" s="21" t="n">
        <f aca="false">(M6-K6)/K6</f>
        <v>2.56073231242476</v>
      </c>
      <c r="N7" s="19"/>
      <c r="O7" s="22" t="n">
        <f aca="false">(O6-M6)/M6</f>
        <v>1.31555923323354</v>
      </c>
    </row>
    <row r="8" customFormat="false" ht="7.5" hidden="false" customHeight="true" outlineLevel="0" collapsed="false">
      <c r="A8" s="16"/>
      <c r="B8" s="19"/>
      <c r="C8" s="23"/>
      <c r="D8" s="19"/>
      <c r="E8" s="20"/>
      <c r="F8" s="19"/>
      <c r="G8" s="20"/>
      <c r="H8" s="19"/>
      <c r="I8" s="20"/>
      <c r="J8" s="19"/>
      <c r="K8" s="20"/>
      <c r="L8" s="19"/>
      <c r="M8" s="20"/>
      <c r="N8" s="19"/>
      <c r="O8" s="24"/>
    </row>
    <row r="9" customFormat="false" ht="15.6" hidden="false" customHeight="false" outlineLevel="0" collapsed="false">
      <c r="A9" s="16"/>
      <c r="B9" s="25" t="s">
        <v>11</v>
      </c>
      <c r="C9" s="26"/>
      <c r="D9" s="19"/>
      <c r="E9" s="20"/>
      <c r="F9" s="19"/>
      <c r="G9" s="27" t="n">
        <f aca="false">[1]Numbers!H44</f>
        <v>0.344789789591499</v>
      </c>
      <c r="H9" s="19"/>
      <c r="I9" s="27" t="n">
        <f aca="false">[1]Numbers!J44</f>
        <v>0.470428620672667</v>
      </c>
      <c r="J9" s="19"/>
      <c r="K9" s="27" t="n">
        <f aca="false">[1]Numbers!L44</f>
        <v>0.619810134379226</v>
      </c>
      <c r="L9" s="19"/>
      <c r="M9" s="27" t="n">
        <f aca="false">[1]Numbers!N44</f>
        <v>0.632909091822305</v>
      </c>
      <c r="N9" s="19"/>
      <c r="O9" s="28" t="n">
        <f aca="false">[1]Numbers!P44</f>
        <v>0.62892201297792</v>
      </c>
    </row>
    <row r="10" customFormat="false" ht="6.75" hidden="false" customHeight="true" outlineLevel="0" collapsed="false">
      <c r="A10" s="16"/>
      <c r="B10" s="19"/>
      <c r="C10" s="23"/>
      <c r="D10" s="19"/>
      <c r="E10" s="20"/>
      <c r="F10" s="19"/>
      <c r="G10" s="20"/>
      <c r="H10" s="19"/>
      <c r="I10" s="20"/>
      <c r="J10" s="19"/>
      <c r="K10" s="20"/>
      <c r="L10" s="19"/>
      <c r="M10" s="20"/>
      <c r="N10" s="19"/>
      <c r="O10" s="24"/>
    </row>
    <row r="11" customFormat="false" ht="15.6" hidden="false" customHeight="false" outlineLevel="0" collapsed="false">
      <c r="A11" s="29" t="s">
        <v>12</v>
      </c>
      <c r="B11" s="30"/>
      <c r="C11" s="31"/>
      <c r="D11" s="30"/>
      <c r="E11" s="32" t="n">
        <f aca="false">[1]Numbers!E59/1000</f>
        <v>-0.72348496</v>
      </c>
      <c r="F11" s="30"/>
      <c r="G11" s="32" t="n">
        <f aca="false">[1]Numbers!G59/1000</f>
        <v>-5.56896477951613</v>
      </c>
      <c r="H11" s="30"/>
      <c r="I11" s="32" t="n">
        <f aca="false">[1]Numbers!I59/1000</f>
        <v>2.97434249858703</v>
      </c>
      <c r="J11" s="30"/>
      <c r="K11" s="32" t="n">
        <f aca="false">[1]Numbers!K59/1000</f>
        <v>147.724494749755</v>
      </c>
      <c r="L11" s="30"/>
      <c r="M11" s="32" t="n">
        <f aca="false">[1]Numbers!M59/1000</f>
        <v>569.085054518325</v>
      </c>
      <c r="N11" s="30"/>
      <c r="O11" s="33" t="n">
        <f aca="false">[1]Numbers!O59/1000</f>
        <v>1322.22680914261</v>
      </c>
    </row>
    <row r="12" customFormat="false" ht="15.6" hidden="false" customHeight="false" outlineLevel="0" collapsed="false">
      <c r="A12" s="16"/>
      <c r="B12" s="17" t="s">
        <v>13</v>
      </c>
      <c r="C12" s="26"/>
      <c r="D12" s="19"/>
      <c r="E12" s="34" t="s">
        <v>14</v>
      </c>
      <c r="F12" s="35"/>
      <c r="G12" s="21" t="n">
        <f aca="false">[1]Numbers!H53</f>
        <v>0.0932822520857246</v>
      </c>
      <c r="H12" s="35"/>
      <c r="I12" s="21" t="n">
        <f aca="false">[1]Numbers!J53</f>
        <v>0.0273923619028623</v>
      </c>
      <c r="J12" s="35"/>
      <c r="K12" s="21" t="n">
        <f aca="false">[1]Numbers!L53</f>
        <v>0.000372520285294334</v>
      </c>
      <c r="L12" s="35"/>
      <c r="M12" s="21" t="n">
        <f aca="false">[1]Numbers!N53</f>
        <v>0.000104619008846711</v>
      </c>
      <c r="N12" s="35"/>
      <c r="O12" s="22" t="n">
        <f aca="false">[1]Numbers!P53</f>
        <v>4.51808821580506E-005</v>
      </c>
    </row>
    <row r="13" customFormat="false" ht="6" hidden="false" customHeight="true" outlineLevel="0" collapsed="false">
      <c r="A13" s="16"/>
      <c r="B13" s="19"/>
      <c r="C13" s="23"/>
      <c r="D13" s="19"/>
      <c r="E13" s="20"/>
      <c r="F13" s="19"/>
      <c r="G13" s="20"/>
      <c r="H13" s="19"/>
      <c r="I13" s="20"/>
      <c r="J13" s="19"/>
      <c r="K13" s="20"/>
      <c r="L13" s="19"/>
      <c r="M13" s="20"/>
      <c r="N13" s="19"/>
      <c r="O13" s="24"/>
    </row>
    <row r="14" customFormat="false" ht="15.6" hidden="false" customHeight="false" outlineLevel="0" collapsed="false">
      <c r="A14" s="29" t="s">
        <v>15</v>
      </c>
      <c r="B14" s="30"/>
      <c r="C14" s="31"/>
      <c r="D14" s="30"/>
      <c r="E14" s="32" t="n">
        <f aca="false">E15*E19</f>
        <v>0</v>
      </c>
      <c r="F14" s="30"/>
      <c r="G14" s="32" t="n">
        <f aca="false">G15*G19</f>
        <v>-5.81234899792115</v>
      </c>
      <c r="H14" s="30"/>
      <c r="I14" s="32" t="n">
        <f aca="false">I15*I19</f>
        <v>-2.02874619279362</v>
      </c>
      <c r="J14" s="30"/>
      <c r="K14" s="32" t="n">
        <f aca="false">K15*K19</f>
        <v>74.8330321434087</v>
      </c>
      <c r="L14" s="30"/>
      <c r="M14" s="32" t="n">
        <f aca="false">M15*M19</f>
        <v>297.550246909476</v>
      </c>
      <c r="N14" s="30"/>
      <c r="O14" s="33" t="n">
        <f aca="false">O15*O19</f>
        <v>705.602032454108</v>
      </c>
    </row>
    <row r="15" customFormat="false" ht="13.8" hidden="false" customHeight="false" outlineLevel="0" collapsed="false">
      <c r="A15" s="16"/>
      <c r="B15" s="17" t="s">
        <v>16</v>
      </c>
      <c r="C15" s="36"/>
      <c r="D15" s="35"/>
      <c r="E15" s="37" t="n">
        <f aca="false">[1]Numbers!E65/1000/E19</f>
        <v>0</v>
      </c>
      <c r="F15" s="35"/>
      <c r="G15" s="37" t="n">
        <f aca="false">[1]Numbers!G67/1000/G19</f>
        <v>-0.118857871390318</v>
      </c>
      <c r="H15" s="35"/>
      <c r="I15" s="37" t="n">
        <f aca="false">[1]Numbers!I67/1000/I19</f>
        <v>-0.0320017167890923</v>
      </c>
      <c r="J15" s="35"/>
      <c r="K15" s="37" t="n">
        <f aca="false">[1]Numbers!K67/1000/K19</f>
        <v>0.947651304922834</v>
      </c>
      <c r="L15" s="35"/>
      <c r="M15" s="37" t="n">
        <f aca="false">[1]Numbers!M67/1000/M19</f>
        <v>3.62058321637194</v>
      </c>
      <c r="N15" s="35"/>
      <c r="O15" s="38" t="n">
        <f aca="false">[1]Numbers!O67/1000/O19</f>
        <v>8.50769387666161</v>
      </c>
    </row>
    <row r="16" customFormat="false" ht="13.8" hidden="false" customHeight="false" outlineLevel="0" collapsed="false">
      <c r="A16" s="16"/>
      <c r="B16" s="17" t="s">
        <v>17</v>
      </c>
      <c r="C16" s="18"/>
      <c r="D16" s="19"/>
      <c r="E16" s="20"/>
      <c r="F16" s="19"/>
      <c r="G16" s="21"/>
      <c r="H16" s="19"/>
      <c r="I16" s="21"/>
      <c r="J16" s="19"/>
      <c r="K16" s="21" t="n">
        <f aca="false">(K15-I15)/I15</f>
        <v>-30.6125145775254</v>
      </c>
      <c r="L16" s="19"/>
      <c r="M16" s="21" t="n">
        <f aca="false">(M15-K15)/K15</f>
        <v>2.8205859028145</v>
      </c>
      <c r="N16" s="19"/>
      <c r="O16" s="22" t="n">
        <f aca="false">(O15-M15)/M15</f>
        <v>1.34981310143366</v>
      </c>
    </row>
    <row r="17" customFormat="false" ht="15.6" hidden="false" customHeight="false" outlineLevel="0" collapsed="false">
      <c r="A17" s="11"/>
      <c r="B17" s="17" t="s">
        <v>18</v>
      </c>
      <c r="C17" s="18"/>
      <c r="D17" s="3"/>
      <c r="E17" s="39" t="n">
        <f aca="false">[1]Numbers!E118</f>
        <v>40.52</v>
      </c>
      <c r="F17" s="35"/>
      <c r="G17" s="39" t="n">
        <f aca="false">[1]Numbers!G118</f>
        <v>46.551675</v>
      </c>
      <c r="H17" s="35"/>
      <c r="I17" s="39" t="n">
        <f aca="false">[1]Numbers!I118</f>
        <v>59.2475863636364</v>
      </c>
      <c r="J17" s="35"/>
      <c r="K17" s="39" t="n">
        <f aca="false">[1]Numbers!K118</f>
        <v>73.117447543506</v>
      </c>
      <c r="L17" s="35"/>
      <c r="M17" s="39" t="n">
        <f aca="false">[1]Numbers!M118</f>
        <v>75.3972113288829</v>
      </c>
      <c r="N17" s="35"/>
      <c r="O17" s="40" t="n">
        <f aca="false">[1]Numbers!O118</f>
        <v>75.3972113288829</v>
      </c>
    </row>
    <row r="18" customFormat="false" ht="15.6" hidden="false" customHeight="false" outlineLevel="0" collapsed="false">
      <c r="A18" s="11"/>
      <c r="B18" s="17"/>
      <c r="C18" s="18"/>
      <c r="D18" s="3"/>
      <c r="E18" s="21" t="n">
        <f aca="false">E17/E19</f>
        <v>0.956449899681341</v>
      </c>
      <c r="F18" s="35"/>
      <c r="G18" s="21" t="n">
        <f aca="false">G17/G19</f>
        <v>0.951944386363044</v>
      </c>
      <c r="H18" s="35"/>
      <c r="I18" s="21" t="n">
        <f aca="false">I17/I19</f>
        <v>0.934579439252336</v>
      </c>
      <c r="J18" s="35"/>
      <c r="K18" s="21" t="n">
        <f aca="false">K17/K19</f>
        <v>0.925925925925926</v>
      </c>
      <c r="L18" s="35"/>
      <c r="M18" s="21" t="n">
        <f aca="false">M17/M19</f>
        <v>0.91743119266055</v>
      </c>
      <c r="N18" s="35"/>
      <c r="O18" s="22" t="n">
        <f aca="false">O17/O19</f>
        <v>0.909090909090909</v>
      </c>
    </row>
    <row r="19" customFormat="false" ht="15.6" hidden="false" customHeight="false" outlineLevel="0" collapsed="false">
      <c r="A19" s="11"/>
      <c r="B19" s="17" t="s">
        <v>19</v>
      </c>
      <c r="C19" s="18"/>
      <c r="D19" s="3"/>
      <c r="E19" s="39" t="n">
        <f aca="false">[1]Numbers!E120</f>
        <v>42.365</v>
      </c>
      <c r="F19" s="35"/>
      <c r="G19" s="39" t="n">
        <f aca="false">[1]Numbers!G120</f>
        <v>48.901675</v>
      </c>
      <c r="H19" s="35"/>
      <c r="I19" s="39" t="n">
        <f aca="false">[1]Numbers!I120</f>
        <v>63.3949174090909</v>
      </c>
      <c r="J19" s="35"/>
      <c r="K19" s="39" t="n">
        <f aca="false">[1]Numbers!K120</f>
        <v>78.9668433469865</v>
      </c>
      <c r="L19" s="35"/>
      <c r="M19" s="39" t="n">
        <f aca="false">[1]Numbers!M120</f>
        <v>82.1829603484823</v>
      </c>
      <c r="N19" s="35"/>
      <c r="O19" s="40" t="n">
        <f aca="false">[1]Numbers!O120</f>
        <v>82.9369324617712</v>
      </c>
    </row>
    <row r="20" customFormat="false" ht="8.25" hidden="false" customHeight="true" outlineLevel="0" collapsed="false">
      <c r="A20" s="41"/>
      <c r="B20" s="42"/>
      <c r="C20" s="43"/>
      <c r="D20" s="42"/>
      <c r="E20" s="44"/>
      <c r="F20" s="42"/>
      <c r="G20" s="44"/>
      <c r="H20" s="42"/>
      <c r="I20" s="44"/>
      <c r="J20" s="42"/>
      <c r="K20" s="44"/>
      <c r="L20" s="42"/>
      <c r="M20" s="44"/>
      <c r="N20" s="42"/>
      <c r="O20" s="45"/>
    </row>
    <row r="21" customFormat="false" ht="11.25" hidden="false" customHeight="true" outlineLevel="0" collapsed="false"/>
    <row r="22" customFormat="false" ht="18" hidden="false" customHeight="false" outlineLevel="0" collapsed="false">
      <c r="A22" s="8" t="s">
        <v>20</v>
      </c>
      <c r="B22" s="9"/>
      <c r="C22" s="9"/>
      <c r="D22" s="9"/>
      <c r="E22" s="9"/>
      <c r="F22" s="9"/>
      <c r="G22" s="9"/>
      <c r="H22" s="9"/>
      <c r="I22" s="9"/>
      <c r="J22" s="9"/>
      <c r="K22" s="9"/>
      <c r="L22" s="9"/>
      <c r="M22" s="9"/>
      <c r="N22" s="9"/>
      <c r="O22" s="10"/>
    </row>
    <row r="23" customFormat="false" ht="15.6" hidden="false" customHeight="false" outlineLevel="0" collapsed="false">
      <c r="A23" s="46"/>
      <c r="B23" s="4" t="s">
        <v>21</v>
      </c>
      <c r="C23" s="47"/>
      <c r="D23" s="48"/>
      <c r="E23" s="49"/>
      <c r="F23" s="50"/>
      <c r="G23" s="51" t="n">
        <f aca="false">[1]Numbers!$G$110</f>
        <v>2.41025543</v>
      </c>
      <c r="H23" s="50"/>
      <c r="I23" s="51" t="n">
        <f aca="false">[1]Numbers!$I$110</f>
        <v>64.5791819415</v>
      </c>
      <c r="J23" s="50"/>
      <c r="K23" s="51" t="n">
        <f aca="false">[1]Numbers!$K$110</f>
        <v>511.292545062278</v>
      </c>
      <c r="L23" s="50"/>
      <c r="M23" s="51" t="n">
        <f aca="false">[1]Numbers!$M$110</f>
        <v>1524.34562203834</v>
      </c>
      <c r="N23" s="50"/>
      <c r="O23" s="52" t="n">
        <f aca="false">[1]Numbers!$O$110</f>
        <v>3397.34269180171</v>
      </c>
    </row>
    <row r="24" customFormat="false" ht="15.6" hidden="false" customHeight="false" outlineLevel="0" collapsed="false">
      <c r="A24" s="46"/>
      <c r="B24" s="4" t="s">
        <v>22</v>
      </c>
      <c r="C24" s="53" t="n">
        <f aca="false">CTA!N35</f>
        <v>0</v>
      </c>
      <c r="D24" s="4"/>
      <c r="E24" s="54"/>
      <c r="F24" s="55"/>
      <c r="G24" s="56" t="n">
        <f aca="false">[1]Numbers!$G$113</f>
        <v>-6.9074694152385</v>
      </c>
      <c r="H24" s="55"/>
      <c r="I24" s="56" t="n">
        <f aca="false">[1]Numbers!$I$113</f>
        <v>17.5016734873254</v>
      </c>
      <c r="J24" s="55"/>
      <c r="K24" s="56" t="n">
        <f aca="false">[1]Numbers!$K$113</f>
        <v>289.720531183549</v>
      </c>
      <c r="L24" s="55"/>
      <c r="M24" s="56" t="n">
        <f aca="false">[1]Numbers!$M$113</f>
        <v>911.425774664459</v>
      </c>
      <c r="N24" s="55"/>
      <c r="O24" s="57" t="n">
        <f aca="false">[1]Numbers!$O$113</f>
        <v>2036.01782292757</v>
      </c>
    </row>
    <row r="25" customFormat="false" ht="6" hidden="false" customHeight="true" outlineLevel="0" collapsed="false">
      <c r="A25" s="46"/>
      <c r="B25" s="4"/>
      <c r="C25" s="58"/>
      <c r="D25" s="4"/>
      <c r="E25" s="54"/>
      <c r="F25" s="55"/>
      <c r="G25" s="54"/>
      <c r="H25" s="55"/>
      <c r="I25" s="54"/>
      <c r="J25" s="55"/>
      <c r="K25" s="54"/>
      <c r="L25" s="55"/>
      <c r="M25" s="54"/>
      <c r="N25" s="55"/>
      <c r="O25" s="59"/>
    </row>
    <row r="26" customFormat="false" ht="15.6" hidden="false" customHeight="false" outlineLevel="0" collapsed="false">
      <c r="A26" s="60"/>
      <c r="B26" s="61" t="s">
        <v>23</v>
      </c>
      <c r="C26" s="62" t="n">
        <f aca="false">CTA!N36</f>
        <v>13.5452554437243</v>
      </c>
      <c r="D26" s="61"/>
      <c r="E26" s="63"/>
      <c r="F26" s="64"/>
      <c r="G26" s="65" t="n">
        <f aca="false">$C26*G6</f>
        <v>8.52083064025206</v>
      </c>
      <c r="H26" s="64"/>
      <c r="I26" s="65" t="n">
        <f aca="false">$C26*I6</f>
        <v>417.555794987616</v>
      </c>
      <c r="J26" s="64"/>
      <c r="K26" s="65" t="n">
        <f aca="false">$C26*K6</f>
        <v>3745.19553908658</v>
      </c>
      <c r="L26" s="64"/>
      <c r="M26" s="65" t="n">
        <f aca="false">$C26*M6</f>
        <v>13335.6387723746</v>
      </c>
      <c r="N26" s="64"/>
      <c r="O26" s="66" t="n">
        <f aca="false">$C26*O6</f>
        <v>30879.4614904393</v>
      </c>
    </row>
    <row r="27" customFormat="false" ht="6" hidden="false" customHeight="true" outlineLevel="0" collapsed="false">
      <c r="A27" s="46"/>
      <c r="B27" s="4"/>
      <c r="C27" s="58"/>
      <c r="D27" s="4"/>
      <c r="E27" s="54"/>
      <c r="F27" s="55"/>
      <c r="G27" s="54"/>
      <c r="H27" s="55"/>
      <c r="I27" s="54"/>
      <c r="J27" s="55"/>
      <c r="K27" s="54"/>
      <c r="L27" s="55"/>
      <c r="M27" s="54"/>
      <c r="N27" s="55"/>
      <c r="O27" s="59"/>
    </row>
    <row r="28" customFormat="false" ht="15.6" hidden="false" customHeight="false" outlineLevel="0" collapsed="false">
      <c r="A28" s="46"/>
      <c r="B28" s="4" t="s">
        <v>24</v>
      </c>
      <c r="C28" s="53" t="n">
        <f aca="false">CTA!P36</f>
        <v>21.741815628583</v>
      </c>
      <c r="D28" s="4"/>
      <c r="E28" s="54"/>
      <c r="F28" s="55"/>
      <c r="G28" s="56"/>
      <c r="H28" s="55"/>
      <c r="I28" s="56" t="n">
        <f aca="false">$C28*I11</f>
        <v>64.6676062205382</v>
      </c>
      <c r="J28" s="55"/>
      <c r="K28" s="56" t="n">
        <f aca="false">$C28*K11</f>
        <v>3211.79872867477</v>
      </c>
      <c r="L28" s="55"/>
      <c r="M28" s="56" t="n">
        <f aca="false">$C28*M11</f>
        <v>12372.9423323196</v>
      </c>
      <c r="N28" s="55"/>
      <c r="O28" s="57" t="n">
        <f aca="false">$C28*O11</f>
        <v>28747.6115035483</v>
      </c>
    </row>
    <row r="29" customFormat="false" ht="6" hidden="false" customHeight="true" outlineLevel="0" collapsed="false">
      <c r="A29" s="46"/>
      <c r="B29" s="4"/>
      <c r="C29" s="58"/>
      <c r="D29" s="4"/>
      <c r="E29" s="54"/>
      <c r="F29" s="55"/>
      <c r="G29" s="54"/>
      <c r="H29" s="55"/>
      <c r="I29" s="54"/>
      <c r="J29" s="55"/>
      <c r="K29" s="54"/>
      <c r="L29" s="55"/>
      <c r="M29" s="54"/>
      <c r="N29" s="55"/>
      <c r="O29" s="59"/>
    </row>
    <row r="30" customFormat="false" ht="15.6" hidden="false" customHeight="false" outlineLevel="0" collapsed="false">
      <c r="A30" s="60"/>
      <c r="B30" s="61" t="s">
        <v>25</v>
      </c>
      <c r="C30" s="62" t="n">
        <f aca="false">CPA!Q29</f>
        <v>0</v>
      </c>
      <c r="D30" s="61"/>
      <c r="E30" s="63"/>
      <c r="F30" s="64"/>
      <c r="G30" s="65" t="n">
        <f aca="false">$C30*G6</f>
        <v>0</v>
      </c>
      <c r="H30" s="64"/>
      <c r="I30" s="65" t="n">
        <f aca="false">$C30*I6</f>
        <v>0</v>
      </c>
      <c r="J30" s="64"/>
      <c r="K30" s="65" t="n">
        <f aca="false">$C30*K6</f>
        <v>0</v>
      </c>
      <c r="L30" s="64"/>
      <c r="M30" s="65" t="n">
        <f aca="false">$C30*M6</f>
        <v>0</v>
      </c>
      <c r="N30" s="64"/>
      <c r="O30" s="66" t="n">
        <f aca="false">$C30*O6</f>
        <v>0</v>
      </c>
    </row>
    <row r="31" customFormat="false" ht="6" hidden="false" customHeight="true" outlineLevel="0" collapsed="false">
      <c r="A31" s="46"/>
      <c r="B31" s="4"/>
      <c r="C31" s="58"/>
      <c r="D31" s="4"/>
      <c r="E31" s="54"/>
      <c r="F31" s="55"/>
      <c r="G31" s="54"/>
      <c r="H31" s="55"/>
      <c r="I31" s="54"/>
      <c r="J31" s="55"/>
      <c r="K31" s="54"/>
      <c r="L31" s="55"/>
      <c r="M31" s="54"/>
      <c r="N31" s="55"/>
      <c r="O31" s="59"/>
    </row>
    <row r="32" customFormat="false" ht="15.6" hidden="false" customHeight="false" outlineLevel="0" collapsed="false">
      <c r="A32" s="46"/>
      <c r="B32" s="4" t="s">
        <v>26</v>
      </c>
      <c r="C32" s="53" t="n">
        <f aca="false">CPA!T29</f>
        <v>28.1532940207965</v>
      </c>
      <c r="D32" s="4"/>
      <c r="E32" s="54"/>
      <c r="F32" s="55"/>
      <c r="G32" s="56" t="n">
        <f aca="false">IF(G11&gt;0,$C32*G11,0)</f>
        <v>0</v>
      </c>
      <c r="H32" s="55"/>
      <c r="I32" s="56" t="n">
        <f aca="false">$C32*I11</f>
        <v>83.7375388812712</v>
      </c>
      <c r="J32" s="55"/>
      <c r="K32" s="56" t="n">
        <f aca="false">$C32*K11</f>
        <v>4158.93113476348</v>
      </c>
      <c r="L32" s="55"/>
      <c r="M32" s="56" t="n">
        <f aca="false">$C32*M11</f>
        <v>16021.6188626954</v>
      </c>
      <c r="N32" s="55"/>
      <c r="O32" s="57" t="n">
        <f aca="false">$C32*O11</f>
        <v>37225.0401199716</v>
      </c>
    </row>
    <row r="33" customFormat="false" ht="6" hidden="false" customHeight="true" outlineLevel="0" collapsed="false">
      <c r="A33" s="46"/>
      <c r="B33" s="4"/>
      <c r="C33" s="58"/>
      <c r="D33" s="4"/>
      <c r="E33" s="54"/>
      <c r="F33" s="55"/>
      <c r="G33" s="54"/>
      <c r="H33" s="55"/>
      <c r="I33" s="54"/>
      <c r="J33" s="55"/>
      <c r="K33" s="54"/>
      <c r="L33" s="55"/>
      <c r="M33" s="54"/>
      <c r="N33" s="55"/>
      <c r="O33" s="59"/>
    </row>
    <row r="34" customFormat="false" ht="15.6" hidden="false" customHeight="false" outlineLevel="0" collapsed="false">
      <c r="A34" s="46"/>
      <c r="B34" s="4" t="s">
        <v>27</v>
      </c>
      <c r="C34" s="53" t="n">
        <f aca="false">CPA!M29</f>
        <v>0</v>
      </c>
      <c r="D34" s="4"/>
      <c r="E34" s="54"/>
      <c r="F34" s="55"/>
      <c r="G34" s="56" t="n">
        <f aca="false">IF(G13&gt;0,$C34*G13,0)</f>
        <v>0</v>
      </c>
      <c r="H34" s="55"/>
      <c r="I34" s="56" t="n">
        <f aca="false">$C34*I14</f>
        <v>-0</v>
      </c>
      <c r="J34" s="55"/>
      <c r="K34" s="56" t="n">
        <f aca="false">$C34*K14</f>
        <v>0</v>
      </c>
      <c r="L34" s="55"/>
      <c r="M34" s="56" t="n">
        <f aca="false">$C34*M14</f>
        <v>0</v>
      </c>
      <c r="N34" s="55"/>
      <c r="O34" s="57" t="n">
        <f aca="false">$C34*O14</f>
        <v>0</v>
      </c>
    </row>
    <row r="35" customFormat="false" ht="6.75" hidden="false" customHeight="true" outlineLevel="0" collapsed="false">
      <c r="A35" s="46"/>
      <c r="B35" s="4"/>
      <c r="C35" s="58"/>
      <c r="D35" s="4"/>
      <c r="E35" s="54"/>
      <c r="F35" s="55"/>
      <c r="G35" s="54"/>
      <c r="H35" s="55"/>
      <c r="I35" s="54"/>
      <c r="J35" s="55"/>
      <c r="K35" s="54"/>
      <c r="L35" s="55"/>
      <c r="M35" s="54"/>
      <c r="N35" s="55"/>
      <c r="O35" s="59"/>
    </row>
    <row r="36" customFormat="false" ht="15.6" hidden="false" customHeight="false" outlineLevel="0" collapsed="false">
      <c r="A36" s="60"/>
      <c r="B36" s="61" t="s">
        <v>28</v>
      </c>
      <c r="C36" s="67"/>
      <c r="D36" s="61"/>
      <c r="E36" s="65" t="n">
        <f aca="false">DCF!F44</f>
        <v>2175.72227282189</v>
      </c>
      <c r="F36" s="64"/>
      <c r="G36" s="65" t="n">
        <f aca="false">DCF!H44</f>
        <v>2604.68775216727</v>
      </c>
      <c r="H36" s="64"/>
      <c r="I36" s="65" t="n">
        <f aca="false">DCF!J44</f>
        <v>3098.62638518112</v>
      </c>
      <c r="J36" s="64"/>
      <c r="K36" s="65" t="n">
        <f aca="false">DCF!L44</f>
        <v>3595.78490329446</v>
      </c>
      <c r="L36" s="64"/>
      <c r="M36" s="65" t="n">
        <f aca="false">DCF!N44</f>
        <v>3266.84788124541</v>
      </c>
      <c r="N36" s="64"/>
      <c r="O36" s="66"/>
    </row>
    <row r="37" customFormat="false" ht="6.75" hidden="false" customHeight="true" outlineLevel="0" collapsed="false">
      <c r="A37" s="46"/>
      <c r="B37" s="4"/>
      <c r="C37" s="58"/>
      <c r="D37" s="4"/>
      <c r="E37" s="54"/>
      <c r="F37" s="55"/>
      <c r="G37" s="54"/>
      <c r="H37" s="55"/>
      <c r="I37" s="54"/>
      <c r="J37" s="55"/>
      <c r="K37" s="54"/>
      <c r="L37" s="55"/>
      <c r="M37" s="54"/>
      <c r="N37" s="55"/>
      <c r="O37" s="59"/>
    </row>
    <row r="38" customFormat="false" ht="15.6" hidden="false" customHeight="false" outlineLevel="0" collapsed="false">
      <c r="A38" s="46"/>
      <c r="B38" s="4" t="s">
        <v>29</v>
      </c>
      <c r="C38" s="58"/>
      <c r="D38" s="4"/>
      <c r="E38" s="56" t="n">
        <f aca="false">DCF!F48</f>
        <v>1403.11756924277</v>
      </c>
      <c r="F38" s="55"/>
      <c r="G38" s="56" t="n">
        <f aca="false">DCF!H48</f>
        <v>1817.8738647966</v>
      </c>
      <c r="H38" s="55"/>
      <c r="I38" s="56" t="n">
        <f aca="false">DCF!J48</f>
        <v>2336.23710681598</v>
      </c>
      <c r="J38" s="55"/>
      <c r="K38" s="56" t="n">
        <f aca="false">DCF!L48</f>
        <v>2914.54147993789</v>
      </c>
      <c r="L38" s="55"/>
      <c r="M38" s="56" t="n">
        <f aca="false">DCF!N48</f>
        <v>2610.90730573877</v>
      </c>
      <c r="N38" s="55"/>
      <c r="O38" s="57"/>
    </row>
    <row r="39" customFormat="false" ht="7.5" hidden="false" customHeight="true" outlineLevel="0" collapsed="false">
      <c r="A39" s="68"/>
      <c r="B39" s="69"/>
      <c r="C39" s="70"/>
      <c r="D39" s="69"/>
      <c r="E39" s="71"/>
      <c r="F39" s="69"/>
      <c r="G39" s="71"/>
      <c r="H39" s="69"/>
      <c r="I39" s="71"/>
      <c r="J39" s="69"/>
      <c r="K39" s="71"/>
      <c r="L39" s="69"/>
      <c r="M39" s="71"/>
      <c r="N39" s="69"/>
      <c r="O39" s="72"/>
    </row>
    <row r="40" customFormat="false" ht="15.6" hidden="false" customHeight="false" outlineLevel="0" collapsed="false">
      <c r="A40" s="60"/>
      <c r="B40" s="61" t="s">
        <v>30</v>
      </c>
      <c r="C40" s="67"/>
      <c r="D40" s="61"/>
      <c r="E40" s="65" t="n">
        <f aca="false">AVERAGE(E26:E38)</f>
        <v>1789.41992103233</v>
      </c>
      <c r="F40" s="61"/>
      <c r="G40" s="65" t="n">
        <f aca="false">AVERAGE(G26:G38)</f>
        <v>738.513741267353</v>
      </c>
      <c r="H40" s="61"/>
      <c r="I40" s="65" t="n">
        <f aca="false">AVERAGE(I26:I38)</f>
        <v>857.260633155218</v>
      </c>
      <c r="J40" s="61"/>
      <c r="K40" s="65" t="n">
        <f aca="false">AVERAGE(K26:K38)</f>
        <v>2518.03596939388</v>
      </c>
      <c r="L40" s="61"/>
      <c r="M40" s="65" t="n">
        <f aca="false">AVERAGE(M26:M38)</f>
        <v>6801.13645062483</v>
      </c>
      <c r="N40" s="61"/>
      <c r="O40" s="66" t="n">
        <f aca="false">AVERAGE(O26:O38)</f>
        <v>19370.4226227918</v>
      </c>
    </row>
    <row r="41" customFormat="false" ht="15.6" hidden="false" customHeight="false" outlineLevel="0" collapsed="false">
      <c r="A41" s="46"/>
      <c r="B41" s="4" t="s">
        <v>31</v>
      </c>
      <c r="C41" s="58"/>
      <c r="D41" s="4"/>
      <c r="E41" s="56" t="n">
        <f aca="false">MEDIAN(E26:E38)</f>
        <v>1789.41992103233</v>
      </c>
      <c r="F41" s="4"/>
      <c r="G41" s="56" t="n">
        <f aca="false">MEDIAN(G26:G38)</f>
        <v>4.26041532012603</v>
      </c>
      <c r="H41" s="4"/>
      <c r="I41" s="56" t="n">
        <f aca="false">MEDIAN(I26:I38)</f>
        <v>83.7375388812712</v>
      </c>
      <c r="J41" s="4"/>
      <c r="K41" s="56" t="n">
        <f aca="false">MEDIAN(K26:K38)</f>
        <v>3211.79872867477</v>
      </c>
      <c r="L41" s="4"/>
      <c r="M41" s="56" t="n">
        <f aca="false">MEDIAN(M26:M38)</f>
        <v>3266.84788124541</v>
      </c>
      <c r="N41" s="4"/>
      <c r="O41" s="57" t="n">
        <f aca="false">MEDIAN(O26:O38)</f>
        <v>28747.6115035483</v>
      </c>
    </row>
    <row r="42" customFormat="false" ht="7.5" hidden="false" customHeight="true" outlineLevel="0" collapsed="false">
      <c r="A42" s="60"/>
      <c r="B42" s="61"/>
      <c r="C42" s="67"/>
      <c r="D42" s="61"/>
      <c r="E42" s="73"/>
      <c r="F42" s="61"/>
      <c r="G42" s="73"/>
      <c r="H42" s="61"/>
      <c r="I42" s="73"/>
      <c r="J42" s="61"/>
      <c r="K42" s="73"/>
      <c r="L42" s="61"/>
      <c r="M42" s="73"/>
      <c r="N42" s="61"/>
      <c r="O42" s="74"/>
    </row>
    <row r="43" customFormat="false" ht="15.6" hidden="false" customHeight="false" outlineLevel="0" collapsed="false">
      <c r="A43" s="75" t="s">
        <v>32</v>
      </c>
      <c r="B43" s="76"/>
      <c r="C43" s="12"/>
      <c r="D43" s="48"/>
      <c r="E43" s="77" t="n">
        <f aca="false">0.8333*E19</f>
        <v>35.3027545</v>
      </c>
      <c r="F43" s="76"/>
      <c r="G43" s="77" t="n">
        <f aca="false">[1]Summary!$D$53</f>
        <v>110</v>
      </c>
      <c r="H43" s="76"/>
      <c r="I43" s="77" t="n">
        <f aca="false">[1]Summary!$E$53</f>
        <v>427.16783964375</v>
      </c>
      <c r="J43" s="76"/>
      <c r="K43" s="77" t="n">
        <f aca="false">[1]Summary!$F$53</f>
        <v>3067.75527037367</v>
      </c>
      <c r="L43" s="76"/>
      <c r="M43" s="77" t="n">
        <f aca="false">[1]Summary!$G$53</f>
        <v>9146.07373223003</v>
      </c>
      <c r="N43" s="76"/>
      <c r="O43" s="78" t="n">
        <f aca="false">[1]Summary!$H$53</f>
        <v>20384.0561508103</v>
      </c>
    </row>
    <row r="44" customFormat="false" ht="14.4" hidden="false" customHeight="false" outlineLevel="0" collapsed="false">
      <c r="A44" s="46"/>
      <c r="B44" s="17" t="s">
        <v>33</v>
      </c>
      <c r="C44" s="23"/>
      <c r="D44" s="19"/>
      <c r="E44" s="79" t="n">
        <f aca="false">E43/E19</f>
        <v>0.8333</v>
      </c>
      <c r="F44" s="80"/>
      <c r="G44" s="79" t="n">
        <f aca="false">G43/G19</f>
        <v>2.2494117021554</v>
      </c>
      <c r="H44" s="80"/>
      <c r="I44" s="79" t="n">
        <f aca="false">I43/I19</f>
        <v>6.73820326773537</v>
      </c>
      <c r="J44" s="80"/>
      <c r="K44" s="79" t="n">
        <f aca="false">K43/K19</f>
        <v>38.8486501466661</v>
      </c>
      <c r="L44" s="80"/>
      <c r="M44" s="79" t="n">
        <f aca="false">M43/M19</f>
        <v>111.289173491046</v>
      </c>
      <c r="N44" s="80"/>
      <c r="O44" s="81" t="n">
        <f aca="false">O43/O19</f>
        <v>245.777792182103</v>
      </c>
    </row>
    <row r="45" customFormat="false" ht="14.4" hidden="false" customHeight="false" outlineLevel="0" collapsed="false">
      <c r="A45" s="60"/>
      <c r="B45" s="82" t="s">
        <v>34</v>
      </c>
      <c r="C45" s="31"/>
      <c r="D45" s="30"/>
      <c r="E45" s="83" t="s">
        <v>14</v>
      </c>
      <c r="F45" s="84"/>
      <c r="G45" s="85" t="n">
        <f aca="false">G43/G6</f>
        <v>174.863010628456</v>
      </c>
      <c r="H45" s="84"/>
      <c r="I45" s="85" t="n">
        <f aca="false">I43/I6</f>
        <v>13.8570643127825</v>
      </c>
      <c r="J45" s="84"/>
      <c r="K45" s="85" t="n">
        <f aca="false">K43/K6</f>
        <v>11.0951560051728</v>
      </c>
      <c r="L45" s="84"/>
      <c r="M45" s="85" t="n">
        <f aca="false">M43/M6</f>
        <v>9.28983658936739</v>
      </c>
      <c r="N45" s="84"/>
      <c r="O45" s="86" t="n">
        <f aca="false">O43/O6</f>
        <v>8.94145280439656</v>
      </c>
    </row>
    <row r="46" customFormat="false" ht="14.4" hidden="false" customHeight="false" outlineLevel="0" collapsed="false">
      <c r="A46" s="46"/>
      <c r="B46" s="17" t="s">
        <v>35</v>
      </c>
      <c r="C46" s="23"/>
      <c r="D46" s="19"/>
      <c r="E46" s="87" t="s">
        <v>14</v>
      </c>
      <c r="F46" s="88"/>
      <c r="G46" s="89" t="n">
        <f aca="false">G43/G23</f>
        <v>45.6383164335408</v>
      </c>
      <c r="H46" s="88"/>
      <c r="I46" s="89" t="n">
        <f aca="false">I43/I23</f>
        <v>6.6146368969292</v>
      </c>
      <c r="J46" s="88"/>
      <c r="K46" s="89" t="n">
        <f aca="false">K43/K23</f>
        <v>6</v>
      </c>
      <c r="L46" s="88"/>
      <c r="M46" s="89" t="n">
        <f aca="false">M43/M23</f>
        <v>6</v>
      </c>
      <c r="N46" s="88"/>
      <c r="O46" s="90" t="n">
        <f aca="false">O43/O23</f>
        <v>6</v>
      </c>
    </row>
    <row r="47" customFormat="false" ht="14.4" hidden="false" customHeight="false" outlineLevel="0" collapsed="false">
      <c r="A47" s="60"/>
      <c r="B47" s="82" t="s">
        <v>36</v>
      </c>
      <c r="C47" s="31"/>
      <c r="D47" s="30"/>
      <c r="E47" s="83" t="s">
        <v>14</v>
      </c>
      <c r="F47" s="84"/>
      <c r="G47" s="83" t="s">
        <v>14</v>
      </c>
      <c r="H47" s="84"/>
      <c r="I47" s="85" t="n">
        <f aca="false">I43/I11</f>
        <v>143.617569209557</v>
      </c>
      <c r="J47" s="84"/>
      <c r="K47" s="85" t="n">
        <f aca="false">K43/K11</f>
        <v>20.766733882356</v>
      </c>
      <c r="L47" s="84"/>
      <c r="M47" s="85" t="n">
        <f aca="false">M43/M11</f>
        <v>16.0715409052014</v>
      </c>
      <c r="N47" s="84"/>
      <c r="O47" s="91" t="n">
        <f aca="false">O43/O11</f>
        <v>15.4164595740032</v>
      </c>
    </row>
    <row r="48" customFormat="false" ht="14.4" hidden="false" customHeight="false" outlineLevel="0" collapsed="false">
      <c r="A48" s="46"/>
      <c r="B48" s="17" t="s">
        <v>37</v>
      </c>
      <c r="C48" s="23"/>
      <c r="D48" s="19"/>
      <c r="E48" s="87" t="s">
        <v>14</v>
      </c>
      <c r="F48" s="88"/>
      <c r="G48" s="87" t="s">
        <v>14</v>
      </c>
      <c r="H48" s="88"/>
      <c r="I48" s="89" t="n">
        <f aca="false">I43/I24</f>
        <v>24.4072568233605</v>
      </c>
      <c r="J48" s="88"/>
      <c r="K48" s="89" t="n">
        <f aca="false">K43/K24</f>
        <v>10.5886705986678</v>
      </c>
      <c r="L48" s="88"/>
      <c r="M48" s="89" t="n">
        <f aca="false">M43/M24</f>
        <v>10.034907928292</v>
      </c>
      <c r="N48" s="88"/>
      <c r="O48" s="90" t="n">
        <f aca="false">O43/O24</f>
        <v>10.0117277566364</v>
      </c>
    </row>
    <row r="49" customFormat="false" ht="14.4" hidden="false" customHeight="false" outlineLevel="0" collapsed="false">
      <c r="A49" s="60"/>
      <c r="B49" s="82" t="s">
        <v>38</v>
      </c>
      <c r="C49" s="31"/>
      <c r="D49" s="30"/>
      <c r="E49" s="83" t="s">
        <v>14</v>
      </c>
      <c r="F49" s="84"/>
      <c r="G49" s="83" t="s">
        <v>14</v>
      </c>
      <c r="H49" s="84"/>
      <c r="I49" s="83" t="s">
        <v>14</v>
      </c>
      <c r="J49" s="84"/>
      <c r="K49" s="92" t="n">
        <f aca="false">K43/K14</f>
        <v>40.9946674951601</v>
      </c>
      <c r="L49" s="84"/>
      <c r="M49" s="92" t="n">
        <f aca="false">M43/M14</f>
        <v>30.7379134355501</v>
      </c>
      <c r="N49" s="84"/>
      <c r="O49" s="91" t="n">
        <f aca="false">O43/O14</f>
        <v>28.8888852543605</v>
      </c>
    </row>
    <row r="50" customFormat="false" ht="5.25" hidden="false" customHeight="true" outlineLevel="0" collapsed="false">
      <c r="A50" s="41"/>
      <c r="B50" s="93"/>
      <c r="C50" s="94"/>
      <c r="D50" s="42"/>
      <c r="E50" s="44"/>
      <c r="F50" s="42"/>
      <c r="G50" s="44"/>
      <c r="H50" s="42"/>
      <c r="I50" s="44"/>
      <c r="J50" s="42"/>
      <c r="K50" s="44"/>
      <c r="L50" s="42"/>
      <c r="M50" s="44"/>
      <c r="N50" s="42"/>
      <c r="O50" s="95"/>
    </row>
  </sheetData>
  <mergeCells count="1">
    <mergeCell ref="A1:O1"/>
  </mergeCells>
  <printOptions headings="false" gridLines="false" gridLinesSet="true" horizontalCentered="true" verticalCentered="false"/>
  <pageMargins left="0.5" right="0.5" top="0.65" bottom="0.75" header="0.511811023622047" footer="0.5"/>
  <pageSetup paperSize="1" scale="85" fitToWidth="1" fitToHeight="1" pageOrder="downThenOver" orientation="landscape" blackAndWhite="false" draft="false" cellComments="none" horizontalDpi="300" verticalDpi="300" copies="1"/>
  <headerFooter differentFirst="false" differentOddEven="false">
    <oddHeader/>
    <oddFooter>&amp;L&amp;"Times New Roman,Bold Italic"IdleAire Technologies Corporation Confidential&amp;R&amp;D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G16384"/>
    </sheetView>
  </sheetViews>
  <sheetFormatPr defaultColWidth="8.96484375" defaultRowHeight="13.8" customHeight="true" zeroHeight="false" outlineLevelRow="0" outlineLevelCol="0"/>
  <cols>
    <col collapsed="false" customWidth="true" hidden="false" outlineLevel="0" max="1" min="1" style="0" width="3.1"/>
    <col collapsed="false" customWidth="true" hidden="false" outlineLevel="0" max="2" min="2" style="0" width="43.1"/>
    <col collapsed="false" customWidth="true" hidden="false" outlineLevel="0" max="3" min="3" style="0" width="15.44"/>
    <col collapsed="false" customWidth="true" hidden="false" outlineLevel="0" max="4" min="4" style="0" width="9.33"/>
    <col collapsed="false" customWidth="true" hidden="false" outlineLevel="0" max="5" min="5" style="0" width="2.55"/>
    <col collapsed="false" customWidth="true" hidden="false" outlineLevel="0" max="6" min="6" style="0" width="14.33"/>
  </cols>
  <sheetData>
    <row r="2" customFormat="false" ht="22.8" hidden="false" customHeight="false" outlineLevel="0" collapsed="false">
      <c r="A2" s="234" t="s">
        <v>235</v>
      </c>
      <c r="B2" s="234"/>
      <c r="C2" s="234"/>
      <c r="D2" s="234"/>
      <c r="E2" s="234"/>
      <c r="F2" s="234"/>
      <c r="G2" s="234"/>
    </row>
    <row r="4" customFormat="false" ht="15.6" hidden="false" customHeight="false" outlineLevel="0" collapsed="false">
      <c r="C4" s="235" t="s">
        <v>212</v>
      </c>
      <c r="D4" s="235"/>
      <c r="E4" s="236"/>
      <c r="F4" s="235" t="s">
        <v>213</v>
      </c>
      <c r="G4" s="235"/>
    </row>
    <row r="5" customFormat="false" ht="15.6" hidden="false" customHeight="false" outlineLevel="0" collapsed="false">
      <c r="A5" s="137" t="s">
        <v>214</v>
      </c>
      <c r="C5" s="237"/>
      <c r="D5" s="237"/>
      <c r="E5" s="236"/>
      <c r="F5" s="237"/>
      <c r="G5" s="237"/>
    </row>
    <row r="6" customFormat="false" ht="15.6" hidden="false" customHeight="false" outlineLevel="0" collapsed="false">
      <c r="B6" s="238" t="s">
        <v>215</v>
      </c>
      <c r="C6" s="239" t="n">
        <f aca="false">AVERAGE(Overview!E36:E38)*1000000</f>
        <v>1789419921.03233</v>
      </c>
      <c r="D6" s="240"/>
      <c r="E6" s="240"/>
    </row>
    <row r="7" customFormat="false" ht="15.6" hidden="false" customHeight="false" outlineLevel="0" collapsed="false">
      <c r="B7" s="238" t="s">
        <v>216</v>
      </c>
      <c r="C7" s="239"/>
      <c r="D7" s="240"/>
      <c r="E7" s="240"/>
    </row>
    <row r="8" customFormat="false" ht="15.6" hidden="false" customHeight="false" outlineLevel="0" collapsed="false">
      <c r="B8" s="238" t="s">
        <v>217</v>
      </c>
      <c r="C8" s="241"/>
      <c r="D8" s="242"/>
      <c r="E8" s="242"/>
    </row>
    <row r="9" customFormat="false" ht="15.6" hidden="false" customHeight="false" outlineLevel="0" collapsed="false">
      <c r="B9" s="243" t="s">
        <v>218</v>
      </c>
      <c r="C9" s="244" t="n">
        <f aca="false">2*125900000</f>
        <v>251800000</v>
      </c>
      <c r="D9" s="240"/>
      <c r="E9" s="240"/>
    </row>
    <row r="10" customFormat="false" ht="15.6" hidden="false" customHeight="false" outlineLevel="0" collapsed="false">
      <c r="B10" s="238"/>
      <c r="C10" s="239"/>
      <c r="D10" s="240"/>
      <c r="E10" s="240"/>
    </row>
    <row r="11" customFormat="false" ht="15.6" hidden="false" customHeight="false" outlineLevel="0" collapsed="false">
      <c r="B11" s="238" t="s">
        <v>219</v>
      </c>
      <c r="C11" s="245" t="n">
        <v>0.25</v>
      </c>
      <c r="D11" s="246"/>
      <c r="E11" s="246"/>
    </row>
    <row r="12" customFormat="false" ht="15.6" hidden="false" customHeight="false" outlineLevel="0" collapsed="false">
      <c r="B12" s="238" t="s">
        <v>220</v>
      </c>
      <c r="F12" s="241" t="n">
        <v>10000000</v>
      </c>
    </row>
    <row r="13" customFormat="false" ht="15.6" hidden="false" customHeight="false" outlineLevel="0" collapsed="false">
      <c r="B13" s="238" t="s">
        <v>221</v>
      </c>
      <c r="C13" s="244" t="n">
        <f aca="false">C9*(1-C11)</f>
        <v>188850000</v>
      </c>
      <c r="D13" s="247"/>
      <c r="E13" s="247"/>
      <c r="F13" s="244" t="n">
        <f aca="false">F12+C13</f>
        <v>198850000</v>
      </c>
    </row>
    <row r="14" customFormat="false" ht="15.6" hidden="false" customHeight="false" outlineLevel="0" collapsed="false">
      <c r="B14" s="238"/>
      <c r="C14" s="244"/>
      <c r="D14" s="247"/>
      <c r="E14" s="247"/>
      <c r="F14" s="244"/>
    </row>
    <row r="15" customFormat="false" ht="15.6" hidden="false" customHeight="false" outlineLevel="0" collapsed="false">
      <c r="A15" s="137" t="s">
        <v>222</v>
      </c>
      <c r="B15" s="238"/>
      <c r="C15" s="247"/>
      <c r="D15" s="247"/>
      <c r="E15" s="247"/>
      <c r="F15" s="247"/>
    </row>
    <row r="16" customFormat="false" ht="15.6" hidden="false" customHeight="false" outlineLevel="0" collapsed="false">
      <c r="B16" s="238" t="s">
        <v>223</v>
      </c>
      <c r="C16" s="248" t="n">
        <v>36000000</v>
      </c>
      <c r="D16" s="249" t="n">
        <f aca="false">C16/$C$25</f>
        <v>0.760896674458812</v>
      </c>
      <c r="E16" s="247"/>
      <c r="F16" s="248" t="n">
        <f aca="false">C16</f>
        <v>36000000</v>
      </c>
      <c r="G16" s="249" t="n">
        <f aca="false">F16/$F$25</f>
        <v>0.722631817810142</v>
      </c>
    </row>
    <row r="17" customFormat="false" ht="15.6" hidden="false" customHeight="false" outlineLevel="0" collapsed="false">
      <c r="B17" s="238" t="s">
        <v>224</v>
      </c>
      <c r="C17" s="248" t="n">
        <v>3410000</v>
      </c>
      <c r="D17" s="249" t="n">
        <f aca="false">C17/$C$25</f>
        <v>0.0720738238862375</v>
      </c>
      <c r="E17" s="247"/>
      <c r="F17" s="248" t="n">
        <f aca="false">C17</f>
        <v>3410000</v>
      </c>
      <c r="G17" s="249" t="n">
        <f aca="false">F17/$F$25</f>
        <v>0.0684492916314606</v>
      </c>
    </row>
    <row r="18" customFormat="false" ht="15.6" hidden="false" customHeight="false" outlineLevel="0" collapsed="false">
      <c r="B18" s="238" t="s">
        <v>225</v>
      </c>
      <c r="C18" s="248" t="n">
        <v>1110000</v>
      </c>
      <c r="D18" s="249" t="n">
        <f aca="false">C18/$C$25</f>
        <v>0.0234609807958134</v>
      </c>
      <c r="E18" s="247"/>
      <c r="F18" s="248" t="n">
        <f aca="false">C18</f>
        <v>1110000</v>
      </c>
      <c r="G18" s="249" t="n">
        <f aca="false">F18/$F$25</f>
        <v>0.0222811477158127</v>
      </c>
    </row>
    <row r="19" customFormat="false" ht="15.6" hidden="false" customHeight="false" outlineLevel="0" collapsed="false">
      <c r="B19" s="238" t="s">
        <v>226</v>
      </c>
      <c r="C19" s="248" t="n">
        <v>4527600</v>
      </c>
      <c r="D19" s="249" t="n">
        <f aca="false">C19/$C$25</f>
        <v>0.0956954384244366</v>
      </c>
      <c r="E19" s="247"/>
      <c r="F19" s="248" t="n">
        <f aca="false">C19</f>
        <v>4527600</v>
      </c>
      <c r="G19" s="249" t="n">
        <f aca="false">F19/$F$25</f>
        <v>0.0908829949532555</v>
      </c>
    </row>
    <row r="20" customFormat="false" ht="15.6" hidden="false" customHeight="false" outlineLevel="0" collapsed="false">
      <c r="B20" s="238" t="s">
        <v>227</v>
      </c>
      <c r="C20" s="248"/>
      <c r="D20" s="249" t="n">
        <f aca="false">C20/$C$25</f>
        <v>0</v>
      </c>
      <c r="E20" s="247"/>
      <c r="F20" s="248" t="n">
        <f aca="false">F12/C26</f>
        <v>2505300.50304474</v>
      </c>
      <c r="G20" s="249" t="n">
        <f aca="false">F20/$F$25</f>
        <v>0.0502891626854413</v>
      </c>
    </row>
    <row r="21" customFormat="false" ht="15.6" hidden="false" customHeight="false" outlineLevel="0" collapsed="false">
      <c r="B21" s="238" t="s">
        <v>228</v>
      </c>
      <c r="C21" s="248"/>
      <c r="D21" s="249" t="n">
        <f aca="false">C21/$C$25</f>
        <v>0</v>
      </c>
      <c r="E21" s="247"/>
      <c r="F21" s="248"/>
      <c r="G21" s="249" t="n">
        <f aca="false">F21/$F$25</f>
        <v>0</v>
      </c>
    </row>
    <row r="22" customFormat="false" ht="15.6" hidden="false" customHeight="false" outlineLevel="0" collapsed="false">
      <c r="B22" s="243" t="s">
        <v>229</v>
      </c>
      <c r="C22" s="250" t="n">
        <f aca="false">SUM(C16:C21)</f>
        <v>45047600</v>
      </c>
      <c r="D22" s="249" t="n">
        <f aca="false">C22/$C$25</f>
        <v>0.9521269175653</v>
      </c>
      <c r="E22" s="251"/>
      <c r="F22" s="250" t="n">
        <f aca="false">SUM(F16:F21)</f>
        <v>47552900.5030448</v>
      </c>
      <c r="G22" s="249" t="n">
        <f aca="false">F22/$F$25</f>
        <v>0.954534414796112</v>
      </c>
    </row>
    <row r="23" customFormat="false" ht="15.6" hidden="false" customHeight="false" outlineLevel="0" collapsed="false">
      <c r="B23" s="243" t="s">
        <v>230</v>
      </c>
      <c r="C23" s="250" t="n">
        <v>0</v>
      </c>
      <c r="D23" s="249" t="n">
        <f aca="false">C23/$C$25</f>
        <v>0</v>
      </c>
      <c r="E23" s="251"/>
      <c r="F23" s="250"/>
      <c r="G23" s="249" t="n">
        <f aca="false">F23/$F$25</f>
        <v>0</v>
      </c>
    </row>
    <row r="24" customFormat="false" ht="15.6" hidden="false" customHeight="false" outlineLevel="0" collapsed="false">
      <c r="B24" s="238" t="s">
        <v>231</v>
      </c>
      <c r="C24" s="252" t="n">
        <f aca="false">120000+2145000</f>
        <v>2265000</v>
      </c>
      <c r="D24" s="253" t="n">
        <f aca="false">C24/$C$25</f>
        <v>0.0478730824347003</v>
      </c>
      <c r="E24" s="254"/>
      <c r="F24" s="252" t="n">
        <f aca="false">C24</f>
        <v>2265000</v>
      </c>
      <c r="G24" s="253" t="n">
        <f aca="false">F24/$F$25</f>
        <v>0.0454655852038881</v>
      </c>
    </row>
    <row r="25" customFormat="false" ht="15.6" hidden="false" customHeight="false" outlineLevel="0" collapsed="false">
      <c r="B25" s="238" t="s">
        <v>232</v>
      </c>
      <c r="C25" s="250" t="n">
        <f aca="false">SUM(C22:C24)</f>
        <v>47312600</v>
      </c>
      <c r="D25" s="255" t="n">
        <f aca="false">C25/$C$25</f>
        <v>1</v>
      </c>
      <c r="E25" s="256"/>
      <c r="F25" s="250" t="n">
        <f aca="false">SUM(F22:F24)</f>
        <v>49817900.5030448</v>
      </c>
      <c r="G25" s="255" t="n">
        <f aca="false">F25/$F$25</f>
        <v>1</v>
      </c>
    </row>
    <row r="26" customFormat="false" ht="15.6" hidden="false" customHeight="false" outlineLevel="0" collapsed="false">
      <c r="B26" s="5" t="s">
        <v>233</v>
      </c>
      <c r="C26" s="257" t="n">
        <f aca="false">C13/C25</f>
        <v>3.99153713809852</v>
      </c>
      <c r="D26" s="257"/>
      <c r="E26" s="257"/>
      <c r="F26" s="257" t="n">
        <f aca="false">F13/F25</f>
        <v>3.99153713809852</v>
      </c>
    </row>
  </sheetData>
  <mergeCells count="3">
    <mergeCell ref="A2:G2"/>
    <mergeCell ref="C4:D4"/>
    <mergeCell ref="F4:G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26"/>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A3" activeCellId="0" sqref="A1:G16384"/>
    </sheetView>
  </sheetViews>
  <sheetFormatPr defaultColWidth="8.96484375" defaultRowHeight="13.8" customHeight="true" zeroHeight="false" outlineLevelRow="0" outlineLevelCol="0"/>
  <cols>
    <col collapsed="false" customWidth="true" hidden="false" outlineLevel="0" max="1" min="1" style="0" width="3.1"/>
    <col collapsed="false" customWidth="true" hidden="false" outlineLevel="0" max="2" min="2" style="0" width="43.1"/>
    <col collapsed="false" customWidth="true" hidden="false" outlineLevel="0" max="3" min="3" style="0" width="15.44"/>
    <col collapsed="false" customWidth="true" hidden="false" outlineLevel="0" max="4" min="4" style="0" width="9.33"/>
    <col collapsed="false" customWidth="true" hidden="false" outlineLevel="0" max="5" min="5" style="0" width="2.55"/>
    <col collapsed="false" customWidth="true" hidden="false" outlineLevel="0" max="6" min="6" style="0" width="14.33"/>
  </cols>
  <sheetData>
    <row r="2" customFormat="false" ht="22.8" hidden="false" customHeight="false" outlineLevel="0" collapsed="false">
      <c r="A2" s="234" t="s">
        <v>236</v>
      </c>
      <c r="B2" s="234"/>
      <c r="C2" s="234"/>
      <c r="D2" s="234"/>
      <c r="E2" s="234"/>
      <c r="F2" s="234"/>
      <c r="G2" s="234"/>
    </row>
    <row r="4" customFormat="false" ht="15.6" hidden="false" customHeight="false" outlineLevel="0" collapsed="false">
      <c r="C4" s="235" t="s">
        <v>212</v>
      </c>
      <c r="D4" s="235"/>
      <c r="E4" s="236"/>
      <c r="F4" s="235" t="s">
        <v>213</v>
      </c>
      <c r="G4" s="235"/>
    </row>
    <row r="5" customFormat="false" ht="15.6" hidden="false" customHeight="false" outlineLevel="0" collapsed="false">
      <c r="A5" s="137" t="s">
        <v>214</v>
      </c>
      <c r="C5" s="237"/>
      <c r="D5" s="237"/>
      <c r="E5" s="236"/>
      <c r="F5" s="237"/>
      <c r="G5" s="237"/>
    </row>
    <row r="6" customFormat="false" ht="15.6" hidden="false" customHeight="false" outlineLevel="0" collapsed="false">
      <c r="B6" s="238" t="s">
        <v>215</v>
      </c>
      <c r="C6" s="239" t="n">
        <f aca="false">AVERAGE(Overview!E36:E38)*1000000</f>
        <v>1789419921.03233</v>
      </c>
      <c r="D6" s="240"/>
      <c r="E6" s="240"/>
    </row>
    <row r="7" customFormat="false" ht="15.6" hidden="false" customHeight="false" outlineLevel="0" collapsed="false">
      <c r="B7" s="238" t="s">
        <v>216</v>
      </c>
      <c r="C7" s="239"/>
      <c r="D7" s="240"/>
      <c r="E7" s="240"/>
    </row>
    <row r="8" customFormat="false" ht="15.6" hidden="false" customHeight="false" outlineLevel="0" collapsed="false">
      <c r="B8" s="238" t="s">
        <v>217</v>
      </c>
      <c r="C8" s="241"/>
      <c r="D8" s="242"/>
      <c r="E8" s="242"/>
    </row>
    <row r="9" customFormat="false" ht="15.6" hidden="false" customHeight="false" outlineLevel="0" collapsed="false">
      <c r="B9" s="243" t="s">
        <v>218</v>
      </c>
      <c r="C9" s="244" t="n">
        <v>125900000</v>
      </c>
      <c r="D9" s="240"/>
      <c r="E9" s="240"/>
    </row>
    <row r="10" customFormat="false" ht="15.6" hidden="false" customHeight="false" outlineLevel="0" collapsed="false">
      <c r="B10" s="238"/>
      <c r="C10" s="239"/>
      <c r="D10" s="240"/>
      <c r="E10" s="240"/>
    </row>
    <row r="11" customFormat="false" ht="15.6" hidden="false" customHeight="false" outlineLevel="0" collapsed="false">
      <c r="B11" s="238" t="s">
        <v>219</v>
      </c>
      <c r="C11" s="245" t="n">
        <v>0.25</v>
      </c>
      <c r="D11" s="246"/>
      <c r="E11" s="246"/>
    </row>
    <row r="12" customFormat="false" ht="15.6" hidden="false" customHeight="false" outlineLevel="0" collapsed="false">
      <c r="B12" s="238" t="s">
        <v>220</v>
      </c>
      <c r="F12" s="241" t="n">
        <v>10000000</v>
      </c>
    </row>
    <row r="13" customFormat="false" ht="15.6" hidden="false" customHeight="false" outlineLevel="0" collapsed="false">
      <c r="B13" s="238" t="s">
        <v>221</v>
      </c>
      <c r="C13" s="244" t="n">
        <f aca="false">C9*(1-C11)</f>
        <v>94425000</v>
      </c>
      <c r="D13" s="247"/>
      <c r="E13" s="247"/>
      <c r="F13" s="244" t="n">
        <f aca="false">F12+C13</f>
        <v>104425000</v>
      </c>
    </row>
    <row r="14" customFormat="false" ht="15.6" hidden="false" customHeight="false" outlineLevel="0" collapsed="false">
      <c r="B14" s="238"/>
      <c r="C14" s="244"/>
      <c r="D14" s="247"/>
      <c r="E14" s="247"/>
      <c r="F14" s="244"/>
    </row>
    <row r="15" customFormat="false" ht="15.6" hidden="false" customHeight="false" outlineLevel="0" collapsed="false">
      <c r="A15" s="137" t="s">
        <v>222</v>
      </c>
      <c r="B15" s="238"/>
      <c r="C15" s="247"/>
      <c r="D15" s="247"/>
      <c r="E15" s="247"/>
      <c r="F15" s="247"/>
    </row>
    <row r="16" customFormat="false" ht="15.6" hidden="false" customHeight="false" outlineLevel="0" collapsed="false">
      <c r="B16" s="238" t="s">
        <v>223</v>
      </c>
      <c r="C16" s="248" t="n">
        <v>36000000</v>
      </c>
      <c r="D16" s="249" t="n">
        <f aca="false">C16/$C$25</f>
        <v>0.760896674458812</v>
      </c>
      <c r="E16" s="247"/>
      <c r="F16" s="248" t="n">
        <f aca="false">C16</f>
        <v>36000000</v>
      </c>
      <c r="G16" s="249" t="n">
        <f aca="false">F16/$F$25</f>
        <v>0.688031299839821</v>
      </c>
    </row>
    <row r="17" customFormat="false" ht="15.6" hidden="false" customHeight="false" outlineLevel="0" collapsed="false">
      <c r="B17" s="238" t="s">
        <v>224</v>
      </c>
      <c r="C17" s="248" t="n">
        <v>3410000</v>
      </c>
      <c r="D17" s="249" t="n">
        <f aca="false">C17/$C$25</f>
        <v>0.0720738238862375</v>
      </c>
      <c r="E17" s="247"/>
      <c r="F17" s="248" t="n">
        <f aca="false">C17</f>
        <v>3410000</v>
      </c>
      <c r="G17" s="249" t="n">
        <f aca="false">F17/$F$25</f>
        <v>0.065171853679272</v>
      </c>
    </row>
    <row r="18" customFormat="false" ht="15.6" hidden="false" customHeight="false" outlineLevel="0" collapsed="false">
      <c r="B18" s="238" t="s">
        <v>225</v>
      </c>
      <c r="C18" s="248" t="n">
        <v>1110000</v>
      </c>
      <c r="D18" s="249" t="n">
        <f aca="false">C18/$C$25</f>
        <v>0.0234609807958134</v>
      </c>
      <c r="E18" s="247"/>
      <c r="F18" s="248" t="n">
        <f aca="false">C18</f>
        <v>1110000</v>
      </c>
      <c r="G18" s="249" t="n">
        <f aca="false">F18/$F$25</f>
        <v>0.0212142984117278</v>
      </c>
    </row>
    <row r="19" customFormat="false" ht="15.6" hidden="false" customHeight="false" outlineLevel="0" collapsed="false">
      <c r="B19" s="238" t="s">
        <v>226</v>
      </c>
      <c r="C19" s="248" t="n">
        <v>4527600</v>
      </c>
      <c r="D19" s="249" t="n">
        <f aca="false">C19/$C$25</f>
        <v>0.0956954384244366</v>
      </c>
      <c r="E19" s="247"/>
      <c r="F19" s="248" t="n">
        <f aca="false">C19</f>
        <v>4527600</v>
      </c>
      <c r="G19" s="249" t="n">
        <f aca="false">F19/$F$25</f>
        <v>0.0865314031431882</v>
      </c>
    </row>
    <row r="20" customFormat="false" ht="15.6" hidden="false" customHeight="false" outlineLevel="0" collapsed="false">
      <c r="B20" s="238" t="s">
        <v>227</v>
      </c>
      <c r="C20" s="248"/>
      <c r="D20" s="249" t="n">
        <f aca="false">C20/$C$25</f>
        <v>0</v>
      </c>
      <c r="E20" s="247"/>
      <c r="F20" s="248" t="n">
        <f aca="false">F12/C26</f>
        <v>5010601.00608949</v>
      </c>
      <c r="G20" s="249" t="n">
        <f aca="false">F20/$F$25</f>
        <v>0.0957625089777352</v>
      </c>
    </row>
    <row r="21" customFormat="false" ht="15.6" hidden="false" customHeight="false" outlineLevel="0" collapsed="false">
      <c r="B21" s="238" t="s">
        <v>228</v>
      </c>
      <c r="C21" s="248"/>
      <c r="D21" s="249" t="n">
        <f aca="false">C21/$C$25</f>
        <v>0</v>
      </c>
      <c r="E21" s="247"/>
      <c r="F21" s="248"/>
      <c r="G21" s="249" t="n">
        <f aca="false">F21/$F$25</f>
        <v>0</v>
      </c>
    </row>
    <row r="22" customFormat="false" ht="15.6" hidden="false" customHeight="false" outlineLevel="0" collapsed="false">
      <c r="B22" s="243" t="s">
        <v>229</v>
      </c>
      <c r="C22" s="250" t="n">
        <f aca="false">SUM(C16:C21)</f>
        <v>45047600</v>
      </c>
      <c r="D22" s="249" t="n">
        <f aca="false">C22/$C$25</f>
        <v>0.9521269175653</v>
      </c>
      <c r="E22" s="251"/>
      <c r="F22" s="250" t="n">
        <f aca="false">SUM(F16:F21)</f>
        <v>50058201.0060895</v>
      </c>
      <c r="G22" s="249" t="n">
        <f aca="false">F22/$F$25</f>
        <v>0.956711364051745</v>
      </c>
    </row>
    <row r="23" customFormat="false" ht="15.6" hidden="false" customHeight="false" outlineLevel="0" collapsed="false">
      <c r="B23" s="243" t="s">
        <v>230</v>
      </c>
      <c r="C23" s="250" t="n">
        <v>0</v>
      </c>
      <c r="D23" s="249" t="n">
        <f aca="false">C23/$C$25</f>
        <v>0</v>
      </c>
      <c r="E23" s="251"/>
      <c r="F23" s="250"/>
      <c r="G23" s="249" t="n">
        <f aca="false">F23/$F$25</f>
        <v>0</v>
      </c>
    </row>
    <row r="24" customFormat="false" ht="15.6" hidden="false" customHeight="false" outlineLevel="0" collapsed="false">
      <c r="B24" s="238" t="s">
        <v>231</v>
      </c>
      <c r="C24" s="252" t="n">
        <f aca="false">120000+2145000</f>
        <v>2265000</v>
      </c>
      <c r="D24" s="253" t="n">
        <f aca="false">C24/$C$25</f>
        <v>0.0478730824347003</v>
      </c>
      <c r="E24" s="254"/>
      <c r="F24" s="252" t="n">
        <f aca="false">C24</f>
        <v>2265000</v>
      </c>
      <c r="G24" s="253" t="n">
        <f aca="false">F24/$F$25</f>
        <v>0.0432886359482554</v>
      </c>
    </row>
    <row r="25" customFormat="false" ht="15.6" hidden="false" customHeight="false" outlineLevel="0" collapsed="false">
      <c r="B25" s="238" t="s">
        <v>232</v>
      </c>
      <c r="C25" s="250" t="n">
        <f aca="false">SUM(C22:C24)</f>
        <v>47312600</v>
      </c>
      <c r="D25" s="255" t="n">
        <f aca="false">C25/$C$25</f>
        <v>1</v>
      </c>
      <c r="E25" s="256"/>
      <c r="F25" s="250" t="n">
        <f aca="false">SUM(F22:F24)</f>
        <v>52323201.0060895</v>
      </c>
      <c r="G25" s="255" t="n">
        <f aca="false">F25/$F$25</f>
        <v>1</v>
      </c>
    </row>
    <row r="26" customFormat="false" ht="15.6" hidden="false" customHeight="false" outlineLevel="0" collapsed="false">
      <c r="B26" s="5" t="s">
        <v>233</v>
      </c>
      <c r="C26" s="257" t="n">
        <f aca="false">C13/C25</f>
        <v>1.99576856904926</v>
      </c>
      <c r="D26" s="257"/>
      <c r="E26" s="257"/>
      <c r="F26" s="257" t="n">
        <f aca="false">F13/F25</f>
        <v>1.99576856904926</v>
      </c>
    </row>
  </sheetData>
  <mergeCells count="3">
    <mergeCell ref="A2:G2"/>
    <mergeCell ref="C4:D4"/>
    <mergeCell ref="F4:G4"/>
  </mergeCells>
  <printOptions headings="false" gridLines="false" gridLinesSet="true" horizontalCentered="true" verticalCentered="false"/>
  <pageMargins left="0.5" right="0.5" top="0.75" bottom="0.75" header="0.511811023622047" footer="0.511811023622047"/>
  <pageSetup paperSize="1" scale="9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0:Y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2" activeCellId="0" sqref="G32"/>
    </sheetView>
  </sheetViews>
  <sheetFormatPr defaultColWidth="8.96484375" defaultRowHeight="13.8" customHeight="true" zeroHeight="false" outlineLevelRow="0" outlineLevelCol="0"/>
  <sheetData>
    <row r="20" customFormat="false" ht="15.6" hidden="false" customHeight="false" outlineLevel="0" collapsed="false">
      <c r="C20" s="7" t="s">
        <v>39</v>
      </c>
      <c r="D20" s="7" t="s">
        <v>40</v>
      </c>
      <c r="E20" s="7" t="s">
        <v>41</v>
      </c>
      <c r="F20" s="7" t="s">
        <v>42</v>
      </c>
      <c r="G20" s="7" t="s">
        <v>43</v>
      </c>
      <c r="H20" s="7" t="s">
        <v>44</v>
      </c>
      <c r="I20" s="7" t="s">
        <v>45</v>
      </c>
      <c r="J20" s="7" t="s">
        <v>46</v>
      </c>
      <c r="K20" s="7" t="s">
        <v>47</v>
      </c>
      <c r="L20" s="7" t="s">
        <v>48</v>
      </c>
      <c r="M20" s="7" t="s">
        <v>49</v>
      </c>
      <c r="N20" s="7" t="s">
        <v>50</v>
      </c>
      <c r="O20" s="7" t="s">
        <v>51</v>
      </c>
      <c r="P20" s="7" t="s">
        <v>52</v>
      </c>
      <c r="Q20" s="7" t="s">
        <v>53</v>
      </c>
      <c r="R20" s="7" t="s">
        <v>54</v>
      </c>
      <c r="S20" s="7" t="s">
        <v>55</v>
      </c>
      <c r="T20" s="7" t="s">
        <v>56</v>
      </c>
      <c r="U20" s="7" t="s">
        <v>57</v>
      </c>
      <c r="V20" s="7" t="s">
        <v>58</v>
      </c>
      <c r="W20" s="7" t="s">
        <v>59</v>
      </c>
      <c r="X20" s="7" t="s">
        <v>60</v>
      </c>
      <c r="Y20" s="7" t="s">
        <v>61</v>
      </c>
    </row>
    <row r="22" customFormat="false" ht="13.8" hidden="false" customHeight="false" outlineLevel="0" collapsed="false">
      <c r="A22" s="0" t="s">
        <v>62</v>
      </c>
      <c r="C22" s="96"/>
      <c r="D22" s="96" t="n">
        <f aca="false">[1]Numbers!S110</f>
        <v>0</v>
      </c>
      <c r="E22" s="96" t="n">
        <f aca="false">[1]Numbers!T110</f>
        <v>0</v>
      </c>
      <c r="F22" s="96" t="n">
        <f aca="false">[1]Numbers!U110</f>
        <v>0</v>
      </c>
      <c r="G22" s="96" t="n">
        <f aca="false">[1]Numbers!V110</f>
        <v>0</v>
      </c>
      <c r="H22" s="96" t="n">
        <f aca="false">[1]Numbers!W110</f>
        <v>0.106</v>
      </c>
      <c r="I22" s="96" t="n">
        <f aca="false">[1]Numbers!X110</f>
        <v>2.41025543</v>
      </c>
      <c r="J22" s="96" t="n">
        <f aca="false">[1]Numbers!Y110</f>
        <v>4.758592323575</v>
      </c>
      <c r="K22" s="96" t="n">
        <f aca="false">[1]Numbers!Z110</f>
        <v>14.61510851625</v>
      </c>
      <c r="L22" s="96" t="n">
        <f aca="false">[1]Numbers!AA110</f>
        <v>39.35399665625</v>
      </c>
      <c r="M22" s="96" t="n">
        <f aca="false">[1]Numbers!AB110</f>
        <v>64.5791819415</v>
      </c>
      <c r="N22" s="96" t="n">
        <f aca="false">[1]Numbers!AC110</f>
        <v>106.950862614139</v>
      </c>
      <c r="O22" s="96" t="n">
        <f aca="false">[1]Numbers!AD110</f>
        <v>178.146507932035</v>
      </c>
      <c r="P22" s="96" t="n">
        <f aca="false">[1]Numbers!AE110</f>
        <v>309.5901243093</v>
      </c>
      <c r="Q22" s="96" t="n">
        <f aca="false">[1]Numbers!AF110</f>
        <v>511.292545062278</v>
      </c>
      <c r="R22" s="96" t="n">
        <f aca="false">[1]Numbers!AG110</f>
        <v>563.577804773539</v>
      </c>
      <c r="S22" s="96" t="n">
        <f aca="false">[1]Numbers!AH110</f>
        <v>756.274807681819</v>
      </c>
      <c r="T22" s="96" t="n">
        <f aca="false">[1]Numbers!AI110</f>
        <v>1093.90063053827</v>
      </c>
      <c r="U22" s="96" t="n">
        <f aca="false">[1]Numbers!AJ110</f>
        <v>1524.34562203834</v>
      </c>
      <c r="V22" s="96" t="n">
        <f aca="false">[1]Numbers!AK110</f>
        <v>1450.63826028285</v>
      </c>
      <c r="W22" s="96" t="n">
        <f aca="false">[1]Numbers!AL110</f>
        <v>1790.3240391239</v>
      </c>
      <c r="X22" s="96" t="n">
        <f aca="false">[1]Numbers!AM110</f>
        <v>2480.59619710283</v>
      </c>
      <c r="Y22" s="96" t="n">
        <f aca="false">[1]Numbers!AN110</f>
        <v>3397.34269180171</v>
      </c>
    </row>
    <row r="23" customFormat="false" ht="13.8" hidden="false" customHeight="false" outlineLevel="0" collapsed="false">
      <c r="A23" s="0" t="s">
        <v>63</v>
      </c>
      <c r="D23" s="96" t="n">
        <f aca="false">[1]Numbers!S113</f>
        <v>-0.76561701</v>
      </c>
      <c r="E23" s="96" t="n">
        <f aca="false">[1]Numbers!T113</f>
        <v>-1.40483787</v>
      </c>
      <c r="F23" s="96" t="n">
        <f aca="false">[1]Numbers!U113</f>
        <v>-4.61155476</v>
      </c>
      <c r="G23" s="96" t="n">
        <f aca="false">[1]Numbers!V113</f>
        <v>-8.1994824</v>
      </c>
      <c r="H23" s="96" t="n">
        <f aca="false">[1]Numbers!W113</f>
        <v>-5.178323803575</v>
      </c>
      <c r="I23" s="96" t="n">
        <f aca="false">[1]Numbers!X113</f>
        <v>-6.9074694152385</v>
      </c>
      <c r="J23" s="96" t="n">
        <f aca="false">[1]Numbers!Y113</f>
        <v>-10.7288254242064</v>
      </c>
      <c r="K23" s="96" t="n">
        <f aca="false">[1]Numbers!Z113</f>
        <v>-3.96920397102344</v>
      </c>
      <c r="L23" s="96" t="n">
        <f aca="false">[1]Numbers!AA113</f>
        <v>9.09372590225256</v>
      </c>
      <c r="M23" s="96" t="n">
        <f aca="false">[1]Numbers!AB113</f>
        <v>17.5016734873254</v>
      </c>
      <c r="N23" s="96" t="n">
        <f aca="false">[1]Numbers!AC113</f>
        <v>42.2157343006007</v>
      </c>
      <c r="O23" s="96" t="n">
        <f aca="false">[1]Numbers!AD113</f>
        <v>86.7207504630913</v>
      </c>
      <c r="P23" s="96" t="n">
        <f aca="false">[1]Numbers!AE113</f>
        <v>172.24096305178</v>
      </c>
      <c r="Q23" s="96" t="n">
        <f aca="false">[1]Numbers!AF113</f>
        <v>289.720531183549</v>
      </c>
      <c r="R23" s="96" t="n">
        <f aca="false">[1]Numbers!AG113</f>
        <v>290.167837392179</v>
      </c>
      <c r="S23" s="96" t="n">
        <f aca="false">[1]Numbers!AH113</f>
        <v>415.653395630057</v>
      </c>
      <c r="T23" s="96" t="n">
        <f aca="false">[1]Numbers!AI113</f>
        <v>659.093210386606</v>
      </c>
      <c r="U23" s="96" t="n">
        <f aca="false">[1]Numbers!AJ113</f>
        <v>911.425774664459</v>
      </c>
      <c r="V23" s="96" t="n">
        <f aca="false">[1]Numbers!AK113</f>
        <v>767.311388796254</v>
      </c>
      <c r="W23" s="96" t="n">
        <f aca="false">[1]Numbers!AL113</f>
        <v>985.056816452796</v>
      </c>
      <c r="X23" s="96" t="n">
        <f aca="false">[1]Numbers!AM113</f>
        <v>1500.52120839383</v>
      </c>
      <c r="Y23" s="96" t="n">
        <f aca="false">[1]Numbers!AN113</f>
        <v>2036.01782292757</v>
      </c>
    </row>
    <row r="25" customFormat="false" ht="13.8" hidden="false" customHeight="false" outlineLevel="0" collapsed="false">
      <c r="A25" s="0" t="s">
        <v>64</v>
      </c>
      <c r="D25" s="96" t="n">
        <f aca="false">[1]Numbers!S117</f>
        <v>31.8206</v>
      </c>
      <c r="E25" s="96" t="n">
        <f aca="false">[1]Numbers!T117</f>
        <v>33.7365</v>
      </c>
      <c r="F25" s="96" t="n">
        <f aca="false">[1]Numbers!U117</f>
        <v>72</v>
      </c>
      <c r="G25" s="96" t="n">
        <f aca="false">[1]Numbers!V117</f>
        <v>90.5446</v>
      </c>
      <c r="H25" s="96" t="n">
        <f aca="false">[1]Numbers!W117</f>
        <v>92.5</v>
      </c>
      <c r="I25" s="96" t="n">
        <f aca="false">[1]Numbers!X117</f>
        <v>110</v>
      </c>
      <c r="J25" s="96" t="n">
        <f aca="false">[1]Numbers!Y117</f>
        <v>250</v>
      </c>
      <c r="K25" s="96" t="n">
        <f aca="false">[1]Numbers!Z117</f>
        <v>263.0719532925</v>
      </c>
      <c r="L25" s="96" t="n">
        <f aca="false">[1]Numbers!AA117</f>
        <v>393.5399665625</v>
      </c>
      <c r="M25" s="96" t="n">
        <f aca="false">[1]Numbers!AB117</f>
        <v>427.16783964375</v>
      </c>
      <c r="N25" s="96" t="n">
        <f aca="false">[1]Numbers!AC117</f>
        <v>641.705175684835</v>
      </c>
      <c r="O25" s="96" t="n">
        <f aca="false">[1]Numbers!AD117</f>
        <v>1068.87904759221</v>
      </c>
      <c r="P25" s="96" t="n">
        <f aca="false">[1]Numbers!AE117</f>
        <v>1857.5407458558</v>
      </c>
      <c r="Q25" s="96" t="n">
        <f aca="false">[1]Numbers!AF117</f>
        <v>3067.75527037367</v>
      </c>
      <c r="R25" s="96" t="n">
        <f aca="false">[1]Numbers!AG117</f>
        <v>3381.46682864124</v>
      </c>
      <c r="S25" s="96" t="n">
        <f aca="false">[1]Numbers!AH117</f>
        <v>4537.64884609092</v>
      </c>
      <c r="T25" s="96" t="n">
        <f aca="false">[1]Numbers!AI117</f>
        <v>6563.40378322961</v>
      </c>
      <c r="U25" s="96" t="n">
        <f aca="false">[1]Numbers!AJ117</f>
        <v>9146.07373223003</v>
      </c>
      <c r="V25" s="96" t="n">
        <f aca="false">[1]Numbers!AK117</f>
        <v>9146.07373223003</v>
      </c>
      <c r="W25" s="96" t="n">
        <f aca="false">[1]Numbers!AL117</f>
        <v>10741.9442347434</v>
      </c>
      <c r="X25" s="96" t="n">
        <f aca="false">[1]Numbers!AM117</f>
        <v>14883.577182617</v>
      </c>
      <c r="Y25" s="96" t="n">
        <f aca="false">[1]Numbers!AN117</f>
        <v>20384.0561508103</v>
      </c>
    </row>
    <row r="26" customFormat="false" ht="13.8" hidden="false" customHeight="false" outlineLevel="0" collapsed="false">
      <c r="A26" s="0" t="s">
        <v>65</v>
      </c>
      <c r="D26" s="97" t="s">
        <v>14</v>
      </c>
      <c r="E26" s="97" t="s">
        <v>14</v>
      </c>
      <c r="F26" s="97" t="s">
        <v>14</v>
      </c>
      <c r="G26" s="97" t="s">
        <v>14</v>
      </c>
      <c r="H26" s="98" t="n">
        <f aca="false">IF(H25/H22&gt;0,H25/H22,"nm")</f>
        <v>872.641509433962</v>
      </c>
      <c r="I26" s="98" t="n">
        <f aca="false">IF(I25/I22&gt;0,I25/I22,"nm")</f>
        <v>45.6383164335408</v>
      </c>
      <c r="J26" s="98" t="n">
        <f aca="false">IF(J25/J22&gt;0,J25/J22,"nm")</f>
        <v>52.5365450537654</v>
      </c>
      <c r="K26" s="98" t="n">
        <f aca="false">IF(K25/K22&gt;0,K25/K22,"nm")</f>
        <v>18</v>
      </c>
      <c r="L26" s="98" t="n">
        <f aca="false">IF(L25/L22&gt;0,L25/L22,"nm")</f>
        <v>10</v>
      </c>
      <c r="M26" s="98" t="n">
        <f aca="false">IF(M25/M22&gt;0,M25/M22,"nm")</f>
        <v>6.6146368969292</v>
      </c>
      <c r="N26" s="98" t="n">
        <f aca="false">IF(N25/N22&gt;0,N25/N22,"nm")</f>
        <v>6</v>
      </c>
      <c r="O26" s="98" t="n">
        <f aca="false">IF(O25/O22&gt;0,O25/O22,"nm")</f>
        <v>6</v>
      </c>
      <c r="P26" s="98" t="n">
        <f aca="false">IF(P25/P22&gt;0,P25/P22,"nm")</f>
        <v>6</v>
      </c>
      <c r="Q26" s="98" t="n">
        <f aca="false">IF(Q25/Q22&gt;0,Q25/Q22,"nm")</f>
        <v>6</v>
      </c>
      <c r="R26" s="98" t="n">
        <f aca="false">IF(R25/R22&gt;0,R25/R22,"nm")</f>
        <v>6</v>
      </c>
      <c r="S26" s="98" t="n">
        <f aca="false">IF(S25/S22&gt;0,S25/S22,"nm")</f>
        <v>6</v>
      </c>
      <c r="T26" s="98" t="n">
        <f aca="false">IF(T25/T22&gt;0,T25/T22,"nm")</f>
        <v>6</v>
      </c>
      <c r="U26" s="98" t="n">
        <f aca="false">IF(U25/U22&gt;0,U25/U22,"nm")</f>
        <v>6</v>
      </c>
      <c r="V26" s="98" t="n">
        <f aca="false">IF(V25/V22&gt;0,V25/V22,"nm")</f>
        <v>6.3048617857678</v>
      </c>
      <c r="W26" s="98" t="n">
        <f aca="false">IF(W25/W22&gt;0,W25/W22,"nm")</f>
        <v>6</v>
      </c>
      <c r="X26" s="98" t="n">
        <f aca="false">IF(X25/X22&gt;0,X25/X22,"nm")</f>
        <v>6</v>
      </c>
      <c r="Y26" s="98" t="n">
        <f aca="false">IF(Y25/Y22&gt;0,Y25/Y22,"nm")</f>
        <v>6</v>
      </c>
    </row>
    <row r="27" customFormat="false" ht="13.8" hidden="false" customHeight="false" outlineLevel="0" collapsed="false">
      <c r="A27" s="0" t="s">
        <v>66</v>
      </c>
      <c r="D27" s="97" t="s">
        <v>14</v>
      </c>
      <c r="E27" s="97" t="s">
        <v>14</v>
      </c>
      <c r="F27" s="97" t="s">
        <v>14</v>
      </c>
      <c r="G27" s="97" t="s">
        <v>14</v>
      </c>
      <c r="H27" s="98" t="str">
        <f aca="false">IF(H26/H23&gt;0,H26/H23,"nm")</f>
        <v>nm</v>
      </c>
      <c r="I27" s="98" t="str">
        <f aca="false">IF(I26/I23&gt;0,I26/I23,"nm")</f>
        <v>nm</v>
      </c>
      <c r="J27" s="98" t="str">
        <f aca="false">IF(J26/J23&gt;0,J26/J23,"nm")</f>
        <v>nm</v>
      </c>
      <c r="K27" s="98" t="str">
        <f aca="false">IF(K25/K23&gt;0,K25/K23,"nm")</f>
        <v>nm</v>
      </c>
      <c r="L27" s="98" t="n">
        <f aca="false">IF(L25/L23&gt;0,L25/L23,"nm")</f>
        <v>43.2759872897663</v>
      </c>
      <c r="M27" s="98" t="n">
        <f aca="false">IF(M25/M23&gt;0,M25/M23,"nm")</f>
        <v>24.4072568233605</v>
      </c>
      <c r="N27" s="98" t="n">
        <f aca="false">IF(N25/N23&gt;0,N25/N23,"nm")</f>
        <v>15.2006162232195</v>
      </c>
      <c r="O27" s="98" t="n">
        <f aca="false">IF(O25/O23&gt;0,O25/O23,"nm")</f>
        <v>12.3255281104507</v>
      </c>
      <c r="P27" s="98" t="n">
        <f aca="false">IF(P25/P23&gt;0,P25/P23,"nm")</f>
        <v>10.7845469100017</v>
      </c>
      <c r="Q27" s="98" t="n">
        <f aca="false">IF(Q25/Q23&gt;0,Q25/Q23,"nm")</f>
        <v>10.5886705986678</v>
      </c>
      <c r="R27" s="98" t="n">
        <f aca="false">IF(R25/R23&gt;0,R25/R23,"nm")</f>
        <v>11.6534859929048</v>
      </c>
      <c r="S27" s="98" t="n">
        <f aca="false">IF(S25/S23&gt;0,S25/S23,"nm")</f>
        <v>10.916905512615</v>
      </c>
      <c r="T27" s="98" t="n">
        <f aca="false">IF(T25/T23&gt;0,T25/T23,"nm")</f>
        <v>9.95823303866186</v>
      </c>
      <c r="U27" s="98" t="n">
        <f aca="false">IF(U25/U23&gt;0,U25/U23,"nm")</f>
        <v>10.034907928292</v>
      </c>
      <c r="V27" s="98" t="n">
        <f aca="false">IF(V25/V23&gt;0,V25/V23,"nm")</f>
        <v>11.919637667021</v>
      </c>
      <c r="W27" s="98" t="n">
        <f aca="false">IF(W25/W23&gt;0,W25/W23,"nm")</f>
        <v>10.9048981290493</v>
      </c>
      <c r="X27" s="98" t="n">
        <f aca="false">IF(X25/X23&gt;0,X25/X23,"nm")</f>
        <v>9.91893823250152</v>
      </c>
      <c r="Y27" s="98" t="n">
        <f aca="false">IF(Y25/Y23&gt;0,Y25/Y23,"nm")</f>
        <v>10.0117277566364</v>
      </c>
    </row>
    <row r="29" customFormat="false" ht="13.8" hidden="false" customHeight="false" outlineLevel="0" collapsed="false">
      <c r="A29" s="0" t="s">
        <v>18</v>
      </c>
      <c r="D29" s="99" t="n">
        <f aca="false">[1]Numbers!S118</f>
        <v>38.2</v>
      </c>
      <c r="E29" s="99" t="n">
        <f aca="false">[1]Numbers!T118</f>
        <v>40.52</v>
      </c>
      <c r="F29" s="99" t="n">
        <f aca="false">[1]Numbers!U118</f>
        <v>45.179</v>
      </c>
      <c r="G29" s="99" t="n">
        <f aca="false">[1]Numbers!V118</f>
        <v>45.2723</v>
      </c>
      <c r="H29" s="99" t="n">
        <f aca="false">[1]Numbers!W118</f>
        <v>46.551675</v>
      </c>
      <c r="I29" s="99" t="n">
        <f aca="false">[1]Numbers!X118</f>
        <v>46.551675</v>
      </c>
      <c r="J29" s="99" t="n">
        <f aca="false">[1]Numbers!Y118</f>
        <v>59.2475863636364</v>
      </c>
      <c r="K29" s="99" t="n">
        <f aca="false">[1]Numbers!Z118</f>
        <v>59.2475863636364</v>
      </c>
      <c r="L29" s="99" t="n">
        <f aca="false">[1]Numbers!AA118</f>
        <v>59.2475863636364</v>
      </c>
      <c r="M29" s="99" t="n">
        <f aca="false">[1]Numbers!AB118</f>
        <v>59.2475863636364</v>
      </c>
      <c r="N29" s="99" t="n">
        <f aca="false">[1]Numbers!AC118</f>
        <v>73.117447543506</v>
      </c>
      <c r="O29" s="99" t="n">
        <f aca="false">[1]Numbers!AD118</f>
        <v>73.117447543506</v>
      </c>
      <c r="P29" s="99" t="n">
        <f aca="false">[1]Numbers!AE118</f>
        <v>73.117447543506</v>
      </c>
      <c r="Q29" s="99" t="n">
        <f aca="false">[1]Numbers!AF118</f>
        <v>73.117447543506</v>
      </c>
      <c r="R29" s="99" t="n">
        <f aca="false">[1]Numbers!AG118</f>
        <v>75.3972113288829</v>
      </c>
      <c r="S29" s="99" t="n">
        <f aca="false">[1]Numbers!AH118</f>
        <v>75.3972113288829</v>
      </c>
      <c r="T29" s="99" t="n">
        <f aca="false">[1]Numbers!AI118</f>
        <v>75.3972113288829</v>
      </c>
      <c r="U29" s="99" t="n">
        <f aca="false">[1]Numbers!AJ118</f>
        <v>75.3972113288829</v>
      </c>
      <c r="V29" s="99" t="n">
        <f aca="false">[1]Numbers!AK118</f>
        <v>75.3972113288829</v>
      </c>
      <c r="W29" s="99" t="n">
        <f aca="false">[1]Numbers!AL118</f>
        <v>75.3972113288829</v>
      </c>
      <c r="X29" s="99" t="n">
        <f aca="false">[1]Numbers!AM118</f>
        <v>75.3972113288829</v>
      </c>
      <c r="Y29" s="99" t="n">
        <f aca="false">[1]Numbers!AN118</f>
        <v>75.3972113288829</v>
      </c>
    </row>
    <row r="30" customFormat="false" ht="13.8" hidden="false" customHeight="false" outlineLevel="0" collapsed="false">
      <c r="A30" s="0" t="s">
        <v>67</v>
      </c>
      <c r="D30" s="100" t="n">
        <f aca="false">D25/D29</f>
        <v>0.833</v>
      </c>
      <c r="E30" s="100" t="n">
        <f aca="false">E25/E29</f>
        <v>0.832588845014808</v>
      </c>
      <c r="F30" s="100" t="n">
        <f aca="false">F25/F29</f>
        <v>1.59366077159742</v>
      </c>
      <c r="G30" s="100" t="n">
        <f aca="false">G25/G29</f>
        <v>2</v>
      </c>
      <c r="H30" s="100" t="n">
        <f aca="false">H25/H29</f>
        <v>1.98703913446723</v>
      </c>
      <c r="I30" s="100" t="n">
        <f aca="false">I25/I29</f>
        <v>2.36296545720428</v>
      </c>
      <c r="J30" s="100" t="n">
        <f aca="false">J25/J29</f>
        <v>4.21958117357907</v>
      </c>
      <c r="K30" s="100" t="n">
        <f aca="false">K25/K29</f>
        <v>4.44021384563882</v>
      </c>
      <c r="L30" s="100" t="n">
        <f aca="false">L25/L29</f>
        <v>6.64229533583225</v>
      </c>
      <c r="M30" s="100" t="n">
        <f aca="false">M25/M29</f>
        <v>7.20987749647684</v>
      </c>
      <c r="N30" s="100" t="n">
        <f aca="false">N25/N29</f>
        <v>8.77636182941166</v>
      </c>
      <c r="O30" s="100" t="n">
        <f aca="false">O25/O29</f>
        <v>14.6186592051947</v>
      </c>
      <c r="P30" s="100" t="n">
        <f aca="false">P25/P29</f>
        <v>25.4048904640788</v>
      </c>
      <c r="Q30" s="100" t="n">
        <f aca="false">Q25/Q29</f>
        <v>41.9565421583994</v>
      </c>
      <c r="R30" s="100" t="n">
        <f aca="false">R25/R29</f>
        <v>44.8486988980437</v>
      </c>
      <c r="S30" s="100" t="n">
        <f aca="false">S25/S29</f>
        <v>60.1832450579329</v>
      </c>
      <c r="T30" s="100" t="n">
        <f aca="false">T25/T29</f>
        <v>87.0510151177876</v>
      </c>
      <c r="U30" s="100" t="n">
        <f aca="false">U25/U29</f>
        <v>121.305199105241</v>
      </c>
      <c r="V30" s="100" t="n">
        <f aca="false">V25/V29</f>
        <v>121.305199105241</v>
      </c>
      <c r="W30" s="100" t="n">
        <f aca="false">W25/W29</f>
        <v>142.471373216802</v>
      </c>
      <c r="X30" s="100" t="n">
        <f aca="false">X25/X29</f>
        <v>197.402223773168</v>
      </c>
      <c r="Y30" s="100" t="n">
        <f aca="false">Y25/Y29</f>
        <v>270.355571400313</v>
      </c>
    </row>
    <row r="32" customFormat="false" ht="13.8" hidden="false" customHeight="false" outlineLevel="0" collapsed="false">
      <c r="A32" s="0" t="s">
        <v>68</v>
      </c>
      <c r="D32" s="96" t="n">
        <f aca="false">[1]Numbers!S128/1000</f>
        <v>1.805</v>
      </c>
      <c r="E32" s="96" t="n">
        <f aca="false">[1]Numbers!T128/1000</f>
        <v>0.2505</v>
      </c>
      <c r="F32" s="96" t="n">
        <f aca="false">[1]Numbers!U128/1000</f>
        <v>2.18083333</v>
      </c>
      <c r="G32" s="96" t="n">
        <f aca="false">[1]Numbers!V128/1000</f>
        <v>1.6698</v>
      </c>
      <c r="H32" s="96" t="n">
        <f aca="false">[1]Numbers!W128/1000</f>
        <v>2.55875</v>
      </c>
      <c r="I32" s="96" t="n">
        <f aca="false">[1]Numbers!X128/1000</f>
        <v>0</v>
      </c>
      <c r="J32" s="96" t="n">
        <f aca="false">[1]Numbers!Y128/1000</f>
        <v>30</v>
      </c>
      <c r="K32" s="96" t="n">
        <f aca="false">[1]Numbers!Z128/1000</f>
        <v>0</v>
      </c>
      <c r="L32" s="96" t="n">
        <f aca="false">[1]Numbers!AA128/1000</f>
        <v>0</v>
      </c>
      <c r="M32" s="96" t="n">
        <f aca="false">[1]Numbers!AB128/1000</f>
        <v>0</v>
      </c>
      <c r="N32" s="96" t="n">
        <f aca="false">[1]Numbers!AC128/1000</f>
        <v>100</v>
      </c>
      <c r="O32" s="96" t="n">
        <f aca="false">[1]Numbers!AD128/1000</f>
        <v>0</v>
      </c>
      <c r="P32" s="96" t="n">
        <f aca="false">[1]Numbers!AE128/1000</f>
        <v>0</v>
      </c>
      <c r="Q32" s="96" t="n">
        <f aca="false">[1]Numbers!AF128/1000</f>
        <v>0</v>
      </c>
      <c r="R32" s="96" t="n">
        <f aca="false">[1]Numbers!AG128/1000</f>
        <v>100</v>
      </c>
      <c r="S32" s="96" t="n">
        <f aca="false">[1]Numbers!AH128/1000</f>
        <v>0</v>
      </c>
      <c r="T32" s="96" t="n">
        <f aca="false">[1]Numbers!AI128/1000</f>
        <v>0</v>
      </c>
      <c r="U32" s="96" t="n">
        <f aca="false">[1]Numbers!AJ128/1000</f>
        <v>0</v>
      </c>
      <c r="V32" s="96" t="n">
        <f aca="false">[1]Numbers!AK128/1000</f>
        <v>0</v>
      </c>
      <c r="W32" s="96" t="n">
        <f aca="false">[1]Numbers!AL128/1000</f>
        <v>0</v>
      </c>
      <c r="X32" s="96" t="n">
        <f aca="false">[1]Numbers!AM128/1000</f>
        <v>0</v>
      </c>
      <c r="Y32" s="96" t="n">
        <f aca="false">[1]Numbers!AN128/1000</f>
        <v>0</v>
      </c>
    </row>
  </sheetData>
  <printOptions headings="false" gridLines="false" gridLinesSet="true" horizontalCentered="true" verticalCentered="false"/>
  <pageMargins left="0.5" right="0.5" top="0.75" bottom="0.75" header="0.511811023622047" footer="0.5"/>
  <pageSetup paperSize="1" scale="95" fitToWidth="1" fitToHeight="1" pageOrder="downThenOver" orientation="portrait" blackAndWhite="false" draft="false" cellComments="none" horizontalDpi="300" verticalDpi="300" copies="1"/>
  <headerFooter differentFirst="false" differentOddEven="false">
    <oddHeader/>
    <oddFooter>&amp;R&amp;D</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3672" ySplit="0" topLeftCell="H1" activePane="topRight" state="split"/>
      <selection pane="topLeft" activeCell="A1" activeCellId="0" sqref="A1"/>
      <selection pane="topRight" activeCell="R30" activeCellId="0" sqref="R30"/>
    </sheetView>
  </sheetViews>
  <sheetFormatPr defaultColWidth="8.96484375" defaultRowHeight="13.8" customHeight="true" zeroHeight="false" outlineLevelRow="0" outlineLevelCol="0"/>
  <cols>
    <col collapsed="false" customWidth="true" hidden="false" outlineLevel="0" max="1" min="1" style="0" width="10.44"/>
    <col collapsed="false" customWidth="true" hidden="false" outlineLevel="0" max="2" min="2" style="0" width="2.65"/>
    <col collapsed="false" customWidth="true" hidden="false" outlineLevel="0" max="3" min="3" style="0" width="3.55"/>
    <col collapsed="false" customWidth="true" hidden="false" outlineLevel="0" max="4" min="4" style="0" width="23.99"/>
    <col collapsed="false" customWidth="true" hidden="false" outlineLevel="0" max="5" min="5" style="0" width="1.33"/>
    <col collapsed="false" customWidth="true" hidden="false" outlineLevel="0" max="6" min="6" style="0" width="7.88"/>
    <col collapsed="false" customWidth="true" hidden="false" outlineLevel="0" max="7" min="7" style="0" width="1.33"/>
    <col collapsed="false" customWidth="true" hidden="false" outlineLevel="0" max="9" min="9" style="0" width="1.1"/>
    <col collapsed="false" customWidth="true" hidden="false" outlineLevel="0" max="10" min="10" style="0" width="12.54"/>
    <col collapsed="false" customWidth="true" hidden="false" outlineLevel="0" max="11" min="11" style="0" width="1.1"/>
    <col collapsed="false" customWidth="true" hidden="false" outlineLevel="0" max="12" min="12" style="0" width="11.44"/>
    <col collapsed="false" customWidth="true" hidden="false" outlineLevel="0" max="14" min="13" style="0" width="9.65"/>
    <col collapsed="false" customWidth="true" hidden="false" outlineLevel="0" max="15" min="15" style="0" width="2.44"/>
    <col collapsed="false" customWidth="true" hidden="false" outlineLevel="0" max="19" min="19" style="0" width="2.33"/>
  </cols>
  <sheetData>
    <row r="1" customFormat="false" ht="20.4" hidden="false" customHeight="false" outlineLevel="0" collapsed="false">
      <c r="A1" s="101" t="s">
        <v>69</v>
      </c>
    </row>
    <row r="3" customFormat="false" ht="48" hidden="false" customHeight="true" outlineLevel="0" collapsed="false">
      <c r="A3" s="102" t="s">
        <v>70</v>
      </c>
      <c r="B3" s="58"/>
      <c r="C3" s="103" t="s">
        <v>71</v>
      </c>
      <c r="D3" s="103"/>
      <c r="E3" s="103"/>
      <c r="F3" s="103"/>
      <c r="G3" s="103"/>
      <c r="H3" s="103"/>
      <c r="I3" s="103"/>
      <c r="J3" s="103"/>
      <c r="K3" s="103"/>
      <c r="L3" s="103"/>
      <c r="M3" s="103"/>
      <c r="N3" s="103"/>
      <c r="O3" s="103"/>
      <c r="P3" s="103"/>
      <c r="Q3" s="103"/>
      <c r="R3" s="103"/>
      <c r="S3" s="103"/>
      <c r="T3" s="103"/>
    </row>
    <row r="4" customFormat="false" ht="13.8" hidden="false" customHeight="false" outlineLevel="0" collapsed="false">
      <c r="B4" s="58"/>
    </row>
    <row r="5" customFormat="false" ht="17.4" hidden="false" customHeight="false" outlineLevel="0" collapsed="false">
      <c r="A5" s="104" t="s">
        <v>72</v>
      </c>
      <c r="B5" s="58"/>
      <c r="C5" s="105" t="s">
        <v>73</v>
      </c>
      <c r="D5" s="5" t="s">
        <v>74</v>
      </c>
    </row>
    <row r="6" customFormat="false" ht="17.4" hidden="false" customHeight="false" outlineLevel="0" collapsed="false">
      <c r="A6" s="104" t="s">
        <v>75</v>
      </c>
      <c r="B6" s="58"/>
      <c r="C6" s="105" t="s">
        <v>73</v>
      </c>
      <c r="D6" s="5" t="s">
        <v>76</v>
      </c>
    </row>
    <row r="7" customFormat="false" ht="17.4" hidden="false" customHeight="false" outlineLevel="0" collapsed="false">
      <c r="B7" s="58"/>
      <c r="C7" s="105" t="s">
        <v>73</v>
      </c>
      <c r="D7" s="5" t="s">
        <v>77</v>
      </c>
    </row>
    <row r="9" customFormat="false" ht="13.8" hidden="false" customHeight="false" outlineLevel="0" collapsed="false">
      <c r="J9" s="106" t="s">
        <v>78</v>
      </c>
      <c r="L9" s="107" t="s">
        <v>79</v>
      </c>
      <c r="M9" s="107"/>
      <c r="N9" s="107"/>
      <c r="P9" s="107" t="s">
        <v>80</v>
      </c>
      <c r="Q9" s="107"/>
      <c r="R9" s="107"/>
      <c r="T9" s="106" t="s">
        <v>81</v>
      </c>
    </row>
    <row r="10" customFormat="false" ht="13.8" hidden="false" customHeight="false" outlineLevel="0" collapsed="false">
      <c r="H10" s="106" t="s">
        <v>82</v>
      </c>
      <c r="J10" s="106" t="s">
        <v>83</v>
      </c>
      <c r="L10" s="106"/>
      <c r="M10" s="106" t="s">
        <v>84</v>
      </c>
      <c r="N10" s="106" t="s">
        <v>84</v>
      </c>
      <c r="P10" s="106"/>
      <c r="Q10" s="106" t="s">
        <v>84</v>
      </c>
      <c r="R10" s="106" t="s">
        <v>84</v>
      </c>
      <c r="T10" s="106" t="s">
        <v>12</v>
      </c>
    </row>
    <row r="11" customFormat="false" ht="13.8" hidden="false" customHeight="false" outlineLevel="0" collapsed="false">
      <c r="D11" s="107" t="s">
        <v>85</v>
      </c>
      <c r="F11" s="107" t="s">
        <v>86</v>
      </c>
      <c r="H11" s="107" t="s">
        <v>87</v>
      </c>
      <c r="J11" s="107" t="s">
        <v>88</v>
      </c>
      <c r="L11" s="107" t="s">
        <v>89</v>
      </c>
      <c r="M11" s="107" t="n">
        <v>2000</v>
      </c>
      <c r="N11" s="107" t="n">
        <v>2001</v>
      </c>
      <c r="P11" s="107" t="s">
        <v>89</v>
      </c>
      <c r="Q11" s="107" t="n">
        <v>2000</v>
      </c>
      <c r="R11" s="107" t="n">
        <v>2001</v>
      </c>
      <c r="T11" s="107" t="s">
        <v>89</v>
      </c>
    </row>
    <row r="12" customFormat="false" ht="7.5" hidden="false" customHeight="true" outlineLevel="0" collapsed="false"/>
    <row r="13" customFormat="false" ht="13.8" hidden="false" customHeight="false" outlineLevel="0" collapsed="false">
      <c r="D13" s="0" t="s">
        <v>90</v>
      </c>
      <c r="F13" s="0" t="s">
        <v>91</v>
      </c>
      <c r="H13" s="108" t="n">
        <v>36799</v>
      </c>
      <c r="J13" s="109" t="n">
        <f aca="false">'CPA Companies'!D9</f>
        <v>42457.425</v>
      </c>
      <c r="L13" s="110" t="n">
        <f aca="false">AVERAGE('CPA Companies'!J10:J13)</f>
        <v>100.556309321886</v>
      </c>
      <c r="M13" s="110" t="n">
        <f aca="false">AVERAGE('CPA Companies'!J10:J13)</f>
        <v>100.556309321886</v>
      </c>
      <c r="N13" s="110" t="n">
        <f aca="false">AVERAGE('CPA Companies'!J6:J9)</f>
        <v>66.7771580594567</v>
      </c>
      <c r="P13" s="110" t="n">
        <f aca="false">AVERAGE('CPA Companies'!H10:H13)</f>
        <v>23.9436869626711</v>
      </c>
      <c r="Q13" s="110" t="n">
        <f aca="false">AVERAGE('CPA Companies'!H10:H13)</f>
        <v>23.9436869626711</v>
      </c>
      <c r="R13" s="110" t="n">
        <f aca="false">AVERAGE('CPA Companies'!H6:H9)</f>
        <v>13.9565856618451</v>
      </c>
      <c r="T13" s="110" t="n">
        <f aca="false">AVERAGE('CPA Companies'!I10:I13)</f>
        <v>166.847159467151</v>
      </c>
    </row>
    <row r="14" customFormat="false" ht="13.8" hidden="false" customHeight="false" outlineLevel="0" collapsed="false">
      <c r="D14" s="0" t="s">
        <v>92</v>
      </c>
      <c r="F14" s="0" t="s">
        <v>93</v>
      </c>
      <c r="H14" s="108" t="n">
        <v>36495</v>
      </c>
      <c r="J14" s="109" t="n">
        <f aca="false">'CPA Companies'!D28</f>
        <v>31086.8</v>
      </c>
      <c r="L14" s="110" t="n">
        <f aca="false">AVERAGE('CPA Companies'!J29:J32)</f>
        <v>50.3902497511067</v>
      </c>
      <c r="M14" s="110" t="n">
        <f aca="false">AVERAGE('CPA Companies'!J29:J32)</f>
        <v>50.3902497511067</v>
      </c>
      <c r="N14" s="110" t="n">
        <f aca="false">AVERAGE('CPA Companies'!J25:J28)</f>
        <v>22.3981024874785</v>
      </c>
      <c r="P14" s="110" t="n">
        <f aca="false">AVERAGE('CPA Companies'!H29:H32)</f>
        <v>1.89390554886928</v>
      </c>
      <c r="Q14" s="110" t="n">
        <f aca="false">AVERAGE('CPA Companies'!H29:H32)</f>
        <v>1.89390554886928</v>
      </c>
      <c r="R14" s="110" t="n">
        <f aca="false">AVERAGE('CPA Companies'!H25:H28)</f>
        <v>0.918331775608498</v>
      </c>
      <c r="T14" s="110" t="n">
        <f aca="false">AVERAGE('CPA Companies'!I25:I28)</f>
        <v>10.1723836460361</v>
      </c>
    </row>
    <row r="15" customFormat="false" ht="13.8" hidden="false" customHeight="false" outlineLevel="0" collapsed="false">
      <c r="D15" s="0" t="s">
        <v>94</v>
      </c>
      <c r="F15" s="0" t="s">
        <v>95</v>
      </c>
      <c r="H15" s="108" t="n">
        <v>36495</v>
      </c>
      <c r="J15" s="109" t="n">
        <f aca="false">'CPA Companies'!D47</f>
        <v>20439.45</v>
      </c>
      <c r="L15" s="110" t="n">
        <f aca="false">AVERAGE('CPA Companies'!J48:J51)</f>
        <v>32.4572818228787</v>
      </c>
      <c r="M15" s="110" t="n">
        <f aca="false">AVERAGE('CPA Companies'!J48:J51)</f>
        <v>32.4572818228787</v>
      </c>
      <c r="N15" s="110" t="n">
        <f aca="false">AVERAGE('CPA Companies'!J44:J47)</f>
        <v>15.6205330676389</v>
      </c>
      <c r="P15" s="110" t="n">
        <f aca="false">AVERAGE('CPA Companies'!H48:H51)</f>
        <v>1.69364961392987</v>
      </c>
      <c r="Q15" s="110" t="n">
        <f aca="false">AVERAGE('CPA Companies'!H48:H51)</f>
        <v>1.69364961392987</v>
      </c>
      <c r="R15" s="110" t="n">
        <f aca="false">AVERAGE('CPA Companies'!H44:H47)</f>
        <v>1.03236442762392</v>
      </c>
      <c r="T15" s="110" t="n">
        <f aca="false">AVERAGE('CPA Companies'!I48:I51)</f>
        <v>12.9626637942492</v>
      </c>
    </row>
    <row r="16" customFormat="false" ht="13.8" hidden="false" customHeight="false" outlineLevel="0" collapsed="false">
      <c r="D16" s="0" t="s">
        <v>96</v>
      </c>
      <c r="F16" s="0" t="s">
        <v>97</v>
      </c>
      <c r="H16" s="108" t="n">
        <v>36799</v>
      </c>
      <c r="J16" s="109" t="n">
        <f aca="false">'CPA Companies'!D120</f>
        <v>20368</v>
      </c>
      <c r="L16" s="110" t="n">
        <f aca="false">AVERAGE('CPA Companies'!J124:J127)</f>
        <v>18.8435782132529</v>
      </c>
      <c r="M16" s="110" t="n">
        <f aca="false">AVERAGE('CPA Companies'!J124:J127)</f>
        <v>18.8435782132529</v>
      </c>
      <c r="N16" s="110" t="n">
        <f aca="false">AVERAGE('CPA Companies'!J120:J123)</f>
        <v>17.9366352900243</v>
      </c>
      <c r="P16" s="110" t="n">
        <f aca="false">AVERAGE('CPA Companies'!H124:H127)</f>
        <v>1.72185356968009</v>
      </c>
      <c r="Q16" s="110" t="n">
        <f aca="false">AVERAGE('CPA Companies'!H124:H127)</f>
        <v>1.72185356968009</v>
      </c>
      <c r="R16" s="110" t="n">
        <f aca="false">AVERAGE('CPA Companies'!H120:H123)</f>
        <v>1.63074592128996</v>
      </c>
      <c r="T16" s="110" t="n">
        <f aca="false">AVERAGE('CPA Companies'!I124:I127)</f>
        <v>10.6001537719377</v>
      </c>
    </row>
    <row r="17" customFormat="false" ht="13.8" hidden="false" customHeight="false" outlineLevel="0" collapsed="false">
      <c r="D17" s="0" t="s">
        <v>98</v>
      </c>
      <c r="F17" s="0" t="s">
        <v>99</v>
      </c>
      <c r="H17" s="108" t="n">
        <v>36495</v>
      </c>
      <c r="J17" s="109" t="n">
        <v>8210</v>
      </c>
      <c r="L17" s="110" t="n">
        <v>15.5</v>
      </c>
      <c r="M17" s="110" t="n">
        <v>15.5</v>
      </c>
      <c r="N17" s="110" t="n">
        <v>15.5</v>
      </c>
      <c r="P17" s="110" t="n">
        <v>1.5</v>
      </c>
      <c r="Q17" s="110" t="n">
        <v>1.5</v>
      </c>
      <c r="R17" s="110" t="n">
        <v>1.5</v>
      </c>
      <c r="T17" s="110" t="n">
        <v>7.9</v>
      </c>
    </row>
    <row r="18" customFormat="false" ht="13.8" hidden="false" customHeight="false" outlineLevel="0" collapsed="false">
      <c r="D18" s="0" t="s">
        <v>100</v>
      </c>
      <c r="F18" s="0" t="s">
        <v>101</v>
      </c>
      <c r="H18" s="108" t="n">
        <v>36830</v>
      </c>
      <c r="J18" s="109" t="n">
        <f aca="false">'CPA Companies'!D66</f>
        <v>797.9</v>
      </c>
      <c r="L18" s="98" t="s">
        <v>14</v>
      </c>
      <c r="M18" s="98" t="s">
        <v>14</v>
      </c>
      <c r="N18" s="98" t="s">
        <v>14</v>
      </c>
      <c r="P18" s="110" t="n">
        <f aca="false">AVERAGE('CPA Companies'!H67:H70)</f>
        <v>53.4837275931287</v>
      </c>
      <c r="Q18" s="110" t="n">
        <f aca="false">AVERAGE('CPA Companies'!H67:H70)</f>
        <v>53.4837275931287</v>
      </c>
      <c r="R18" s="110" t="n">
        <f aca="false">AVERAGE('CPA Companies'!H63:H66)</f>
        <v>18.3140476226903</v>
      </c>
      <c r="T18" s="110" t="n">
        <f aca="false">AVERAGE('CPA Companies'!I49:I52)</f>
        <v>12.5792576552347</v>
      </c>
    </row>
    <row r="19" customFormat="false" ht="13.8" hidden="false" customHeight="false" outlineLevel="0" collapsed="false">
      <c r="D19" s="0" t="s">
        <v>102</v>
      </c>
      <c r="F19" s="0" t="s">
        <v>103</v>
      </c>
      <c r="H19" s="108" t="n">
        <v>36861</v>
      </c>
      <c r="J19" s="109" t="n">
        <f aca="false">'CPA Companies'!D216</f>
        <v>357.22436</v>
      </c>
      <c r="L19" s="110" t="n">
        <f aca="false">AVERAGE('CPA Companies'!J217:J220)</f>
        <v>22.9453844076794</v>
      </c>
      <c r="M19" s="110" t="n">
        <f aca="false">AVERAGE('CPA Companies'!J219:J222)</f>
        <v>22.1657816572426</v>
      </c>
      <c r="N19" s="110" t="n">
        <f aca="false">AVERAGE('CPA Companies'!J215:J218)</f>
        <v>38.7717058805293</v>
      </c>
      <c r="P19" s="111" t="n">
        <f aca="false">AVERAGE('CPA Companies'!H217:H220)</f>
        <v>0.801946022583785</v>
      </c>
      <c r="Q19" s="111" t="n">
        <f aca="false">AVERAGE('CPA Companies'!H219:H222)</f>
        <v>0.526957637517704</v>
      </c>
      <c r="R19" s="111" t="n">
        <f aca="false">AVERAGE('CPA Companies'!H215:H218)</f>
        <v>1.4913319042124</v>
      </c>
      <c r="T19" s="110" t="n">
        <f aca="false">AVERAGE('CPA Companies'!I217:I220)</f>
        <v>9.34643590057084</v>
      </c>
    </row>
    <row r="20" customFormat="false" ht="13.8" hidden="false" customHeight="false" outlineLevel="0" collapsed="false">
      <c r="D20" s="0" t="s">
        <v>104</v>
      </c>
      <c r="F20" s="0" t="s">
        <v>105</v>
      </c>
      <c r="H20" s="108" t="n">
        <v>36495</v>
      </c>
      <c r="J20" s="109" t="n">
        <f aca="false">'CPA Companies'!D82</f>
        <v>1482.516</v>
      </c>
      <c r="L20" s="110" t="n">
        <f aca="false">AVERAGE('CPA Companies'!$J$86:$J$89)</f>
        <v>13.4042115549858</v>
      </c>
      <c r="M20" s="110" t="n">
        <f aca="false">AVERAGE('CPA Companies'!$J$86:$J$89)</f>
        <v>13.4042115549858</v>
      </c>
      <c r="N20" s="110" t="n">
        <f aca="false">AVERAGE('CPA Companies'!$J$82:$J$85)</f>
        <v>22.0870138888889</v>
      </c>
      <c r="P20" s="111" t="n">
        <f aca="false">AVERAGE('CPA Companies'!H86:H89)</f>
        <v>1.98174882592015</v>
      </c>
      <c r="Q20" s="111" t="n">
        <f aca="false">AVERAGE('CPA Companies'!H86:H89)</f>
        <v>1.98174882592015</v>
      </c>
      <c r="R20" s="111" t="n">
        <f aca="false">AVERAGE('CPA Companies'!H82:H85)</f>
        <v>2.89163032212309</v>
      </c>
      <c r="T20" s="110" t="n">
        <f aca="false">AVERAGE('CPA Companies'!I86:I89)</f>
        <v>3.71996277903912</v>
      </c>
    </row>
    <row r="21" customFormat="false" ht="13.8" hidden="false" customHeight="false" outlineLevel="0" collapsed="false">
      <c r="D21" s="0" t="s">
        <v>106</v>
      </c>
      <c r="F21" s="0" t="s">
        <v>107</v>
      </c>
      <c r="H21" s="108" t="n">
        <v>36495</v>
      </c>
      <c r="J21" s="109" t="n">
        <f aca="false">'CPA Companies'!D104</f>
        <v>225.1375</v>
      </c>
      <c r="L21" s="98" t="s">
        <v>14</v>
      </c>
      <c r="M21" s="98" t="s">
        <v>14</v>
      </c>
      <c r="N21" s="98" t="s">
        <v>14</v>
      </c>
      <c r="P21" s="111" t="n">
        <f aca="false">AVERAGE('CPA Companies'!$H$105:$H$108)</f>
        <v>345.15495753437</v>
      </c>
      <c r="Q21" s="111" t="n">
        <f aca="false">AVERAGE('CPA Companies'!$H$105:$H$108)</f>
        <v>345.15495753437</v>
      </c>
      <c r="R21" s="111" t="n">
        <f aca="false">AVERAGE('CPA Companies'!$H$101:$H$104)</f>
        <v>24.8000921614667</v>
      </c>
      <c r="T21" s="98" t="s">
        <v>14</v>
      </c>
    </row>
    <row r="22" customFormat="false" ht="13.8" hidden="false" customHeight="false" outlineLevel="0" collapsed="false">
      <c r="D22" s="0" t="s">
        <v>108</v>
      </c>
      <c r="F22" s="0" t="s">
        <v>109</v>
      </c>
      <c r="H22" s="108" t="n">
        <v>36495</v>
      </c>
      <c r="J22" s="109" t="n">
        <f aca="false">'CPA Companies'!D139</f>
        <v>25239.584</v>
      </c>
      <c r="L22" s="110" t="n">
        <f aca="false">AVERAGE('CPA Companies'!J143:J146)</f>
        <v>29.6574259412877</v>
      </c>
      <c r="M22" s="110" t="n">
        <f aca="false">AVERAGE('CPA Companies'!J143:J146)</f>
        <v>29.6574259412877</v>
      </c>
      <c r="N22" s="110" t="n">
        <f aca="false">AVERAGE('CPA Companies'!J139:J142)</f>
        <v>17.6145142402889</v>
      </c>
      <c r="P22" s="111" t="n">
        <f aca="false">AVERAGE('CPA Companies'!H143:H146)</f>
        <v>7.91125724602006</v>
      </c>
      <c r="Q22" s="111" t="n">
        <f aca="false">AVERAGE('CPA Companies'!H143:H146)</f>
        <v>7.91125724602006</v>
      </c>
      <c r="R22" s="111" t="n">
        <f aca="false">AVERAGE('CPA Companies'!H139:H142)</f>
        <v>6.15355479884062</v>
      </c>
      <c r="T22" s="111" t="n">
        <f aca="false">AVERAGE('CPA Companies'!I143:I146)</f>
        <v>19.2516291729503</v>
      </c>
    </row>
    <row r="23" customFormat="false" ht="14.4" hidden="false" customHeight="false" outlineLevel="0" collapsed="false"/>
    <row r="24" customFormat="false" ht="13.8" hidden="false" customHeight="false" outlineLevel="0" collapsed="false">
      <c r="D24" s="75" t="s">
        <v>110</v>
      </c>
      <c r="E24" s="48"/>
      <c r="F24" s="48"/>
      <c r="G24" s="48"/>
      <c r="H24" s="48"/>
      <c r="I24" s="48"/>
      <c r="J24" s="112" t="n">
        <f aca="false">MAX(J13:J18)</f>
        <v>42457.425</v>
      </c>
      <c r="K24" s="113"/>
      <c r="L24" s="114" t="n">
        <f aca="false">MAX(L13:L23)</f>
        <v>100.556309321886</v>
      </c>
      <c r="M24" s="114" t="n">
        <f aca="false">MAX(M13:M23)</f>
        <v>100.556309321886</v>
      </c>
      <c r="N24" s="114" t="n">
        <f aca="false">MAX(N13:N23)</f>
        <v>66.7771580594567</v>
      </c>
      <c r="O24" s="115"/>
      <c r="P24" s="114" t="n">
        <f aca="false">MAX(P13:P23)</f>
        <v>345.15495753437</v>
      </c>
      <c r="Q24" s="114" t="n">
        <f aca="false">MAX(Q13:Q23)</f>
        <v>345.15495753437</v>
      </c>
      <c r="R24" s="114" t="n">
        <f aca="false">MAX(R13:R23)</f>
        <v>24.8000921614667</v>
      </c>
      <c r="S24" s="115"/>
      <c r="T24" s="116" t="n">
        <f aca="false">MAX(T13:T23)</f>
        <v>166.847159467151</v>
      </c>
    </row>
    <row r="25" customFormat="false" ht="13.8" hidden="false" customHeight="false" outlineLevel="0" collapsed="false">
      <c r="D25" s="117" t="s">
        <v>111</v>
      </c>
      <c r="E25" s="118"/>
      <c r="F25" s="118"/>
      <c r="G25" s="118"/>
      <c r="H25" s="118"/>
      <c r="I25" s="119"/>
      <c r="J25" s="120" t="n">
        <f aca="false">AVERAGE(J13:J18)</f>
        <v>20559.9291666667</v>
      </c>
      <c r="K25" s="121"/>
      <c r="L25" s="122" t="n">
        <f aca="false">AVERAGE(L13:L23)</f>
        <v>35.4693051266346</v>
      </c>
      <c r="M25" s="122" t="n">
        <f aca="false">AVERAGE(M13:M23)</f>
        <v>35.37185478283</v>
      </c>
      <c r="N25" s="122" t="n">
        <f aca="false">AVERAGE(N13:N23)</f>
        <v>27.0882078642882</v>
      </c>
      <c r="O25" s="121"/>
      <c r="P25" s="122" t="n">
        <f aca="false">AVERAGE(P13:P23)</f>
        <v>44.0086732917173</v>
      </c>
      <c r="Q25" s="122" t="n">
        <f aca="false">AVERAGE(Q13:Q23)</f>
        <v>43.9811744532107</v>
      </c>
      <c r="R25" s="122" t="n">
        <f aca="false">AVERAGE(R13:R23)</f>
        <v>7.26886845957006</v>
      </c>
      <c r="S25" s="121"/>
      <c r="T25" s="123" t="n">
        <f aca="false">AVERAGE(T13:T23)</f>
        <v>28.1532940207965</v>
      </c>
    </row>
    <row r="26" customFormat="false" ht="13.8" hidden="false" customHeight="false" outlineLevel="0" collapsed="false">
      <c r="D26" s="124" t="s">
        <v>112</v>
      </c>
      <c r="E26" s="125"/>
      <c r="F26" s="125"/>
      <c r="G26" s="125"/>
      <c r="H26" s="125"/>
      <c r="I26" s="126"/>
      <c r="J26" s="127" t="n">
        <f aca="false">MEDIAN(J13:J18)</f>
        <v>20403.725</v>
      </c>
      <c r="K26" s="128"/>
      <c r="L26" s="129" t="n">
        <f aca="false">MEDIAN(L13:L23)</f>
        <v>26.3014051744836</v>
      </c>
      <c r="M26" s="129" t="n">
        <f aca="false">MEDIAN(M13:M23)</f>
        <v>25.9116037992652</v>
      </c>
      <c r="N26" s="129" t="n">
        <f aca="false">MEDIAN(N13:N23)</f>
        <v>20.0118245894566</v>
      </c>
      <c r="O26" s="128"/>
      <c r="P26" s="129" t="n">
        <f aca="false">MEDIAN(P13:P23)</f>
        <v>1.93782718739472</v>
      </c>
      <c r="Q26" s="129" t="n">
        <f aca="false">MEDIAN(Q13:Q23)</f>
        <v>1.93782718739472</v>
      </c>
      <c r="R26" s="129" t="n">
        <f aca="false">MEDIAN(R13:R23)</f>
        <v>2.26118812170653</v>
      </c>
      <c r="S26" s="128"/>
      <c r="T26" s="130" t="n">
        <f aca="false">MEDIAN(T13:T23)</f>
        <v>10.6001537719377</v>
      </c>
    </row>
    <row r="27" customFormat="false" ht="14.4" hidden="false" customHeight="false" outlineLevel="0" collapsed="false">
      <c r="D27" s="131" t="s">
        <v>113</v>
      </c>
      <c r="E27" s="42"/>
      <c r="F27" s="42"/>
      <c r="G27" s="42"/>
      <c r="H27" s="42"/>
      <c r="I27" s="42"/>
      <c r="J27" s="132" t="n">
        <f aca="false">MIN(J13:J18)</f>
        <v>797.9</v>
      </c>
      <c r="K27" s="133"/>
      <c r="L27" s="134" t="n">
        <f aca="false">MIN(L13:L23)</f>
        <v>13.4042115549858</v>
      </c>
      <c r="M27" s="134" t="n">
        <f aca="false">MIN(M13:M23)</f>
        <v>13.4042115549858</v>
      </c>
      <c r="N27" s="134" t="n">
        <f aca="false">MIN(N13:N23)</f>
        <v>15.5</v>
      </c>
      <c r="O27" s="135"/>
      <c r="P27" s="134" t="n">
        <f aca="false">MIN(P13:P23)</f>
        <v>0.801946022583785</v>
      </c>
      <c r="Q27" s="134" t="n">
        <f aca="false">MIN(Q13:Q23)</f>
        <v>0.526957637517704</v>
      </c>
      <c r="R27" s="134" t="n">
        <f aca="false">MIN(R13:R23)</f>
        <v>0.918331775608498</v>
      </c>
      <c r="S27" s="135"/>
      <c r="T27" s="136" t="n">
        <f aca="false">MIN(T13:T23)</f>
        <v>3.71996277903912</v>
      </c>
    </row>
    <row r="29" customFormat="false" ht="13.8" hidden="false" customHeight="false" outlineLevel="0" collapsed="false">
      <c r="D29" s="137" t="s">
        <v>114</v>
      </c>
      <c r="I29" s="137"/>
      <c r="M29" s="138"/>
      <c r="N29" s="138" t="n">
        <f aca="false">N25</f>
        <v>27.0882078642882</v>
      </c>
      <c r="Q29" s="138"/>
      <c r="R29" s="138" t="n">
        <v>5</v>
      </c>
      <c r="T29" s="138" t="n">
        <f aca="false">T25</f>
        <v>28.1532940207965</v>
      </c>
    </row>
    <row r="34" customFormat="false" ht="13.8" hidden="false" customHeight="false" outlineLevel="0" collapsed="false">
      <c r="D34" s="0" t="s">
        <v>115</v>
      </c>
    </row>
  </sheetData>
  <mergeCells count="3">
    <mergeCell ref="C3:T3"/>
    <mergeCell ref="L9:N9"/>
    <mergeCell ref="P9:R9"/>
  </mergeCells>
  <printOptions headings="false" gridLines="false" gridLinesSet="true" horizontalCentered="true" verticalCentered="false"/>
  <pageMargins left="0.5" right="0.5" top="0.75" bottom="0.75" header="0.511811023622047" footer="0.5"/>
  <pageSetup paperSize="1" scale="85" fitToWidth="1" fitToHeight="1" pageOrder="downThenOver" orientation="landscape" blackAndWhite="false" draft="false" cellComments="none" horizontalDpi="300" verticalDpi="300" copies="1"/>
  <headerFooter differentFirst="false" differentOddEven="false">
    <oddHeader/>
    <oddFooter>&amp;L&amp;"Times New Roman,Bold Italic"IdleAire Technologies Corporation Confidential&amp;R&amp;D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032" topLeftCell="BM1" activePane="bottomLeft" state="split"/>
      <selection pane="topLeft" activeCell="A1" activeCellId="0" sqref="A1"/>
      <selection pane="bottomLeft" activeCell="D11" activeCellId="0" sqref="D11"/>
    </sheetView>
  </sheetViews>
  <sheetFormatPr defaultColWidth="8.96484375" defaultRowHeight="13.8" customHeight="true" zeroHeight="false" outlineLevelRow="0" outlineLevelCol="0"/>
  <cols>
    <col collapsed="false" customWidth="true" hidden="false" outlineLevel="0" max="1" min="1" style="0" width="4.55"/>
    <col collapsed="false" customWidth="true" hidden="false" outlineLevel="0" max="2" min="2" style="0" width="10.88"/>
    <col collapsed="false" customWidth="true" hidden="false" outlineLevel="0" max="3" min="3" style="0" width="2.99"/>
    <col collapsed="false" customWidth="true" hidden="false" outlineLevel="0" max="4" min="4" style="0" width="24.1"/>
    <col collapsed="false" customWidth="true" hidden="false" outlineLevel="0" max="5" min="5" style="0" width="1.55"/>
    <col collapsed="false" customWidth="true" hidden="false" outlineLevel="0" max="8" min="8" style="0" width="19.66"/>
    <col collapsed="false" customWidth="true" hidden="false" outlineLevel="0" max="9" min="9" style="0" width="1.33"/>
    <col collapsed="false" customWidth="true" hidden="false" outlineLevel="0" max="10" min="10" style="0" width="18.33"/>
    <col collapsed="false" customWidth="true" hidden="false" outlineLevel="0" max="11" min="11" style="0" width="0.99"/>
    <col collapsed="false" customWidth="true" hidden="false" outlineLevel="0" max="12" min="12" style="0" width="12.44"/>
    <col collapsed="false" customWidth="true" hidden="false" outlineLevel="0" max="13" min="13" style="0" width="0.99"/>
    <col collapsed="false" customWidth="true" hidden="false" outlineLevel="0" max="14" min="14" style="0" width="9.65"/>
    <col collapsed="false" customWidth="true" hidden="false" outlineLevel="0" max="15" min="15" style="0" width="0.99"/>
    <col collapsed="false" customWidth="true" hidden="false" outlineLevel="0" max="16" min="16" style="0" width="10.88"/>
    <col collapsed="false" customWidth="true" hidden="false" outlineLevel="0" max="17" min="17" style="0" width="0.99"/>
    <col collapsed="false" customWidth="true" hidden="false" outlineLevel="0" max="18" min="18" style="0" width="10.1"/>
  </cols>
  <sheetData>
    <row r="1" customFormat="false" ht="20.4" hidden="false" customHeight="false" outlineLevel="0" collapsed="false">
      <c r="A1" s="101" t="s">
        <v>116</v>
      </c>
    </row>
    <row r="2" customFormat="false" ht="18" hidden="false" customHeight="false" outlineLevel="0" collapsed="false">
      <c r="B2" s="139"/>
    </row>
    <row r="4" customFormat="false" ht="32.25" hidden="false" customHeight="true" outlineLevel="0" collapsed="false">
      <c r="A4" s="102" t="s">
        <v>70</v>
      </c>
      <c r="B4" s="58"/>
      <c r="C4" s="103" t="s">
        <v>117</v>
      </c>
      <c r="D4" s="103"/>
      <c r="E4" s="103"/>
      <c r="F4" s="103"/>
      <c r="G4" s="103"/>
      <c r="H4" s="103"/>
      <c r="I4" s="103"/>
      <c r="J4" s="103"/>
      <c r="K4" s="103"/>
      <c r="L4" s="103"/>
      <c r="M4" s="103"/>
      <c r="N4" s="103"/>
      <c r="O4" s="103"/>
      <c r="P4" s="103"/>
      <c r="Q4" s="103"/>
      <c r="R4" s="103"/>
    </row>
    <row r="5" customFormat="false" ht="13.8" hidden="false" customHeight="false" outlineLevel="0" collapsed="false">
      <c r="B5" s="58"/>
    </row>
    <row r="6" customFormat="false" ht="18.75" hidden="false" customHeight="true" outlineLevel="0" collapsed="false">
      <c r="A6" s="140" t="s">
        <v>72</v>
      </c>
      <c r="B6" s="140"/>
      <c r="C6" s="141" t="s">
        <v>118</v>
      </c>
      <c r="D6" s="141"/>
      <c r="E6" s="141"/>
      <c r="F6" s="141"/>
      <c r="G6" s="141"/>
      <c r="H6" s="141"/>
      <c r="I6" s="141"/>
      <c r="J6" s="141"/>
      <c r="K6" s="141"/>
      <c r="L6" s="141"/>
      <c r="M6" s="141"/>
      <c r="N6" s="141"/>
      <c r="O6" s="141"/>
      <c r="P6" s="141"/>
    </row>
    <row r="7" customFormat="false" ht="18.75" hidden="false" customHeight="true" outlineLevel="0" collapsed="false">
      <c r="A7" s="104" t="s">
        <v>75</v>
      </c>
      <c r="B7" s="58"/>
      <c r="C7" s="142" t="s">
        <v>73</v>
      </c>
      <c r="D7" s="5" t="s">
        <v>119</v>
      </c>
      <c r="E7" s="5"/>
      <c r="F7" s="5"/>
      <c r="G7" s="5"/>
      <c r="H7" s="5"/>
      <c r="I7" s="5"/>
      <c r="J7" s="5"/>
      <c r="K7" s="5"/>
      <c r="L7" s="5"/>
      <c r="M7" s="5"/>
      <c r="N7" s="5"/>
      <c r="O7" s="5"/>
      <c r="P7" s="5"/>
    </row>
    <row r="8" customFormat="false" ht="15.6" hidden="false" customHeight="false" outlineLevel="0" collapsed="false">
      <c r="B8" s="58"/>
      <c r="C8" s="142" t="s">
        <v>73</v>
      </c>
      <c r="D8" s="5" t="s">
        <v>120</v>
      </c>
      <c r="E8" s="5"/>
      <c r="F8" s="5"/>
      <c r="G8" s="5"/>
      <c r="H8" s="5"/>
      <c r="I8" s="5"/>
      <c r="J8" s="5"/>
      <c r="K8" s="5"/>
      <c r="L8" s="5"/>
      <c r="M8" s="5"/>
      <c r="N8" s="5"/>
      <c r="O8" s="5"/>
      <c r="P8" s="5"/>
    </row>
    <row r="9" customFormat="false" ht="15.6" hidden="false" customHeight="false" outlineLevel="0" collapsed="false">
      <c r="B9" s="58"/>
      <c r="C9" s="142" t="s">
        <v>73</v>
      </c>
      <c r="D9" s="5" t="s">
        <v>121</v>
      </c>
      <c r="E9" s="5"/>
      <c r="F9" s="5"/>
      <c r="G9" s="5"/>
      <c r="H9" s="5"/>
      <c r="I9" s="5"/>
      <c r="J9" s="5"/>
      <c r="K9" s="5"/>
      <c r="L9" s="5"/>
      <c r="M9" s="5"/>
      <c r="N9" s="5"/>
      <c r="O9" s="5"/>
      <c r="P9" s="5"/>
    </row>
    <row r="10" customFormat="false" ht="15.6" hidden="false" customHeight="false" outlineLevel="0" collapsed="false">
      <c r="B10" s="58"/>
      <c r="C10" s="142" t="s">
        <v>73</v>
      </c>
      <c r="D10" s="5" t="s">
        <v>122</v>
      </c>
      <c r="E10" s="5"/>
      <c r="F10" s="5"/>
      <c r="G10" s="5"/>
      <c r="H10" s="5"/>
      <c r="I10" s="5"/>
      <c r="J10" s="5"/>
      <c r="K10" s="5"/>
      <c r="L10" s="5"/>
      <c r="M10" s="5"/>
      <c r="N10" s="5"/>
      <c r="O10" s="5"/>
      <c r="P10" s="5"/>
    </row>
    <row r="11" customFormat="false" ht="15.6" hidden="false" customHeight="false" outlineLevel="0" collapsed="false">
      <c r="B11" s="58"/>
      <c r="C11" s="142" t="s">
        <v>73</v>
      </c>
      <c r="D11" s="5" t="s">
        <v>123</v>
      </c>
      <c r="E11" s="5"/>
      <c r="F11" s="5"/>
      <c r="G11" s="5"/>
      <c r="H11" s="5"/>
      <c r="I11" s="5"/>
      <c r="J11" s="5"/>
      <c r="K11" s="5"/>
      <c r="L11" s="5"/>
      <c r="M11" s="5"/>
      <c r="N11" s="5"/>
      <c r="O11" s="5"/>
      <c r="P11" s="5"/>
    </row>
    <row r="12" customFormat="false" ht="15.6" hidden="false" customHeight="false" outlineLevel="0" collapsed="false">
      <c r="B12" s="58"/>
      <c r="C12" s="142" t="s">
        <v>73</v>
      </c>
      <c r="D12" s="5" t="s">
        <v>124</v>
      </c>
      <c r="E12" s="5"/>
      <c r="F12" s="5"/>
      <c r="G12" s="5"/>
      <c r="H12" s="5"/>
      <c r="I12" s="5"/>
      <c r="J12" s="5"/>
      <c r="K12" s="5"/>
      <c r="L12" s="5"/>
      <c r="M12" s="5"/>
      <c r="N12" s="5"/>
      <c r="O12" s="5"/>
      <c r="P12" s="5"/>
    </row>
    <row r="13" customFormat="false" ht="8.25" hidden="false" customHeight="true" outlineLevel="0" collapsed="false">
      <c r="B13" s="58"/>
      <c r="C13" s="142"/>
      <c r="D13" s="5"/>
      <c r="E13" s="5"/>
      <c r="F13" s="5"/>
      <c r="G13" s="5"/>
      <c r="H13" s="5"/>
      <c r="I13" s="5"/>
      <c r="J13" s="5"/>
      <c r="K13" s="5"/>
      <c r="L13" s="5"/>
      <c r="M13" s="5"/>
      <c r="N13" s="5"/>
      <c r="O13" s="5"/>
      <c r="P13" s="5"/>
    </row>
    <row r="15" customFormat="false" ht="13.8" hidden="false" customHeight="false" outlineLevel="0" collapsed="false">
      <c r="B15" s="106" t="s">
        <v>125</v>
      </c>
      <c r="J15" s="106" t="s">
        <v>126</v>
      </c>
      <c r="L15" s="106" t="s">
        <v>127</v>
      </c>
      <c r="N15" s="107" t="s">
        <v>128</v>
      </c>
      <c r="O15" s="107"/>
      <c r="P15" s="107"/>
      <c r="Q15" s="107"/>
      <c r="R15" s="107"/>
    </row>
    <row r="16" customFormat="false" ht="13.8" hidden="false" customHeight="false" outlineLevel="0" collapsed="false">
      <c r="B16" s="107" t="s">
        <v>129</v>
      </c>
      <c r="D16" s="107" t="s">
        <v>130</v>
      </c>
      <c r="F16" s="107" t="s">
        <v>131</v>
      </c>
      <c r="G16" s="107"/>
      <c r="H16" s="107"/>
      <c r="J16" s="107" t="s">
        <v>132</v>
      </c>
      <c r="K16" s="143"/>
      <c r="L16" s="107" t="s">
        <v>133</v>
      </c>
      <c r="M16" s="143"/>
      <c r="N16" s="144" t="s">
        <v>9</v>
      </c>
      <c r="O16" s="143"/>
      <c r="P16" s="144" t="s">
        <v>12</v>
      </c>
      <c r="Q16" s="143"/>
      <c r="R16" s="144" t="s">
        <v>134</v>
      </c>
    </row>
    <row r="17" customFormat="false" ht="6.75" hidden="false" customHeight="true" outlineLevel="0" collapsed="false">
      <c r="B17" s="97"/>
    </row>
    <row r="18" customFormat="false" ht="30" hidden="false" customHeight="true" outlineLevel="0" collapsed="false">
      <c r="B18" s="145" t="n">
        <v>36488</v>
      </c>
      <c r="C18" s="146"/>
      <c r="D18" s="146" t="s">
        <v>135</v>
      </c>
      <c r="F18" s="147" t="s">
        <v>136</v>
      </c>
      <c r="G18" s="147"/>
      <c r="H18" s="147"/>
      <c r="J18" s="146" t="s">
        <v>137</v>
      </c>
      <c r="K18" s="146"/>
      <c r="L18" s="148" t="n">
        <v>288</v>
      </c>
      <c r="M18" s="146"/>
      <c r="N18" s="149" t="n">
        <f aca="false">PNV!H11</f>
        <v>21.2974211485167</v>
      </c>
      <c r="O18" s="146"/>
      <c r="P18" s="150" t="s">
        <v>14</v>
      </c>
      <c r="Q18" s="146"/>
      <c r="R18" s="150" t="s">
        <v>14</v>
      </c>
    </row>
    <row r="19" customFormat="false" ht="6" hidden="false" customHeight="true" outlineLevel="0" collapsed="false">
      <c r="B19" s="97"/>
    </row>
    <row r="20" customFormat="false" ht="13.8" hidden="true" customHeight="false" outlineLevel="0" collapsed="false">
      <c r="B20" s="151"/>
      <c r="D20" s="0" t="s">
        <v>138</v>
      </c>
      <c r="F20" s="0" t="s">
        <v>139</v>
      </c>
      <c r="L20" s="152"/>
      <c r="N20" s="153"/>
      <c r="P20" s="154"/>
      <c r="R20" s="154"/>
    </row>
    <row r="21" customFormat="false" ht="6.75" hidden="true" customHeight="true" outlineLevel="0" collapsed="false">
      <c r="B21" s="97"/>
    </row>
    <row r="22" customFormat="false" ht="13.8" hidden="false" customHeight="false" outlineLevel="0" collapsed="false">
      <c r="B22" s="151" t="n">
        <v>35779</v>
      </c>
      <c r="D22" s="0" t="s">
        <v>140</v>
      </c>
      <c r="F22" s="0" t="s">
        <v>141</v>
      </c>
      <c r="J22" s="0" t="s">
        <v>96</v>
      </c>
      <c r="L22" s="152" t="n">
        <v>160</v>
      </c>
      <c r="N22" s="153" t="n">
        <f aca="false">L22/(4*16.454)</f>
        <v>2.43101981281147</v>
      </c>
      <c r="P22" s="154" t="n">
        <f aca="false">L22/(4*1.818651)</f>
        <v>21.9943243645977</v>
      </c>
      <c r="R22" s="154" t="n">
        <f aca="false">L22/(4*1.2165264)</f>
        <v>32.8805030453922</v>
      </c>
    </row>
    <row r="23" customFormat="false" ht="6" hidden="false" customHeight="true" outlineLevel="0" collapsed="false">
      <c r="B23" s="97"/>
    </row>
    <row r="24" customFormat="false" ht="33" hidden="false" customHeight="true" outlineLevel="0" collapsed="false">
      <c r="A24" s="146"/>
      <c r="B24" s="145" t="n">
        <v>36010</v>
      </c>
      <c r="C24" s="146"/>
      <c r="D24" s="146" t="s">
        <v>142</v>
      </c>
      <c r="E24" s="146"/>
      <c r="F24" s="155" t="s">
        <v>143</v>
      </c>
      <c r="G24" s="155"/>
      <c r="H24" s="155"/>
      <c r="I24" s="156"/>
      <c r="J24" s="146" t="s">
        <v>144</v>
      </c>
      <c r="K24" s="146"/>
      <c r="L24" s="148" t="n">
        <f aca="false">19.91*22.424</f>
        <v>446.46184</v>
      </c>
      <c r="M24" s="146"/>
      <c r="N24" s="149" t="n">
        <f aca="false">L24/(4*19.267)</f>
        <v>5.79308973893185</v>
      </c>
      <c r="O24" s="146"/>
      <c r="P24" s="150" t="n">
        <f aca="false">L24/(4*5.194)</f>
        <v>21.4893068925683</v>
      </c>
      <c r="Q24" s="146"/>
      <c r="R24" s="150" t="n">
        <f aca="false">L24/(4*3.705)</f>
        <v>30.1256302294197</v>
      </c>
    </row>
    <row r="25" customFormat="false" ht="6" hidden="false" customHeight="true" outlineLevel="0" collapsed="false">
      <c r="B25" s="97"/>
    </row>
    <row r="26" customFormat="false" ht="13.8" hidden="false" customHeight="false" outlineLevel="0" collapsed="false">
      <c r="B26" s="151" t="n">
        <v>36875</v>
      </c>
      <c r="D26" s="0" t="s">
        <v>145</v>
      </c>
      <c r="F26" s="0" t="s">
        <v>146</v>
      </c>
      <c r="J26" s="0" t="s">
        <v>147</v>
      </c>
      <c r="L26" s="152" t="n">
        <v>27</v>
      </c>
      <c r="N26" s="153" t="n">
        <f aca="false">L26/0.825</f>
        <v>32.7272727272727</v>
      </c>
      <c r="P26" s="154" t="s">
        <v>14</v>
      </c>
      <c r="R26" s="154" t="s">
        <v>14</v>
      </c>
    </row>
    <row r="27" customFormat="false" ht="6" hidden="false" customHeight="true" outlineLevel="0" collapsed="false">
      <c r="B27" s="97"/>
    </row>
    <row r="28" customFormat="false" ht="13.8" hidden="false" customHeight="false" outlineLevel="0" collapsed="false">
      <c r="B28" s="151" t="n">
        <v>36432</v>
      </c>
      <c r="D28" s="0" t="s">
        <v>148</v>
      </c>
      <c r="F28" s="0" t="s">
        <v>149</v>
      </c>
      <c r="J28" s="0" t="s">
        <v>137</v>
      </c>
      <c r="L28" s="152" t="n">
        <v>1049.5</v>
      </c>
      <c r="N28" s="153" t="n">
        <f aca="false">'CPA Companies'!H110</f>
        <v>9466.26222111742</v>
      </c>
      <c r="P28" s="154" t="s">
        <v>14</v>
      </c>
      <c r="R28" s="154" t="s">
        <v>14</v>
      </c>
    </row>
    <row r="29" customFormat="false" ht="13.8" hidden="false" customHeight="false" outlineLevel="0" collapsed="false">
      <c r="B29" s="157"/>
      <c r="L29" s="152"/>
      <c r="N29" s="153"/>
      <c r="P29" s="154"/>
      <c r="R29" s="154"/>
    </row>
    <row r="30" customFormat="false" ht="14.4" hidden="false" customHeight="false" outlineLevel="0" collapsed="false"/>
    <row r="31" customFormat="false" ht="13.8" hidden="false" customHeight="false" outlineLevel="0" collapsed="false">
      <c r="J31" s="75" t="s">
        <v>150</v>
      </c>
      <c r="K31" s="115"/>
      <c r="L31" s="158" t="n">
        <f aca="false">MAX(L18:L28)</f>
        <v>1049.5</v>
      </c>
      <c r="M31" s="115"/>
      <c r="N31" s="159" t="n">
        <f aca="false">MAX(N18:N28)</f>
        <v>9466.26222111742</v>
      </c>
      <c r="O31" s="115"/>
      <c r="P31" s="160" t="n">
        <f aca="false">MAX(P18:P28)</f>
        <v>21.9943243645977</v>
      </c>
      <c r="Q31" s="115"/>
      <c r="R31" s="161" t="n">
        <f aca="false">MAX(R18:R28)</f>
        <v>32.8805030453922</v>
      </c>
    </row>
    <row r="32" customFormat="false" ht="13.8" hidden="false" customHeight="false" outlineLevel="0" collapsed="false">
      <c r="J32" s="117" t="s">
        <v>111</v>
      </c>
      <c r="K32" s="121"/>
      <c r="L32" s="162" t="n">
        <f aca="false">AVERAGE(L18:L28)</f>
        <v>394.192368</v>
      </c>
      <c r="M32" s="121"/>
      <c r="N32" s="163" t="n">
        <f aca="false">AVERAGE(N18:N28)</f>
        <v>1905.70220490899</v>
      </c>
      <c r="O32" s="121"/>
      <c r="P32" s="164" t="n">
        <f aca="false">AVERAGE(P18:P28)</f>
        <v>21.741815628583</v>
      </c>
      <c r="Q32" s="121"/>
      <c r="R32" s="165" t="n">
        <f aca="false">AVERAGE(R18:R28)</f>
        <v>31.5030666374059</v>
      </c>
    </row>
    <row r="33" customFormat="false" ht="13.8" hidden="false" customHeight="false" outlineLevel="0" collapsed="false">
      <c r="J33" s="124" t="s">
        <v>112</v>
      </c>
      <c r="K33" s="128"/>
      <c r="L33" s="166" t="n">
        <f aca="false">MEDIAN(L18:L28)</f>
        <v>288</v>
      </c>
      <c r="M33" s="128"/>
      <c r="N33" s="167" t="n">
        <f aca="false">MEDIAN(N18:N28)</f>
        <v>21.2974211485167</v>
      </c>
      <c r="O33" s="128"/>
      <c r="P33" s="168" t="n">
        <f aca="false">MEDIAN(P18:P28)</f>
        <v>21.741815628583</v>
      </c>
      <c r="Q33" s="128"/>
      <c r="R33" s="169" t="n">
        <f aca="false">MEDIAN(R18:R28)</f>
        <v>31.5030666374059</v>
      </c>
    </row>
    <row r="34" customFormat="false" ht="14.4" hidden="false" customHeight="false" outlineLevel="0" collapsed="false">
      <c r="J34" s="131" t="s">
        <v>151</v>
      </c>
      <c r="K34" s="135"/>
      <c r="L34" s="170" t="n">
        <f aca="false">MIN(L18:L28)</f>
        <v>27</v>
      </c>
      <c r="M34" s="135"/>
      <c r="N34" s="171" t="n">
        <f aca="false">MIN(N18:N28)</f>
        <v>2.43101981281147</v>
      </c>
      <c r="O34" s="135"/>
      <c r="P34" s="172" t="n">
        <f aca="false">MIN(P18:P28)</f>
        <v>21.4893068925683</v>
      </c>
      <c r="Q34" s="135"/>
      <c r="R34" s="173" t="n">
        <f aca="false">MIN(R18:R28)</f>
        <v>30.1256302294197</v>
      </c>
    </row>
    <row r="36" customFormat="false" ht="13.8" hidden="false" customHeight="false" outlineLevel="0" collapsed="false">
      <c r="J36" s="137" t="s">
        <v>114</v>
      </c>
      <c r="N36" s="138" t="n">
        <f aca="false">MEDIAN(N18:N26)</f>
        <v>13.5452554437243</v>
      </c>
      <c r="O36" s="137"/>
      <c r="P36" s="138" t="n">
        <f aca="false">MEDIAN(P18:P26)</f>
        <v>21.741815628583</v>
      </c>
    </row>
  </sheetData>
  <mergeCells count="7">
    <mergeCell ref="C4:R4"/>
    <mergeCell ref="A6:B6"/>
    <mergeCell ref="C6:P6"/>
    <mergeCell ref="N15:R15"/>
    <mergeCell ref="F16:H16"/>
    <mergeCell ref="F18:H18"/>
    <mergeCell ref="F24:H24"/>
  </mergeCells>
  <printOptions headings="false" gridLines="false" gridLinesSet="true" horizontalCentered="true" verticalCentered="false"/>
  <pageMargins left="0.5" right="0.5" top="0.75" bottom="0.75" header="0.511811023622047" footer="0.5"/>
  <pageSetup paperSize="1" scale="85" fitToWidth="1" fitToHeight="1" pageOrder="downThenOver" orientation="landscape" blackAndWhite="false" draft="false" cellComments="none" horizontalDpi="300" verticalDpi="300" copies="1"/>
  <headerFooter differentFirst="false" differentOddEven="false">
    <oddHeader/>
    <oddFooter>&amp;L&amp;"Times New Roman,Bold Italic"IdleAire Technologies Corporation Confidential&amp;R&amp;D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53"/>
  <sheetViews>
    <sheetView showFormulas="false" showGridLines="true" showRowColHeaders="true" showZeros="true" rightToLeft="false" tabSelected="false" showOutlineSymbols="true" defaultGridColor="true" view="normal" topLeftCell="A14" colorId="64" zoomScale="100" zoomScaleNormal="100" zoomScalePageLayoutView="100" workbookViewId="0">
      <pane xSplit="3708" ySplit="936" topLeftCell="D10" activePane="bottomRight" state="split"/>
      <selection pane="topLeft" activeCell="A14" activeCellId="0" sqref="A14"/>
      <selection pane="topRight" activeCell="D14" activeCellId="0" sqref="D14"/>
      <selection pane="bottomLeft" activeCell="A10" activeCellId="0" sqref="A10"/>
      <selection pane="bottomRight" activeCell="P18" activeCellId="0" sqref="P18"/>
    </sheetView>
  </sheetViews>
  <sheetFormatPr defaultColWidth="8.96484375" defaultRowHeight="13.8" customHeight="true" zeroHeight="false" outlineLevelRow="0" outlineLevelCol="0"/>
  <cols>
    <col collapsed="false" customWidth="true" hidden="false" outlineLevel="0" max="1" min="1" style="0" width="2.88"/>
    <col collapsed="false" customWidth="true" hidden="false" outlineLevel="0" max="2" min="2" style="0" width="26.88"/>
    <col collapsed="false" customWidth="true" hidden="false" outlineLevel="0" max="3" min="3" style="0" width="2.33"/>
    <col collapsed="false" customWidth="true" hidden="false" outlineLevel="0" max="4" min="4" style="0" width="10.99"/>
    <col collapsed="false" customWidth="true" hidden="false" outlineLevel="0" max="5" min="5" style="0" width="1.44"/>
    <col collapsed="false" customWidth="true" hidden="false" outlineLevel="0" max="6" min="6" style="0" width="10.33"/>
    <col collapsed="false" customWidth="true" hidden="false" outlineLevel="0" max="7" min="7" style="0" width="1.44"/>
    <col collapsed="false" customWidth="true" hidden="false" outlineLevel="0" max="8" min="8" style="0" width="11.33"/>
    <col collapsed="false" customWidth="true" hidden="false" outlineLevel="0" max="9" min="9" style="0" width="1.44"/>
    <col collapsed="false" customWidth="true" hidden="false" outlineLevel="0" max="10" min="10" style="0" width="10.44"/>
    <col collapsed="false" customWidth="true" hidden="false" outlineLevel="0" max="11" min="11" style="0" width="1.44"/>
    <col collapsed="false" customWidth="true" hidden="false" outlineLevel="0" max="12" min="12" style="0" width="10.54"/>
    <col collapsed="false" customWidth="true" hidden="false" outlineLevel="0" max="13" min="13" style="0" width="1.44"/>
    <col collapsed="false" customWidth="true" hidden="false" outlineLevel="0" max="14" min="14" style="0" width="11.44"/>
    <col collapsed="false" customWidth="true" hidden="false" outlineLevel="0" max="15" min="15" style="0" width="1.44"/>
    <col collapsed="false" customWidth="true" hidden="false" outlineLevel="0" max="16" min="16" style="0" width="10.99"/>
    <col collapsed="false" customWidth="true" hidden="false" outlineLevel="0" max="17" min="17" style="0" width="1.44"/>
    <col collapsed="false" customWidth="true" hidden="false" outlineLevel="0" max="18" min="18" style="0" width="10.33"/>
  </cols>
  <sheetData>
    <row r="1" customFormat="false" ht="20.4" hidden="false" customHeight="false" outlineLevel="0" collapsed="false">
      <c r="A1" s="101" t="s">
        <v>152</v>
      </c>
    </row>
    <row r="2" customFormat="false" ht="18" hidden="false" customHeight="false" outlineLevel="0" collapsed="false">
      <c r="B2" s="139" t="s">
        <v>153</v>
      </c>
    </row>
    <row r="4" customFormat="false" ht="18" hidden="false" customHeight="true" outlineLevel="0" collapsed="false">
      <c r="A4" s="102" t="s">
        <v>70</v>
      </c>
      <c r="B4" s="58"/>
      <c r="C4" s="105" t="s">
        <v>73</v>
      </c>
      <c r="D4" s="174" t="s">
        <v>154</v>
      </c>
      <c r="E4" s="175"/>
      <c r="F4" s="175"/>
      <c r="G4" s="175"/>
      <c r="H4" s="175"/>
      <c r="I4" s="175"/>
      <c r="J4" s="175"/>
      <c r="K4" s="175"/>
      <c r="L4" s="175"/>
      <c r="M4" s="175"/>
      <c r="N4" s="175"/>
      <c r="O4" s="175"/>
      <c r="P4" s="175"/>
      <c r="Q4" s="175"/>
      <c r="R4" s="175"/>
      <c r="S4" s="175"/>
      <c r="T4" s="175"/>
    </row>
    <row r="5" customFormat="false" ht="13.8" hidden="false" customHeight="false" outlineLevel="0" collapsed="false">
      <c r="A5" s="174"/>
      <c r="B5" s="176"/>
      <c r="C5" s="174"/>
      <c r="D5" s="174"/>
      <c r="E5" s="177" t="s">
        <v>155</v>
      </c>
      <c r="F5" s="174" t="s">
        <v>156</v>
      </c>
      <c r="G5" s="174"/>
      <c r="H5" s="174"/>
      <c r="I5" s="174"/>
      <c r="J5" s="174"/>
      <c r="K5" s="174"/>
      <c r="L5" s="174"/>
      <c r="M5" s="174"/>
      <c r="N5" s="174"/>
      <c r="O5" s="174"/>
      <c r="P5" s="174"/>
      <c r="Q5" s="174"/>
      <c r="R5" s="174"/>
    </row>
    <row r="6" customFormat="false" ht="13.8" hidden="false" customHeight="false" outlineLevel="0" collapsed="false">
      <c r="A6" s="174"/>
      <c r="B6" s="176"/>
      <c r="C6" s="174"/>
      <c r="D6" s="174"/>
      <c r="E6" s="177" t="s">
        <v>155</v>
      </c>
      <c r="F6" s="174" t="s">
        <v>157</v>
      </c>
      <c r="G6" s="174"/>
      <c r="H6" s="174"/>
      <c r="I6" s="174"/>
      <c r="J6" s="174"/>
      <c r="K6" s="174"/>
      <c r="L6" s="174"/>
      <c r="M6" s="174"/>
      <c r="N6" s="174"/>
      <c r="O6" s="174"/>
      <c r="P6" s="174"/>
      <c r="Q6" s="174"/>
      <c r="R6" s="174"/>
    </row>
    <row r="7" customFormat="false" ht="13.8" hidden="false" customHeight="false" outlineLevel="0" collapsed="false">
      <c r="A7" s="174"/>
      <c r="B7" s="176"/>
      <c r="C7" s="174"/>
      <c r="D7" s="174"/>
      <c r="E7" s="177" t="s">
        <v>155</v>
      </c>
      <c r="F7" s="174" t="s">
        <v>158</v>
      </c>
      <c r="G7" s="174"/>
      <c r="H7" s="174"/>
      <c r="I7" s="174"/>
      <c r="J7" s="174"/>
      <c r="K7" s="174"/>
      <c r="L7" s="174"/>
      <c r="M7" s="174"/>
      <c r="N7" s="174"/>
      <c r="O7" s="174"/>
      <c r="P7" s="174"/>
      <c r="Q7" s="174"/>
      <c r="R7" s="174"/>
    </row>
    <row r="8" customFormat="false" ht="13.8" hidden="false" customHeight="false" outlineLevel="0" collapsed="false">
      <c r="A8" s="174"/>
      <c r="B8" s="176"/>
      <c r="C8" s="174"/>
      <c r="D8" s="174"/>
      <c r="E8" s="177" t="s">
        <v>155</v>
      </c>
      <c r="F8" s="174" t="s">
        <v>159</v>
      </c>
      <c r="G8" s="174"/>
      <c r="H8" s="174"/>
      <c r="I8" s="174"/>
      <c r="J8" s="174"/>
      <c r="K8" s="174"/>
      <c r="L8" s="174"/>
      <c r="M8" s="174"/>
      <c r="N8" s="174"/>
      <c r="O8" s="174"/>
      <c r="P8" s="174"/>
      <c r="Q8" s="174"/>
      <c r="R8" s="174"/>
    </row>
    <row r="9" customFormat="false" ht="6" hidden="false" customHeight="true" outlineLevel="0" collapsed="false">
      <c r="C9" s="178"/>
    </row>
    <row r="10" customFormat="false" ht="17.4" hidden="false" customHeight="false" outlineLevel="0" collapsed="false">
      <c r="A10" s="174"/>
      <c r="B10" s="174"/>
      <c r="C10" s="105" t="s">
        <v>73</v>
      </c>
      <c r="D10" s="174" t="s">
        <v>160</v>
      </c>
      <c r="E10" s="174"/>
      <c r="F10" s="174"/>
      <c r="G10" s="174"/>
      <c r="H10" s="174"/>
      <c r="I10" s="174"/>
      <c r="J10" s="174"/>
      <c r="K10" s="174"/>
      <c r="L10" s="174"/>
      <c r="M10" s="174"/>
      <c r="N10" s="174"/>
      <c r="O10" s="174"/>
      <c r="P10" s="174"/>
      <c r="Q10" s="174"/>
      <c r="R10" s="174"/>
    </row>
    <row r="11" customFormat="false" ht="6" hidden="false" customHeight="true" outlineLevel="0" collapsed="false">
      <c r="C11" s="178"/>
    </row>
    <row r="12" customFormat="false" ht="17.4" hidden="false" customHeight="false" outlineLevel="0" collapsed="false">
      <c r="C12" s="105" t="s">
        <v>73</v>
      </c>
      <c r="D12" s="0" t="s">
        <v>161</v>
      </c>
    </row>
    <row r="14" customFormat="false" ht="15.6" hidden="false" customHeight="false" outlineLevel="0" collapsed="false">
      <c r="A14" s="5"/>
      <c r="B14" s="5"/>
      <c r="C14" s="5"/>
      <c r="D14" s="7" t="s">
        <v>162</v>
      </c>
      <c r="E14" s="5"/>
      <c r="F14" s="7"/>
      <c r="G14" s="7"/>
      <c r="H14" s="7"/>
      <c r="I14" s="7"/>
      <c r="J14" s="7"/>
      <c r="K14" s="7"/>
      <c r="L14" s="7"/>
      <c r="M14" s="7"/>
      <c r="N14" s="7"/>
      <c r="O14" s="7"/>
      <c r="P14" s="7"/>
      <c r="Q14" s="5"/>
      <c r="R14" s="179" t="s">
        <v>163</v>
      </c>
    </row>
    <row r="15" customFormat="false" ht="15.6" hidden="false" customHeight="false" outlineLevel="0" collapsed="false">
      <c r="A15" s="180" t="s">
        <v>164</v>
      </c>
      <c r="B15" s="180"/>
      <c r="C15" s="5"/>
      <c r="D15" s="6" t="s">
        <v>165</v>
      </c>
      <c r="E15" s="5"/>
      <c r="F15" s="6" t="n">
        <v>2000</v>
      </c>
      <c r="G15" s="7"/>
      <c r="H15" s="6" t="n">
        <v>2001</v>
      </c>
      <c r="I15" s="7"/>
      <c r="J15" s="6" t="n">
        <v>2002</v>
      </c>
      <c r="K15" s="7"/>
      <c r="L15" s="6" t="n">
        <v>2003</v>
      </c>
      <c r="M15" s="7"/>
      <c r="N15" s="6" t="n">
        <v>2004</v>
      </c>
      <c r="O15" s="7"/>
      <c r="P15" s="6" t="n">
        <v>2005</v>
      </c>
      <c r="Q15" s="5"/>
      <c r="R15" s="181" t="n">
        <v>5</v>
      </c>
    </row>
    <row r="16" customFormat="false" ht="7.5" hidden="false" customHeight="true" outlineLevel="0" collapsed="false">
      <c r="A16" s="2"/>
      <c r="B16" s="2"/>
      <c r="C16" s="2"/>
      <c r="D16" s="2"/>
      <c r="E16" s="2"/>
      <c r="F16" s="2"/>
      <c r="G16" s="2"/>
      <c r="H16" s="2"/>
      <c r="I16" s="2"/>
      <c r="J16" s="2"/>
      <c r="K16" s="2"/>
      <c r="L16" s="2"/>
      <c r="M16" s="2"/>
      <c r="N16" s="2"/>
      <c r="O16" s="2"/>
      <c r="P16" s="2"/>
      <c r="Q16" s="2"/>
      <c r="R16" s="2"/>
    </row>
    <row r="17" customFormat="false" ht="15.6" hidden="false" customHeight="false" outlineLevel="0" collapsed="false">
      <c r="A17" s="182" t="s">
        <v>166</v>
      </c>
      <c r="B17" s="2"/>
      <c r="C17" s="2"/>
      <c r="D17" s="2"/>
      <c r="E17" s="2"/>
      <c r="F17" s="2"/>
      <c r="G17" s="2"/>
      <c r="H17" s="2"/>
      <c r="I17" s="2"/>
      <c r="J17" s="2"/>
      <c r="K17" s="2"/>
      <c r="L17" s="2"/>
      <c r="M17" s="2"/>
      <c r="N17" s="2"/>
      <c r="O17" s="2"/>
      <c r="P17" s="2"/>
      <c r="Q17" s="2"/>
      <c r="R17" s="2"/>
    </row>
    <row r="18" customFormat="false" ht="15.6" hidden="false" customHeight="false" outlineLevel="0" collapsed="false">
      <c r="A18" s="5"/>
      <c r="B18" s="5" t="s">
        <v>9</v>
      </c>
      <c r="C18" s="5"/>
      <c r="D18" s="183" t="n">
        <f aca="false">SUM(F18:P18)</f>
        <v>3572.20080703215</v>
      </c>
      <c r="E18" s="183"/>
      <c r="F18" s="183"/>
      <c r="G18" s="183"/>
      <c r="H18" s="183" t="n">
        <f aca="false">[1]Numbers!G23/1000</f>
        <v>0.6290638575</v>
      </c>
      <c r="I18" s="183"/>
      <c r="J18" s="183" t="n">
        <f aca="false">[1]Numbers!I23/1000</f>
        <v>30.8267198593938</v>
      </c>
      <c r="K18" s="183"/>
      <c r="L18" s="183" t="n">
        <f aca="false">[1]Numbers!K23/1000</f>
        <v>276.495009979438</v>
      </c>
      <c r="M18" s="183"/>
      <c r="N18" s="183" t="n">
        <f aca="false">[1]Numbers!M23/1000</f>
        <v>984.524716257991</v>
      </c>
      <c r="O18" s="183"/>
      <c r="P18" s="183" t="n">
        <f aca="false">[1]Numbers!O23/1000</f>
        <v>2279.72529707782</v>
      </c>
      <c r="Q18" s="5"/>
      <c r="R18" s="5"/>
    </row>
    <row r="19" customFormat="false" ht="13.8" hidden="false" customHeight="false" outlineLevel="0" collapsed="false">
      <c r="A19" s="2"/>
      <c r="B19" s="184" t="s">
        <v>10</v>
      </c>
      <c r="C19" s="2"/>
      <c r="D19" s="2"/>
      <c r="E19" s="2"/>
      <c r="F19" s="2"/>
      <c r="G19" s="2"/>
      <c r="H19" s="2"/>
      <c r="I19" s="2"/>
      <c r="J19" s="185" t="n">
        <f aca="false">(J18-H18)/H18</f>
        <v>48.0041185673964</v>
      </c>
      <c r="K19" s="2"/>
      <c r="L19" s="185" t="n">
        <f aca="false">(L18-J18)/J18</f>
        <v>7.96932956995042</v>
      </c>
      <c r="M19" s="2"/>
      <c r="N19" s="185" t="n">
        <f aca="false">(N18-L18)/L18</f>
        <v>2.56073231242476</v>
      </c>
      <c r="O19" s="2"/>
      <c r="P19" s="185" t="n">
        <f aca="false">(P18-N18)/N18</f>
        <v>1.31555923323354</v>
      </c>
      <c r="Q19" s="2"/>
      <c r="R19" s="2"/>
    </row>
    <row r="20" customFormat="false" ht="5.25" hidden="false" customHeight="true" outlineLevel="0" collapsed="false">
      <c r="A20" s="2"/>
      <c r="B20" s="2"/>
      <c r="C20" s="2"/>
      <c r="D20" s="2"/>
      <c r="E20" s="2"/>
      <c r="F20" s="2"/>
      <c r="G20" s="2"/>
      <c r="H20" s="2"/>
      <c r="I20" s="2"/>
      <c r="J20" s="2"/>
      <c r="K20" s="2"/>
      <c r="L20" s="2"/>
      <c r="M20" s="2"/>
      <c r="N20" s="2"/>
      <c r="O20" s="2"/>
      <c r="P20" s="2"/>
      <c r="Q20" s="2"/>
      <c r="R20" s="2"/>
    </row>
    <row r="21" customFormat="false" ht="15.6" hidden="false" customHeight="false" outlineLevel="0" collapsed="false">
      <c r="A21" s="5"/>
      <c r="B21" s="5" t="s">
        <v>167</v>
      </c>
      <c r="C21" s="5"/>
      <c r="D21" s="186" t="n">
        <f aca="false">SUM(F21:P21)</f>
        <v>72.07897409202</v>
      </c>
      <c r="E21" s="5"/>
      <c r="F21" s="187" t="n">
        <f aca="false">[1]Numbers!E38/1000</f>
        <v>0</v>
      </c>
      <c r="G21" s="187"/>
      <c r="H21" s="187" t="n">
        <f aca="false">[1]Numbers!G41/1000</f>
        <v>0.00068778801</v>
      </c>
      <c r="I21" s="187"/>
      <c r="J21" s="187" t="n">
        <f aca="false">[1]Numbers!I41/1000</f>
        <v>0.78488594121</v>
      </c>
      <c r="K21" s="187"/>
      <c r="L21" s="187" t="n">
        <f aca="false">[1]Numbers!K41/1000</f>
        <v>5.9511163068</v>
      </c>
      <c r="M21" s="187"/>
      <c r="N21" s="187" t="n">
        <f aca="false">[1]Numbers!M41/1000</f>
        <v>19.9702352808</v>
      </c>
      <c r="O21" s="187"/>
      <c r="P21" s="187" t="n">
        <f aca="false">[1]Numbers!O41/1000</f>
        <v>45.3720487752</v>
      </c>
      <c r="Q21" s="5"/>
      <c r="R21" s="5"/>
    </row>
    <row r="22" customFormat="false" ht="13.8" hidden="false" customHeight="false" outlineLevel="0" collapsed="false">
      <c r="A22" s="2"/>
      <c r="B22" s="184" t="s">
        <v>168</v>
      </c>
      <c r="C22" s="2"/>
      <c r="D22" s="185" t="n">
        <f aca="false">D21/D18</f>
        <v>0.0201777497922645</v>
      </c>
      <c r="E22" s="2"/>
      <c r="F22" s="2"/>
      <c r="G22" s="2"/>
      <c r="H22" s="185" t="n">
        <f aca="false">H21/H18</f>
        <v>0.00109335165547959</v>
      </c>
      <c r="I22" s="2"/>
      <c r="J22" s="185" t="n">
        <f aca="false">J21/J18</f>
        <v>0.0254612214595003</v>
      </c>
      <c r="K22" s="2"/>
      <c r="L22" s="185" t="n">
        <f aca="false">L21/L18</f>
        <v>0.0215234130527077</v>
      </c>
      <c r="M22" s="2"/>
      <c r="N22" s="185" t="n">
        <f aca="false">N21/N18</f>
        <v>0.0202841380729408</v>
      </c>
      <c r="O22" s="2"/>
      <c r="P22" s="185" t="n">
        <f aca="false">P21/P18</f>
        <v>0.0199024193105013</v>
      </c>
      <c r="Q22" s="2"/>
      <c r="R22" s="2"/>
    </row>
    <row r="23" customFormat="false" ht="6" hidden="false" customHeight="true" outlineLevel="0" collapsed="false">
      <c r="A23" s="2"/>
      <c r="B23" s="2"/>
      <c r="C23" s="2"/>
      <c r="D23" s="2"/>
      <c r="E23" s="2"/>
      <c r="F23" s="2"/>
      <c r="G23" s="2"/>
      <c r="H23" s="2"/>
      <c r="I23" s="2"/>
      <c r="J23" s="2"/>
      <c r="K23" s="2"/>
      <c r="L23" s="2"/>
      <c r="M23" s="2"/>
      <c r="N23" s="2"/>
      <c r="O23" s="2"/>
      <c r="P23" s="2"/>
      <c r="Q23" s="2"/>
      <c r="R23" s="2"/>
    </row>
    <row r="24" customFormat="false" ht="15.6" hidden="false" customHeight="false" outlineLevel="0" collapsed="false">
      <c r="A24" s="5"/>
      <c r="B24" s="5" t="s">
        <v>169</v>
      </c>
      <c r="C24" s="5"/>
      <c r="D24" s="186" t="n">
        <f aca="false">SUM(F24:P24)</f>
        <v>2.71165079</v>
      </c>
      <c r="E24" s="5"/>
      <c r="F24" s="186" t="n">
        <f aca="false">[1]Numbers!E56/1000</f>
        <v>0.00275116</v>
      </c>
      <c r="G24" s="5"/>
      <c r="H24" s="186" t="n">
        <f aca="false">[1]Numbers!G56/1000</f>
        <v>0.01836563</v>
      </c>
      <c r="I24" s="5"/>
      <c r="J24" s="186" t="n">
        <f aca="false">[1]Numbers!I56/1000</f>
        <v>0.068574</v>
      </c>
      <c r="K24" s="5"/>
      <c r="L24" s="186" t="n">
        <f aca="false">[1]Numbers!K56/1000</f>
        <v>0.25264</v>
      </c>
      <c r="M24" s="5"/>
      <c r="N24" s="186" t="n">
        <f aca="false">[1]Numbers!M56/1000</f>
        <v>0.745</v>
      </c>
      <c r="O24" s="5"/>
      <c r="P24" s="186" t="n">
        <f aca="false">[1]Numbers!O56/1000</f>
        <v>1.62432</v>
      </c>
      <c r="Q24" s="5"/>
      <c r="R24" s="5"/>
    </row>
    <row r="25" customFormat="false" ht="13.8" hidden="false" customHeight="false" outlineLevel="0" collapsed="false">
      <c r="A25" s="2"/>
      <c r="B25" s="184" t="s">
        <v>168</v>
      </c>
      <c r="C25" s="2"/>
      <c r="D25" s="185" t="n">
        <f aca="false">D24/D18</f>
        <v>0.000759098084481116</v>
      </c>
      <c r="E25" s="2"/>
      <c r="F25" s="2"/>
      <c r="G25" s="2"/>
      <c r="H25" s="185" t="n">
        <f aca="false">H24/H18</f>
        <v>0.029195175944439</v>
      </c>
      <c r="I25" s="2"/>
      <c r="J25" s="185" t="n">
        <f aca="false">J24/J18</f>
        <v>0.0022244987566883</v>
      </c>
      <c r="K25" s="2"/>
      <c r="L25" s="185" t="n">
        <f aca="false">L24/L18</f>
        <v>0.00091372354249282</v>
      </c>
      <c r="M25" s="2"/>
      <c r="N25" s="185" t="n">
        <f aca="false">N24/N18</f>
        <v>0.00075671030670679</v>
      </c>
      <c r="O25" s="2"/>
      <c r="P25" s="185" t="n">
        <f aca="false">P24/P18</f>
        <v>0.000712506898125871</v>
      </c>
      <c r="Q25" s="2"/>
      <c r="R25" s="2"/>
    </row>
    <row r="26" customFormat="false" ht="6.75" hidden="false" customHeight="true" outlineLevel="0" collapsed="false">
      <c r="A26" s="2"/>
      <c r="B26" s="2"/>
      <c r="C26" s="2"/>
      <c r="D26" s="2"/>
      <c r="E26" s="2"/>
      <c r="F26" s="2"/>
      <c r="G26" s="2"/>
      <c r="H26" s="2"/>
      <c r="I26" s="2"/>
      <c r="J26" s="2"/>
      <c r="K26" s="2"/>
      <c r="L26" s="2"/>
      <c r="M26" s="2"/>
      <c r="N26" s="2"/>
      <c r="O26" s="2"/>
      <c r="P26" s="2"/>
      <c r="Q26" s="2"/>
      <c r="R26" s="2"/>
    </row>
    <row r="27" customFormat="false" ht="15.6" hidden="false" customHeight="false" outlineLevel="0" collapsed="false">
      <c r="A27" s="5"/>
      <c r="B27" s="5" t="s">
        <v>170</v>
      </c>
      <c r="C27" s="5"/>
      <c r="D27" s="186" t="n">
        <f aca="false">SUM(F27:P27)</f>
        <v>549.641849785217</v>
      </c>
      <c r="E27" s="5"/>
      <c r="F27" s="5"/>
      <c r="G27" s="5"/>
      <c r="H27" s="186" t="n">
        <f aca="false">[1]Numbers!G61/1000</f>
        <v>0.333766579130435</v>
      </c>
      <c r="I27" s="5"/>
      <c r="J27" s="186" t="n">
        <f aca="false">[1]Numbers!I61/1000</f>
        <v>7.76847664565217</v>
      </c>
      <c r="K27" s="5"/>
      <c r="L27" s="186" t="n">
        <f aca="false">[1]Numbers!K61/1000</f>
        <v>49.0776609608696</v>
      </c>
      <c r="M27" s="5"/>
      <c r="N27" s="186" t="n">
        <f aca="false">[1]Numbers!M61/1000</f>
        <v>154.924706243478</v>
      </c>
      <c r="O27" s="5"/>
      <c r="P27" s="186" t="n">
        <f aca="false">[1]Numbers!O61/1000</f>
        <v>337.537239356087</v>
      </c>
      <c r="Q27" s="5"/>
      <c r="R27" s="5"/>
    </row>
    <row r="28" customFormat="false" ht="13.8" hidden="false" customHeight="false" outlineLevel="0" collapsed="false">
      <c r="A28" s="2"/>
      <c r="B28" s="184" t="s">
        <v>168</v>
      </c>
      <c r="C28" s="2"/>
      <c r="D28" s="185" t="n">
        <f aca="false">D27/D18</f>
        <v>0.153866448018041</v>
      </c>
      <c r="E28" s="2"/>
      <c r="F28" s="2"/>
      <c r="G28" s="2"/>
      <c r="H28" s="185" t="n">
        <f aca="false">H27/H18</f>
        <v>0.530576626126442</v>
      </c>
      <c r="I28" s="2"/>
      <c r="J28" s="185" t="n">
        <f aca="false">J27/J18</f>
        <v>0.252004646653475</v>
      </c>
      <c r="K28" s="2"/>
      <c r="L28" s="185" t="n">
        <f aca="false">L27/L18</f>
        <v>0.177499264686619</v>
      </c>
      <c r="M28" s="2"/>
      <c r="N28" s="185" t="n">
        <f aca="false">N27/N18</f>
        <v>0.157359895272432</v>
      </c>
      <c r="O28" s="2"/>
      <c r="P28" s="185" t="n">
        <f aca="false">P27/P18</f>
        <v>0.14806048772137</v>
      </c>
      <c r="Q28" s="2"/>
      <c r="R28" s="2"/>
    </row>
    <row r="29" customFormat="false" ht="4.5" hidden="false" customHeight="true" outlineLevel="0" collapsed="false">
      <c r="A29" s="2"/>
      <c r="B29" s="2"/>
      <c r="C29" s="2"/>
      <c r="D29" s="2"/>
      <c r="E29" s="2"/>
      <c r="F29" s="2"/>
      <c r="G29" s="2"/>
      <c r="H29" s="2"/>
      <c r="I29" s="2"/>
      <c r="J29" s="2"/>
      <c r="K29" s="2"/>
      <c r="L29" s="2"/>
      <c r="M29" s="2"/>
      <c r="N29" s="2"/>
      <c r="O29" s="2"/>
      <c r="P29" s="2"/>
      <c r="Q29" s="2"/>
      <c r="R29" s="2"/>
    </row>
    <row r="30" customFormat="false" ht="15.6" hidden="false" customHeight="false" outlineLevel="0" collapsed="false">
      <c r="A30" s="5"/>
      <c r="B30" s="5" t="s">
        <v>171</v>
      </c>
      <c r="C30" s="5"/>
      <c r="D30" s="186" t="n">
        <f aca="false">SUM(F30:P30)</f>
        <v>1486.79988634455</v>
      </c>
      <c r="E30" s="5"/>
      <c r="F30" s="5"/>
      <c r="G30" s="5"/>
      <c r="H30" s="186" t="n">
        <f aca="false">SUM([1]Numbers!G63:G64)/1000</f>
        <v>-5.90273135864656</v>
      </c>
      <c r="I30" s="5"/>
      <c r="J30" s="186" t="n">
        <f aca="false">SUM([1]Numbers!I63:I64)/1000</f>
        <v>-4.79413414706514</v>
      </c>
      <c r="K30" s="5"/>
      <c r="L30" s="186" t="n">
        <f aca="false">SUM([1]Numbers!K63:K64)/1000</f>
        <v>98.6468337888859</v>
      </c>
      <c r="M30" s="5"/>
      <c r="N30" s="186" t="n">
        <f aca="false">SUM([1]Numbers!M63:M64)/1000</f>
        <v>414.160348274847</v>
      </c>
      <c r="O30" s="5"/>
      <c r="P30" s="186" t="n">
        <f aca="false">SUM([1]Numbers!O63:O64)/1000</f>
        <v>984.689569786526</v>
      </c>
      <c r="Q30" s="5"/>
      <c r="R30" s="5"/>
    </row>
    <row r="31" customFormat="false" ht="13.8" hidden="false" customHeight="false" outlineLevel="0" collapsed="false">
      <c r="A31" s="2"/>
      <c r="B31" s="184" t="s">
        <v>168</v>
      </c>
      <c r="C31" s="2"/>
      <c r="D31" s="185" t="n">
        <f aca="false">D30/D18</f>
        <v>0.416213971907086</v>
      </c>
      <c r="E31" s="2"/>
      <c r="F31" s="2"/>
      <c r="G31" s="2"/>
      <c r="H31" s="185" t="n">
        <f aca="false">H30/H18</f>
        <v>-9.3833579663994</v>
      </c>
      <c r="I31" s="2"/>
      <c r="J31" s="185" t="n">
        <f aca="false">J30/J18</f>
        <v>-0.155518789184579</v>
      </c>
      <c r="K31" s="2"/>
      <c r="L31" s="185" t="n">
        <f aca="false">L30/L18</f>
        <v>0.356776181227364</v>
      </c>
      <c r="M31" s="2"/>
      <c r="N31" s="185" t="n">
        <f aca="false">N30/N18</f>
        <v>0.420670341166242</v>
      </c>
      <c r="O31" s="2"/>
      <c r="P31" s="185" t="n">
        <f aca="false">P30/P18</f>
        <v>0.43193343121152</v>
      </c>
      <c r="Q31" s="2"/>
      <c r="R31" s="2"/>
    </row>
    <row r="32" customFormat="false" ht="5.25" hidden="false" customHeight="true" outlineLevel="0" collapsed="false">
      <c r="A32" s="2"/>
      <c r="B32" s="2"/>
      <c r="C32" s="2"/>
      <c r="D32" s="2"/>
      <c r="E32" s="2"/>
      <c r="F32" s="2"/>
      <c r="G32" s="2"/>
      <c r="H32" s="2"/>
      <c r="I32" s="2"/>
      <c r="J32" s="2"/>
      <c r="K32" s="2"/>
      <c r="L32" s="2"/>
      <c r="M32" s="2"/>
      <c r="N32" s="2"/>
      <c r="O32" s="2"/>
      <c r="P32" s="2"/>
      <c r="Q32" s="2"/>
      <c r="R32" s="2"/>
    </row>
    <row r="33" customFormat="false" ht="15.6" hidden="true" customHeight="false" outlineLevel="0" collapsed="false">
      <c r="A33" s="5"/>
      <c r="B33" s="5" t="s">
        <v>172</v>
      </c>
      <c r="C33" s="5"/>
      <c r="D33" s="186"/>
      <c r="E33" s="5"/>
      <c r="F33" s="187"/>
      <c r="G33" s="5"/>
      <c r="H33" s="187"/>
      <c r="I33" s="5"/>
      <c r="J33" s="187"/>
      <c r="K33" s="5"/>
      <c r="L33" s="187"/>
      <c r="M33" s="5"/>
      <c r="N33" s="187"/>
      <c r="O33" s="5"/>
      <c r="P33" s="187"/>
      <c r="Q33" s="5"/>
      <c r="R33" s="5"/>
    </row>
    <row r="34" customFormat="false" ht="15.6" hidden="true" customHeight="false" outlineLevel="0" collapsed="false">
      <c r="A34" s="5"/>
      <c r="B34" s="5" t="s">
        <v>173</v>
      </c>
      <c r="C34" s="5"/>
      <c r="D34" s="186"/>
      <c r="E34" s="5"/>
      <c r="F34" s="187"/>
      <c r="G34" s="5"/>
      <c r="H34" s="187"/>
      <c r="I34" s="5"/>
      <c r="J34" s="187"/>
      <c r="K34" s="5"/>
      <c r="L34" s="187"/>
      <c r="M34" s="5"/>
      <c r="N34" s="187"/>
      <c r="O34" s="5"/>
      <c r="P34" s="187"/>
      <c r="Q34" s="5"/>
      <c r="R34" s="5"/>
    </row>
    <row r="35" customFormat="false" ht="5.25" hidden="false" customHeight="true" outlineLevel="0" collapsed="false">
      <c r="A35" s="2"/>
      <c r="B35" s="2"/>
      <c r="C35" s="2"/>
      <c r="D35" s="2"/>
      <c r="E35" s="2"/>
      <c r="F35" s="2"/>
      <c r="G35" s="2"/>
      <c r="H35" s="2"/>
      <c r="I35" s="2"/>
      <c r="J35" s="2"/>
      <c r="K35" s="2"/>
      <c r="L35" s="2"/>
      <c r="M35" s="2"/>
      <c r="N35" s="2"/>
      <c r="O35" s="2"/>
      <c r="P35" s="2"/>
      <c r="Q35" s="2"/>
      <c r="R35" s="2"/>
    </row>
    <row r="36" customFormat="false" ht="15.6" hidden="false" customHeight="false" outlineLevel="0" collapsed="false">
      <c r="A36" s="182" t="s">
        <v>174</v>
      </c>
      <c r="B36" s="5"/>
      <c r="C36" s="5"/>
      <c r="D36" s="183" t="n">
        <f aca="false">SUM(F36:P36)</f>
        <v>1460.96844602036</v>
      </c>
      <c r="E36" s="5"/>
      <c r="F36" s="183" t="n">
        <f aca="false">F18-(F21+F24+F27+F30+F33+F34)</f>
        <v>-0.00275116</v>
      </c>
      <c r="G36" s="5"/>
      <c r="H36" s="183" t="n">
        <f aca="false">H18-(H21+H24+H27+H30+H33+H34)</f>
        <v>6.17897521900613</v>
      </c>
      <c r="I36" s="5"/>
      <c r="J36" s="183" t="n">
        <f aca="false">J18-(J21+J24+J27+J30+J33+J34)</f>
        <v>26.9989174195967</v>
      </c>
      <c r="K36" s="5"/>
      <c r="L36" s="183" t="n">
        <f aca="false">L18-(L21+L24+L27+L30+L33+L34)</f>
        <v>122.566758922883</v>
      </c>
      <c r="M36" s="5"/>
      <c r="N36" s="183" t="n">
        <f aca="false">N18-(N21+N24+N27+N30+N33+N34)</f>
        <v>394.724426458866</v>
      </c>
      <c r="O36" s="5"/>
      <c r="P36" s="183" t="n">
        <f aca="false">P18-(P21+P24+P27+P30+P33+P34)</f>
        <v>910.502119160011</v>
      </c>
      <c r="Q36" s="5"/>
      <c r="R36" s="183" t="n">
        <f aca="false">$R$15*P36</f>
        <v>4552.51059580005</v>
      </c>
    </row>
    <row r="37" customFormat="false" ht="6.75" hidden="false" customHeight="true" outlineLevel="0" collapsed="false">
      <c r="A37" s="2"/>
      <c r="B37" s="2"/>
      <c r="C37" s="2"/>
      <c r="D37" s="2"/>
      <c r="E37" s="2"/>
      <c r="F37" s="2"/>
      <c r="G37" s="2"/>
      <c r="H37" s="2"/>
      <c r="I37" s="2"/>
      <c r="J37" s="2"/>
      <c r="K37" s="2"/>
      <c r="L37" s="2"/>
      <c r="M37" s="2"/>
      <c r="N37" s="2"/>
      <c r="O37" s="2"/>
      <c r="P37" s="2"/>
      <c r="Q37" s="2"/>
      <c r="R37" s="2"/>
    </row>
    <row r="38" customFormat="false" ht="15.6" hidden="true" customHeight="false" outlineLevel="0" collapsed="false">
      <c r="A38" s="5"/>
      <c r="B38" s="5" t="s">
        <v>175</v>
      </c>
      <c r="C38" s="5"/>
      <c r="D38" s="183" t="n">
        <f aca="false">SUM(F38:P38)</f>
        <v>1095.72839788527</v>
      </c>
      <c r="E38" s="5"/>
      <c r="F38" s="5"/>
      <c r="G38" s="5"/>
      <c r="H38" s="183" t="n">
        <f aca="false">0.75*H36</f>
        <v>4.6342314142546</v>
      </c>
      <c r="I38" s="5"/>
      <c r="J38" s="183" t="n">
        <f aca="false">0.75*J36</f>
        <v>20.2491880646975</v>
      </c>
      <c r="K38" s="5"/>
      <c r="L38" s="183" t="n">
        <f aca="false">0.75*L36</f>
        <v>91.9250691921621</v>
      </c>
      <c r="M38" s="5"/>
      <c r="N38" s="183" t="n">
        <f aca="false">0.75*N36</f>
        <v>296.04331984415</v>
      </c>
      <c r="O38" s="5"/>
      <c r="P38" s="183" t="n">
        <f aca="false">0.75*P36</f>
        <v>682.876589370008</v>
      </c>
      <c r="Q38" s="5"/>
      <c r="R38" s="183" t="n">
        <f aca="false">$R$15*P38</f>
        <v>3414.38294685004</v>
      </c>
    </row>
    <row r="39" customFormat="false" ht="5.25" hidden="true" customHeight="true" outlineLevel="0" collapsed="false">
      <c r="A39" s="2"/>
      <c r="B39" s="2"/>
      <c r="C39" s="2"/>
      <c r="D39" s="2"/>
      <c r="E39" s="2"/>
      <c r="F39" s="2"/>
      <c r="G39" s="2"/>
      <c r="H39" s="2"/>
      <c r="I39" s="2"/>
      <c r="J39" s="2"/>
      <c r="K39" s="2"/>
      <c r="L39" s="2"/>
      <c r="M39" s="2"/>
      <c r="N39" s="2"/>
      <c r="O39" s="2"/>
      <c r="P39" s="2"/>
      <c r="Q39" s="2"/>
      <c r="R39" s="2"/>
    </row>
    <row r="40" customFormat="false" ht="15.6" hidden="true" customHeight="false" outlineLevel="0" collapsed="false">
      <c r="A40" s="5"/>
      <c r="B40" s="5" t="s">
        <v>176</v>
      </c>
      <c r="C40" s="5"/>
      <c r="D40" s="183" t="n">
        <f aca="false">SUM(F40:P40)</f>
        <v>730.485598590181</v>
      </c>
      <c r="E40" s="5"/>
      <c r="F40" s="5"/>
      <c r="G40" s="5"/>
      <c r="H40" s="183" t="n">
        <f aca="false">H36*0.5</f>
        <v>3.08948760950306</v>
      </c>
      <c r="I40" s="5"/>
      <c r="J40" s="183" t="n">
        <f aca="false">J36*0.5</f>
        <v>13.4994587097984</v>
      </c>
      <c r="K40" s="5"/>
      <c r="L40" s="183" t="n">
        <f aca="false">L36*0.5</f>
        <v>61.2833794614414</v>
      </c>
      <c r="M40" s="5"/>
      <c r="N40" s="183" t="n">
        <f aca="false">N36*0.5</f>
        <v>197.362213229433</v>
      </c>
      <c r="O40" s="5"/>
      <c r="P40" s="183" t="n">
        <f aca="false">P36*0.5</f>
        <v>455.251059580005</v>
      </c>
      <c r="Q40" s="5"/>
      <c r="R40" s="183" t="n">
        <f aca="false">$R$15*P40</f>
        <v>2276.25529790003</v>
      </c>
    </row>
    <row r="41" customFormat="false" ht="13.8" hidden="false" customHeight="false" outlineLevel="0" collapsed="false">
      <c r="A41" s="2"/>
      <c r="B41" s="2"/>
      <c r="C41" s="2"/>
      <c r="D41" s="2"/>
      <c r="E41" s="2"/>
      <c r="F41" s="2"/>
      <c r="G41" s="2"/>
      <c r="H41" s="2"/>
      <c r="I41" s="2"/>
      <c r="J41" s="2"/>
      <c r="K41" s="2"/>
      <c r="L41" s="2"/>
      <c r="M41" s="2"/>
      <c r="N41" s="2"/>
      <c r="O41" s="2"/>
      <c r="P41" s="2"/>
      <c r="Q41" s="2"/>
      <c r="R41" s="2"/>
    </row>
    <row r="42" customFormat="false" ht="13.8" hidden="false" customHeight="false" outlineLevel="0" collapsed="false">
      <c r="B42" s="2"/>
      <c r="C42" s="2"/>
      <c r="D42" s="2"/>
      <c r="E42" s="2"/>
      <c r="F42" s="2"/>
      <c r="G42" s="2"/>
      <c r="H42" s="2"/>
      <c r="I42" s="2"/>
      <c r="J42" s="2"/>
      <c r="K42" s="2"/>
      <c r="L42" s="2"/>
      <c r="M42" s="2"/>
      <c r="N42" s="2"/>
      <c r="O42" s="2"/>
      <c r="P42" s="2"/>
      <c r="Q42" s="2"/>
      <c r="R42" s="2"/>
    </row>
    <row r="43" customFormat="false" ht="15.6" hidden="false" customHeight="false" outlineLevel="0" collapsed="false">
      <c r="A43" s="182" t="s">
        <v>177</v>
      </c>
      <c r="B43" s="2"/>
      <c r="C43" s="2"/>
      <c r="D43" s="188" t="s">
        <v>178</v>
      </c>
      <c r="E43" s="2"/>
      <c r="F43" s="6" t="n">
        <v>2000</v>
      </c>
      <c r="G43" s="7"/>
      <c r="H43" s="6" t="n">
        <v>2001</v>
      </c>
      <c r="I43" s="7"/>
      <c r="J43" s="6" t="n">
        <v>2002</v>
      </c>
      <c r="K43" s="7"/>
      <c r="L43" s="6" t="n">
        <v>2003</v>
      </c>
      <c r="M43" s="7"/>
      <c r="N43" s="6" t="n">
        <v>2004</v>
      </c>
      <c r="O43" s="2"/>
      <c r="P43" s="2"/>
      <c r="Q43" s="2"/>
      <c r="R43" s="2"/>
    </row>
    <row r="44" customFormat="false" ht="15.6" hidden="false" customHeight="false" outlineLevel="0" collapsed="false">
      <c r="A44" s="5"/>
      <c r="B44" s="5"/>
      <c r="C44" s="5"/>
      <c r="D44" s="189" t="n">
        <v>0.2</v>
      </c>
      <c r="E44" s="5"/>
      <c r="F44" s="183" t="n">
        <f aca="false">NPV($D$44,$H$36,$J$36,$L$36,$N$36,$P$36,$R$36)</f>
        <v>2175.72227282189</v>
      </c>
      <c r="G44" s="183"/>
      <c r="H44" s="183" t="n">
        <f aca="false">NPV($D$44,$J$36,$L$36,$N$36,$P$36,$R$36)</f>
        <v>2604.68775216727</v>
      </c>
      <c r="I44" s="5"/>
      <c r="J44" s="183" t="n">
        <f aca="false">NPV($D$44,$L$36,$N$36,$P$36,$R$36)</f>
        <v>3098.62638518112</v>
      </c>
      <c r="K44" s="5"/>
      <c r="L44" s="183" t="n">
        <f aca="false">NPV($D$44,$N$36,$P$36,$R$36)</f>
        <v>3595.78490329446</v>
      </c>
      <c r="M44" s="5"/>
      <c r="N44" s="183" t="n">
        <f aca="false">NPV($D$44,,$P$36,$R$36)</f>
        <v>3266.84788124541</v>
      </c>
      <c r="O44" s="5"/>
      <c r="P44" s="5"/>
      <c r="Q44" s="5"/>
      <c r="R44" s="5"/>
    </row>
    <row r="45" customFormat="false" ht="15.6" hidden="false" customHeight="false" outlineLevel="0" collapsed="false">
      <c r="A45" s="5"/>
      <c r="B45" s="184" t="s">
        <v>179</v>
      </c>
      <c r="C45" s="5"/>
      <c r="D45" s="189"/>
      <c r="E45" s="5"/>
      <c r="F45" s="183"/>
      <c r="G45" s="183"/>
      <c r="H45" s="190" t="n">
        <f aca="false">H44/H18</f>
        <v>4140.57765537303</v>
      </c>
      <c r="I45" s="190"/>
      <c r="J45" s="190" t="n">
        <f aca="false">J44/J18</f>
        <v>100.517550985461</v>
      </c>
      <c r="K45" s="190"/>
      <c r="L45" s="190" t="n">
        <f aca="false">L44/L18</f>
        <v>13.0048817284691</v>
      </c>
      <c r="M45" s="190"/>
      <c r="N45" s="190" t="n">
        <f aca="false">N44/N18</f>
        <v>3.31819793581428</v>
      </c>
      <c r="O45" s="5"/>
      <c r="P45" s="5"/>
      <c r="Q45" s="5"/>
      <c r="R45" s="5"/>
    </row>
    <row r="46" customFormat="false" ht="15.6" hidden="false" customHeight="false" outlineLevel="0" collapsed="false">
      <c r="A46" s="5"/>
      <c r="B46" s="5"/>
      <c r="C46" s="5"/>
      <c r="D46" s="189" t="n">
        <v>0.25</v>
      </c>
      <c r="E46" s="5"/>
      <c r="F46" s="183" t="n">
        <f aca="false">NPV($D$46,$H$36,$J$36,$L$36,$N$36,$P$36,$R$36)</f>
        <v>1738.42246500158</v>
      </c>
      <c r="G46" s="183"/>
      <c r="H46" s="183" t="n">
        <f aca="false">NPV($D$46,$J$36,$L$36,$N$36,$P$36,$R$36)</f>
        <v>2166.84910603296</v>
      </c>
      <c r="I46" s="5"/>
      <c r="J46" s="183" t="n">
        <f aca="false">NPV($D$46,$L$36,$N$36,$P$36,$R$36)</f>
        <v>2681.56246512161</v>
      </c>
      <c r="K46" s="5"/>
      <c r="L46" s="183" t="n">
        <f aca="false">NPV($D$46,$N$36,$P$36,$R$36)</f>
        <v>3229.38632247913</v>
      </c>
      <c r="M46" s="5"/>
      <c r="N46" s="183" t="n">
        <f aca="false">NPV($D$46,,$P$36,$R$36)</f>
        <v>2913.60678131203</v>
      </c>
      <c r="O46" s="5"/>
      <c r="P46" s="5"/>
      <c r="Q46" s="5"/>
      <c r="R46" s="5"/>
    </row>
    <row r="47" customFormat="false" ht="15.6" hidden="false" customHeight="false" outlineLevel="0" collapsed="false">
      <c r="A47" s="5"/>
      <c r="B47" s="184" t="s">
        <v>179</v>
      </c>
      <c r="C47" s="5"/>
      <c r="D47" s="189"/>
      <c r="E47" s="5"/>
      <c r="F47" s="183"/>
      <c r="G47" s="183"/>
      <c r="H47" s="190" t="n">
        <f aca="false">H46/H18</f>
        <v>3444.56143871366</v>
      </c>
      <c r="I47" s="190"/>
      <c r="J47" s="190" t="n">
        <f aca="false">J46/J18</f>
        <v>86.9882516645527</v>
      </c>
      <c r="K47" s="190"/>
      <c r="L47" s="190" t="n">
        <f aca="false">L46/L18</f>
        <v>11.6797273220927</v>
      </c>
      <c r="M47" s="190"/>
      <c r="N47" s="190" t="n">
        <f aca="false">N46/N18</f>
        <v>2.95940440417398</v>
      </c>
      <c r="O47" s="5"/>
      <c r="P47" s="5"/>
      <c r="Q47" s="5"/>
      <c r="R47" s="5"/>
    </row>
    <row r="48" customFormat="false" ht="15.6" hidden="false" customHeight="false" outlineLevel="0" collapsed="false">
      <c r="A48" s="5"/>
      <c r="B48" s="5"/>
      <c r="C48" s="5"/>
      <c r="D48" s="189" t="n">
        <v>0.3</v>
      </c>
      <c r="E48" s="5"/>
      <c r="F48" s="183" t="n">
        <f aca="false">NPV($D$48,$H$36,$J$36,$L$36,$N$36,$P$36,$R$36)</f>
        <v>1403.11756924277</v>
      </c>
      <c r="G48" s="183"/>
      <c r="H48" s="183" t="n">
        <f aca="false">NPV($D$48,$J$36,$L$36,$N$36,$P$36,$R$36)</f>
        <v>1817.8738647966</v>
      </c>
      <c r="I48" s="5"/>
      <c r="J48" s="183" t="n">
        <f aca="false">NPV($D$48,$L$36,$N$36,$P$36,$R$36)</f>
        <v>2336.23710681598</v>
      </c>
      <c r="K48" s="5"/>
      <c r="L48" s="183" t="n">
        <f aca="false">NPV($D$48,$N$36,$P$36,$R$36)</f>
        <v>2914.54147993789</v>
      </c>
      <c r="M48" s="5"/>
      <c r="N48" s="183" t="n">
        <f aca="false">NPV($D$48,,$P$36,$R$36)</f>
        <v>2610.90730573877</v>
      </c>
      <c r="O48" s="5"/>
      <c r="P48" s="5"/>
      <c r="Q48" s="5"/>
      <c r="R48" s="5"/>
    </row>
    <row r="49" customFormat="false" ht="13.8" hidden="false" customHeight="false" outlineLevel="0" collapsed="false">
      <c r="A49" s="2"/>
      <c r="B49" s="184" t="s">
        <v>179</v>
      </c>
      <c r="C49" s="2"/>
      <c r="D49" s="2"/>
      <c r="E49" s="2"/>
      <c r="F49" s="2"/>
      <c r="G49" s="2"/>
      <c r="H49" s="190" t="n">
        <f aca="false">H48/H18</f>
        <v>2889.80815401018</v>
      </c>
      <c r="I49" s="190"/>
      <c r="J49" s="190" t="n">
        <f aca="false">J48/J18</f>
        <v>75.7861075544846</v>
      </c>
      <c r="K49" s="190"/>
      <c r="L49" s="190" t="n">
        <f aca="false">L48/L18</f>
        <v>10.5410274136761</v>
      </c>
      <c r="M49" s="190"/>
      <c r="N49" s="190" t="n">
        <f aca="false">N48/N18</f>
        <v>2.6519469370585</v>
      </c>
      <c r="O49" s="2"/>
      <c r="P49" s="2"/>
      <c r="Q49" s="2"/>
      <c r="R49" s="2"/>
    </row>
    <row r="50" customFormat="false" ht="15.6" hidden="true" customHeight="false" outlineLevel="0" collapsed="false">
      <c r="A50" s="5"/>
      <c r="B50" s="5" t="s">
        <v>175</v>
      </c>
      <c r="C50" s="5"/>
      <c r="D50" s="5"/>
      <c r="E50" s="5"/>
      <c r="F50" s="183" t="n">
        <f aca="false">NPV($D$44,$H$38,$J$38,$L$38,$N$38,$P$38,$R$38)</f>
        <v>1631.79170461642</v>
      </c>
      <c r="G50" s="183"/>
      <c r="H50" s="183" t="n">
        <f aca="false">NPV($D$44,$J$38,$L$38,$N$38,$P$38,$R$38)</f>
        <v>1953.51581412545</v>
      </c>
      <c r="I50" s="5"/>
      <c r="J50" s="183" t="n">
        <f aca="false">NPV($D$44,$L$38,$N$38,$P$38,$R$38)</f>
        <v>2323.96978888584</v>
      </c>
      <c r="K50" s="5"/>
      <c r="L50" s="183" t="n">
        <f aca="false">NPV($D$44,$N$38,$P$38,$R$38)</f>
        <v>2696.83867747085</v>
      </c>
      <c r="M50" s="5"/>
      <c r="N50" s="183" t="n">
        <f aca="false">NPV($D$44,$P$38,$R$38)</f>
        <v>2940.16309312087</v>
      </c>
      <c r="O50" s="5"/>
      <c r="P50" s="5"/>
      <c r="Q50" s="5"/>
      <c r="R50" s="5"/>
    </row>
    <row r="51" customFormat="false" ht="13.8" hidden="true" customHeight="false" outlineLevel="0" collapsed="false">
      <c r="A51" s="2"/>
      <c r="B51" s="2"/>
      <c r="C51" s="2"/>
      <c r="D51" s="2"/>
      <c r="E51" s="2"/>
      <c r="F51" s="2"/>
      <c r="G51" s="2"/>
      <c r="H51" s="2"/>
      <c r="I51" s="2"/>
      <c r="J51" s="2"/>
      <c r="K51" s="2"/>
      <c r="L51" s="2"/>
      <c r="M51" s="2"/>
      <c r="N51" s="2"/>
      <c r="O51" s="2"/>
      <c r="P51" s="2"/>
      <c r="Q51" s="2"/>
      <c r="R51" s="2"/>
    </row>
    <row r="52" customFormat="false" ht="15.6" hidden="true" customHeight="false" outlineLevel="0" collapsed="false">
      <c r="A52" s="5"/>
      <c r="B52" s="5" t="s">
        <v>176</v>
      </c>
      <c r="C52" s="5"/>
      <c r="D52" s="5"/>
      <c r="E52" s="5"/>
      <c r="F52" s="183" t="n">
        <f aca="false">NPV($D$44,$H$40,$J$40,$L$40,$N$40,$P$40,$R$40)</f>
        <v>1087.86113641095</v>
      </c>
      <c r="G52" s="183"/>
      <c r="H52" s="183" t="n">
        <f aca="false">NPV($D$44,$J$40,$L$40,$N$40,$P$40,$R$40)</f>
        <v>1302.34387608363</v>
      </c>
      <c r="I52" s="5"/>
      <c r="J52" s="183" t="n">
        <f aca="false">NPV($D$44,$L$40,$N$40,$P$40,$R$40)</f>
        <v>1549.31319259056</v>
      </c>
      <c r="K52" s="5"/>
      <c r="L52" s="183" t="n">
        <f aca="false">NPV($D$44,$N$40,$P$40,$R$40)</f>
        <v>1797.89245164723</v>
      </c>
      <c r="M52" s="5"/>
      <c r="N52" s="183" t="n">
        <f aca="false">NPV($D$44,$P$40,$R$40)</f>
        <v>1960.10872874725</v>
      </c>
      <c r="O52" s="5"/>
      <c r="P52" s="5"/>
      <c r="Q52" s="5"/>
      <c r="R52" s="5"/>
    </row>
    <row r="53" customFormat="false" ht="13.8" hidden="true" customHeight="false" outlineLevel="0" collapsed="false"/>
  </sheetData>
  <printOptions headings="false" gridLines="false" gridLinesSet="true" horizontalCentered="true" verticalCentered="false"/>
  <pageMargins left="0.5" right="0.5" top="0.75" bottom="0.75" header="0.511811023622047" footer="0.5"/>
  <pageSetup paperSize="1" scale="85" fitToWidth="1" fitToHeight="1" pageOrder="downThenOver" orientation="landscape" blackAndWhite="false" draft="false" cellComments="none" horizontalDpi="300" verticalDpi="300" copies="1"/>
  <headerFooter differentFirst="false" differentOddEven="false">
    <oddHeader/>
    <oddFooter>&amp;L&amp;"Times New Roman,Bold Italic"&amp;12IdleAire Technologies Corporation Confidential&amp;R&amp;D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23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pane xSplit="7668" ySplit="720" topLeftCell="A183" activePane="bottomRight" state="split"/>
      <selection pane="topLeft" activeCell="A1" activeCellId="0" sqref="A1"/>
      <selection pane="topRight" activeCell="A1" activeCellId="0" sqref="A1"/>
      <selection pane="bottomLeft" activeCell="A183" activeCellId="0" sqref="A183"/>
      <selection pane="bottomRight" activeCell="C226" activeCellId="0" sqref="C226"/>
    </sheetView>
  </sheetViews>
  <sheetFormatPr defaultColWidth="8.96484375" defaultRowHeight="13.8" customHeight="true" zeroHeight="false" outlineLevelRow="0" outlineLevelCol="0"/>
  <cols>
    <col collapsed="false" customWidth="true" hidden="false" outlineLevel="0" max="2" min="2" style="0" width="10.1"/>
    <col collapsed="false" customWidth="true" hidden="false" outlineLevel="0" max="3" min="3" style="0" width="14.54"/>
    <col collapsed="false" customWidth="true" hidden="false" outlineLevel="0" max="4" min="4" style="0" width="17.1"/>
    <col collapsed="false" customWidth="true" hidden="false" outlineLevel="0" max="6" min="5" style="0" width="12.65"/>
    <col collapsed="false" customWidth="true" hidden="false" outlineLevel="0" max="7" min="7" style="0" width="11.1"/>
    <col collapsed="false" customWidth="true" hidden="false" outlineLevel="0" max="10" min="8" style="0" width="10.1"/>
  </cols>
  <sheetData>
    <row r="1" customFormat="false" ht="13.8" hidden="false" customHeight="false" outlineLevel="0" collapsed="false">
      <c r="A1" s="191"/>
      <c r="B1" s="192" t="s">
        <v>180</v>
      </c>
      <c r="C1" s="192" t="s">
        <v>181</v>
      </c>
      <c r="D1" s="192" t="s">
        <v>78</v>
      </c>
      <c r="E1" s="192" t="s">
        <v>9</v>
      </c>
      <c r="F1" s="192" t="s">
        <v>12</v>
      </c>
      <c r="G1" s="192" t="s">
        <v>15</v>
      </c>
      <c r="H1" s="193" t="s">
        <v>182</v>
      </c>
      <c r="I1" s="193"/>
      <c r="J1" s="193"/>
    </row>
    <row r="2" customFormat="false" ht="13.8" hidden="false" customHeight="false" outlineLevel="0" collapsed="false">
      <c r="A2" s="194" t="s">
        <v>183</v>
      </c>
      <c r="B2" s="194" t="s">
        <v>184</v>
      </c>
      <c r="C2" s="194" t="s">
        <v>185</v>
      </c>
      <c r="D2" s="194" t="s">
        <v>83</v>
      </c>
      <c r="E2" s="194" t="s">
        <v>186</v>
      </c>
      <c r="F2" s="194" t="s">
        <v>186</v>
      </c>
      <c r="G2" s="194" t="s">
        <v>186</v>
      </c>
      <c r="H2" s="192" t="s">
        <v>187</v>
      </c>
      <c r="I2" s="192" t="s">
        <v>12</v>
      </c>
      <c r="J2" s="192" t="s">
        <v>134</v>
      </c>
    </row>
    <row r="3" customFormat="false" ht="13.8" hidden="false" customHeight="false" outlineLevel="0" collapsed="false">
      <c r="A3" s="195"/>
      <c r="B3" s="196"/>
      <c r="C3" s="196" t="s">
        <v>188</v>
      </c>
      <c r="D3" s="196" t="s">
        <v>88</v>
      </c>
      <c r="E3" s="196" t="s">
        <v>88</v>
      </c>
      <c r="F3" s="196" t="s">
        <v>88</v>
      </c>
      <c r="G3" s="196" t="s">
        <v>88</v>
      </c>
      <c r="H3" s="197"/>
      <c r="I3" s="197"/>
      <c r="J3" s="197"/>
    </row>
    <row r="4" customFormat="false" ht="7.5" hidden="false" customHeight="true" outlineLevel="0" collapsed="false">
      <c r="B4" s="106"/>
      <c r="C4" s="106"/>
      <c r="D4" s="106"/>
      <c r="E4" s="106"/>
      <c r="F4" s="106"/>
      <c r="G4" s="106"/>
      <c r="H4" s="137"/>
      <c r="I4" s="137"/>
      <c r="J4" s="137"/>
    </row>
    <row r="5" customFormat="false" ht="18" hidden="false" customHeight="false" outlineLevel="0" collapsed="false">
      <c r="A5" s="8" t="s">
        <v>189</v>
      </c>
      <c r="B5" s="9"/>
      <c r="C5" s="198"/>
      <c r="D5" s="198"/>
      <c r="E5" s="198"/>
      <c r="F5" s="198"/>
      <c r="G5" s="198"/>
      <c r="H5" s="9"/>
      <c r="I5" s="9"/>
      <c r="J5" s="10"/>
    </row>
    <row r="6" customFormat="false" ht="13.8" hidden="false" customHeight="false" outlineLevel="0" collapsed="false">
      <c r="A6" s="199" t="s">
        <v>45</v>
      </c>
      <c r="B6" s="200" t="n">
        <v>43.75</v>
      </c>
      <c r="C6" s="201" t="n">
        <v>749.8</v>
      </c>
      <c r="D6" s="202" t="n">
        <f aca="false">B6*C6</f>
        <v>32803.75</v>
      </c>
      <c r="E6" s="202" t="n">
        <f aca="false">AVERAGE(E7:E10)</f>
        <v>2763.656875</v>
      </c>
      <c r="F6" s="202" t="n">
        <f aca="false">E6*F7/E7</f>
        <v>817.385749008069</v>
      </c>
      <c r="G6" s="202" t="n">
        <f aca="false">E6*G7/E7</f>
        <v>577.61089325697</v>
      </c>
      <c r="H6" s="153" t="n">
        <f aca="false">D6/E6</f>
        <v>11.8696898651719</v>
      </c>
      <c r="I6" s="154" t="n">
        <f aca="false">IF(F6&gt;0,D6/F6,"N/A")</f>
        <v>40.1325200981406</v>
      </c>
      <c r="J6" s="203" t="n">
        <f aca="false">IF(G6&gt;0,D6/G6,"N/A")</f>
        <v>56.7921249113391</v>
      </c>
    </row>
    <row r="7" customFormat="false" ht="13.8" hidden="false" customHeight="false" outlineLevel="0" collapsed="false">
      <c r="A7" s="199" t="s">
        <v>44</v>
      </c>
      <c r="B7" s="200" t="n">
        <v>47.54</v>
      </c>
      <c r="C7" s="201" t="n">
        <v>749.8</v>
      </c>
      <c r="D7" s="202" t="n">
        <f aca="false">B7*C7</f>
        <v>35645.492</v>
      </c>
      <c r="E7" s="202" t="n">
        <f aca="false">AVERAGE(E8:E11)</f>
        <v>2719.2815</v>
      </c>
      <c r="F7" s="202" t="n">
        <f aca="false">E7*F8/E8</f>
        <v>804.261182257398</v>
      </c>
      <c r="G7" s="202" t="n">
        <f aca="false">E7*G8/E8</f>
        <v>568.336333804881</v>
      </c>
      <c r="H7" s="153" t="n">
        <f aca="false">D7/E7</f>
        <v>13.108422941869</v>
      </c>
      <c r="I7" s="154" t="n">
        <f aca="false">IF(F7&gt;0,D7/F7,"N/A")</f>
        <v>44.3207912881613</v>
      </c>
      <c r="J7" s="203" t="n">
        <f aca="false">IF(G7&gt;0,D7/G7,"N/A")</f>
        <v>62.7190096423392</v>
      </c>
    </row>
    <row r="8" customFormat="false" ht="13.8" hidden="false" customHeight="false" outlineLevel="0" collapsed="false">
      <c r="A8" s="199" t="s">
        <v>43</v>
      </c>
      <c r="B8" s="200" t="n">
        <v>58.48</v>
      </c>
      <c r="C8" s="201" t="n">
        <v>749.8</v>
      </c>
      <c r="D8" s="202" t="n">
        <f aca="false">B8*C8</f>
        <v>43848.304</v>
      </c>
      <c r="E8" s="202" t="n">
        <f aca="false">AVERAGE(E9:E12)</f>
        <v>2746.242</v>
      </c>
      <c r="F8" s="202" t="n">
        <f aca="false">E8*F9/E9</f>
        <v>812.235084041472</v>
      </c>
      <c r="G8" s="202" t="n">
        <f aca="false">E8*G9/E9</f>
        <v>573.971142752592</v>
      </c>
      <c r="H8" s="153" t="n">
        <f aca="false">D8/E8</f>
        <v>15.9666569807031</v>
      </c>
      <c r="I8" s="153" t="n">
        <f aca="false">IF(F8&gt;0,D8/F8,"N/A")</f>
        <v>53.9847451329265</v>
      </c>
      <c r="J8" s="204" t="n">
        <f aca="false">IF(G8&gt;0,D8/G8,"N/A")</f>
        <v>76.3946141781916</v>
      </c>
    </row>
    <row r="9" customFormat="false" ht="13.8" hidden="false" customHeight="false" outlineLevel="0" collapsed="false">
      <c r="A9" s="199" t="s">
        <v>42</v>
      </c>
      <c r="B9" s="200" t="n">
        <v>56.625</v>
      </c>
      <c r="C9" s="201" t="n">
        <v>749.8</v>
      </c>
      <c r="D9" s="202" t="n">
        <f aca="false">B9*C9</f>
        <v>42457.425</v>
      </c>
      <c r="E9" s="202" t="n">
        <f aca="false">4*713.255</f>
        <v>2853.02</v>
      </c>
      <c r="F9" s="202" t="n">
        <f aca="false">4*210.954</f>
        <v>843.816</v>
      </c>
      <c r="G9" s="202" t="n">
        <f aca="false">4*149.072</f>
        <v>596.288</v>
      </c>
      <c r="H9" s="153" t="n">
        <f aca="false">D9/E9</f>
        <v>14.8815728596365</v>
      </c>
      <c r="I9" s="153" t="n">
        <f aca="false">IF(F9&gt;0,D9/F9,"N/A")</f>
        <v>50.3159752837111</v>
      </c>
      <c r="J9" s="204" t="n">
        <f aca="false">IF(G9&gt;0,D9/G9,"N/A")</f>
        <v>71.2028835059569</v>
      </c>
    </row>
    <row r="10" customFormat="false" ht="13.8" hidden="false" customHeight="false" outlineLevel="0" collapsed="false">
      <c r="A10" s="199" t="s">
        <v>41</v>
      </c>
      <c r="B10" s="200" t="n">
        <v>82.1875</v>
      </c>
      <c r="C10" s="201" t="n">
        <v>749.482</v>
      </c>
      <c r="D10" s="202" t="n">
        <f aca="false">B10*C10</f>
        <v>61598.051875</v>
      </c>
      <c r="E10" s="202" t="n">
        <f aca="false">4*684.021</f>
        <v>2736.084</v>
      </c>
      <c r="F10" s="202" t="n">
        <f aca="false">4*-390.948</f>
        <v>-1563.792</v>
      </c>
      <c r="G10" s="202" t="n">
        <f aca="false">4*-248.723</f>
        <v>-994.892</v>
      </c>
      <c r="H10" s="153" t="n">
        <f aca="false">D10/E10</f>
        <v>22.5132166538016</v>
      </c>
      <c r="I10" s="154" t="str">
        <f aca="false">IF(F10&gt;0,D10/F10,"N/A")</f>
        <v>N/A</v>
      </c>
      <c r="J10" s="203" t="str">
        <f aca="false">IF(G10&gt;0,D10/G10,"N/A")</f>
        <v>N/A</v>
      </c>
    </row>
    <row r="11" customFormat="false" ht="13.8" hidden="false" customHeight="false" outlineLevel="0" collapsed="false">
      <c r="A11" s="199" t="s">
        <v>40</v>
      </c>
      <c r="B11" s="200" t="n">
        <v>71.25</v>
      </c>
      <c r="C11" s="201" t="n">
        <f aca="false">(C10+C12)/2</f>
        <v>745.6085</v>
      </c>
      <c r="D11" s="202" t="n">
        <f aca="false">B11*C11</f>
        <v>53124.605625</v>
      </c>
      <c r="E11" s="202" t="n">
        <f aca="false">4*(3196.78-713.521-727.741-1120.073)</f>
        <v>2541.78</v>
      </c>
      <c r="F11" s="202" t="n">
        <f aca="false">4*(722.538-217.734-71.791-259.921)</f>
        <v>692.368</v>
      </c>
      <c r="G11" s="202" t="n">
        <f aca="false">4*(670.211-154.701-199.716-177.119)</f>
        <v>554.7</v>
      </c>
      <c r="H11" s="153" t="n">
        <f aca="false">D11/E11</f>
        <v>20.900552221278</v>
      </c>
      <c r="I11" s="153" t="n">
        <f aca="false">IF(F11&gt;0,D11/F11,"N/A")</f>
        <v>76.7288575223003</v>
      </c>
      <c r="J11" s="204" t="n">
        <f aca="false">IF(G11&gt;0,D11/G11,"N/A")</f>
        <v>95.7717786641428</v>
      </c>
    </row>
    <row r="12" customFormat="false" ht="13.8" hidden="false" customHeight="false" outlineLevel="0" collapsed="false">
      <c r="A12" s="199" t="s">
        <v>39</v>
      </c>
      <c r="B12" s="200" t="n">
        <v>60</v>
      </c>
      <c r="C12" s="201" t="n">
        <v>741.735</v>
      </c>
      <c r="D12" s="202" t="n">
        <f aca="false">B12*C12</f>
        <v>44504.1</v>
      </c>
      <c r="E12" s="202" t="n">
        <f aca="false">4*713.521</f>
        <v>2854.084</v>
      </c>
      <c r="F12" s="202" t="n">
        <f aca="false">4*217.734</f>
        <v>870.936</v>
      </c>
      <c r="G12" s="202" t="n">
        <f aca="false">4*154.701</f>
        <v>618.804</v>
      </c>
      <c r="H12" s="153" t="n">
        <f aca="false">D12/E12</f>
        <v>15.5931290039116</v>
      </c>
      <c r="I12" s="153" t="n">
        <f aca="false">IF(F12&gt;0,D12/F12,"N/A")</f>
        <v>51.0991622805809</v>
      </c>
      <c r="J12" s="204" t="n">
        <f aca="false">IF(G12&gt;0,D12/G12,"N/A")</f>
        <v>71.9195415672814</v>
      </c>
    </row>
    <row r="13" customFormat="false" ht="13.8" hidden="false" customHeight="false" outlineLevel="0" collapsed="false">
      <c r="A13" s="199" t="s">
        <v>190</v>
      </c>
      <c r="B13" s="200" t="n">
        <v>149.3125</v>
      </c>
      <c r="C13" s="201" t="n">
        <v>716.818</v>
      </c>
      <c r="D13" s="202" t="n">
        <f aca="false">B13*C13</f>
        <v>107029.887625</v>
      </c>
      <c r="E13" s="202" t="n">
        <f aca="false">4*727.741</f>
        <v>2910.964</v>
      </c>
      <c r="F13" s="202" t="n">
        <f aca="false">4*71.791</f>
        <v>287.164</v>
      </c>
      <c r="G13" s="202" t="n">
        <f aca="false">4*199.716</f>
        <v>798.864</v>
      </c>
      <c r="H13" s="153" t="n">
        <f aca="false">D13/E13</f>
        <v>36.7678499716932</v>
      </c>
      <c r="I13" s="153" t="n">
        <f aca="false">IF(F13&gt;0,D13/F13,"N/A")</f>
        <v>372.713458598571</v>
      </c>
      <c r="J13" s="204" t="n">
        <f aca="false">IF(G13&gt;0,D13/G13,"N/A")</f>
        <v>133.977607734233</v>
      </c>
    </row>
    <row r="14" customFormat="false" ht="13.8" hidden="false" customHeight="false" outlineLevel="0" collapsed="false">
      <c r="A14" s="199" t="s">
        <v>191</v>
      </c>
      <c r="B14" s="200" t="n">
        <v>176.125</v>
      </c>
      <c r="C14" s="201" t="n">
        <v>664.586</v>
      </c>
      <c r="D14" s="202" t="n">
        <f aca="false">B14*C14</f>
        <v>117050.20925</v>
      </c>
      <c r="E14" s="202" t="n">
        <f aca="false">4*1120.073</f>
        <v>4480.292</v>
      </c>
      <c r="F14" s="202" t="n">
        <f aca="false">4*259.921</f>
        <v>1039.684</v>
      </c>
      <c r="G14" s="202" t="n">
        <f aca="false">4*177.119</f>
        <v>708.476</v>
      </c>
      <c r="H14" s="153" t="n">
        <f aca="false">D14/E14</f>
        <v>26.1255760227235</v>
      </c>
      <c r="I14" s="153" t="n">
        <f aca="false">IF(F14&gt;0,D14/F14,"N/A")</f>
        <v>112.582485880325</v>
      </c>
      <c r="J14" s="204" t="n">
        <f aca="false">IF(G14&gt;0,D14/G14,"N/A")</f>
        <v>165.214078176254</v>
      </c>
    </row>
    <row r="15" customFormat="false" ht="13.8" hidden="false" customHeight="false" outlineLevel="0" collapsed="false">
      <c r="A15" s="199" t="s">
        <v>192</v>
      </c>
      <c r="B15" s="200" t="n">
        <v>189.1875</v>
      </c>
      <c r="C15" s="201" t="n">
        <f aca="false">(C14+C16)/2</f>
        <v>632.873</v>
      </c>
      <c r="D15" s="202" t="n">
        <f aca="false">B15*C15</f>
        <v>119731.6606875</v>
      </c>
      <c r="E15" s="202" t="n">
        <f aca="false">4*(3937.299-1004.866-932.395-941.223)</f>
        <v>4235.26</v>
      </c>
      <c r="F15" s="202" t="n">
        <f aca="false">4*(405.14-98.379-5.189-77.948)</f>
        <v>894.496</v>
      </c>
      <c r="G15" s="202" t="n">
        <f aca="false">4*(200.879-58.958+42.62-48.53)</f>
        <v>544.044</v>
      </c>
      <c r="H15" s="153" t="n">
        <f aca="false">D15/E15</f>
        <v>28.2702031722964</v>
      </c>
      <c r="I15" s="153" t="n">
        <f aca="false">IF(F15&gt;0,D15/F15,"N/A")</f>
        <v>133.853768700475</v>
      </c>
      <c r="J15" s="204" t="n">
        <f aca="false">IF(G15&gt;0,D15/G15,"N/A")</f>
        <v>220.077164140217</v>
      </c>
    </row>
    <row r="16" customFormat="false" ht="13.8" hidden="false" customHeight="false" outlineLevel="0" collapsed="false">
      <c r="A16" s="199" t="s">
        <v>193</v>
      </c>
      <c r="B16" s="200" t="n">
        <v>143.5</v>
      </c>
      <c r="C16" s="201" t="n">
        <f aca="false">4*150.29</f>
        <v>601.16</v>
      </c>
      <c r="D16" s="202" t="n">
        <f aca="false">B16*C16</f>
        <v>86266.46</v>
      </c>
      <c r="E16" s="202" t="n">
        <f aca="false">4*1004.866</f>
        <v>4019.464</v>
      </c>
      <c r="F16" s="202" t="n">
        <f aca="false">4*98.379</f>
        <v>393.516</v>
      </c>
      <c r="G16" s="202" t="n">
        <f aca="false">4*58.958</f>
        <v>235.832</v>
      </c>
      <c r="H16" s="153" t="n">
        <f aca="false">D16/E16</f>
        <v>21.4621800319645</v>
      </c>
      <c r="I16" s="153" t="n">
        <f aca="false">IF(F16&gt;0,D16/F16,"N/A")</f>
        <v>219.21970135903</v>
      </c>
      <c r="J16" s="204" t="n">
        <f aca="false">IF(G16&gt;0,D16/G16,"N/A")</f>
        <v>365.796244784423</v>
      </c>
    </row>
    <row r="17" customFormat="false" ht="13.8" hidden="false" customHeight="false" outlineLevel="0" collapsed="false">
      <c r="A17" s="199" t="s">
        <v>194</v>
      </c>
      <c r="B17" s="200" t="n">
        <v>124.375</v>
      </c>
      <c r="C17" s="201" t="n">
        <f aca="false">8*72.307</f>
        <v>578.456</v>
      </c>
      <c r="D17" s="202" t="n">
        <f aca="false">B17*C17</f>
        <v>71945.465</v>
      </c>
      <c r="E17" s="202" t="n">
        <f aca="false">4*932.395</f>
        <v>3729.58</v>
      </c>
      <c r="F17" s="202" t="n">
        <f aca="false">4*5.189</f>
        <v>20.756</v>
      </c>
      <c r="G17" s="202" t="n">
        <f aca="false">4*-42.62</f>
        <v>-170.48</v>
      </c>
      <c r="H17" s="153" t="n">
        <f aca="false">D17/E17</f>
        <v>19.2905005389347</v>
      </c>
      <c r="I17" s="153" t="n">
        <f aca="false">IF(F17&gt;0,D17/F17,"N/A")</f>
        <v>3466.2490364232</v>
      </c>
      <c r="J17" s="203" t="str">
        <f aca="false">IF(G17&gt;0,D17/G17,"N/A")</f>
        <v>N/A</v>
      </c>
    </row>
    <row r="18" customFormat="false" ht="13.8" hidden="false" customHeight="false" outlineLevel="0" collapsed="false">
      <c r="A18" s="199" t="s">
        <v>195</v>
      </c>
      <c r="B18" s="200" t="n">
        <v>51.8125</v>
      </c>
      <c r="C18" s="201" t="n">
        <f aca="false">8*70.522</f>
        <v>564.176</v>
      </c>
      <c r="D18" s="202" t="n">
        <f aca="false">B18*C18</f>
        <v>29231.369</v>
      </c>
      <c r="E18" s="202" t="n">
        <f aca="false">4*941.223</f>
        <v>3764.892</v>
      </c>
      <c r="F18" s="202" t="n">
        <f aca="false">4*77.948</f>
        <v>311.792</v>
      </c>
      <c r="G18" s="202" t="n">
        <f aca="false">4*48.53</f>
        <v>194.12</v>
      </c>
      <c r="H18" s="153" t="n">
        <f aca="false">D18/E18</f>
        <v>7.76419854805928</v>
      </c>
      <c r="I18" s="153" t="n">
        <f aca="false">IF(F18&gt;0,D18/F18,"N/A")</f>
        <v>93.7527871144866</v>
      </c>
      <c r="J18" s="204" t="n">
        <f aca="false">IF(G18&gt;0,D18/G18,"N/A")</f>
        <v>150.584015042242</v>
      </c>
    </row>
    <row r="19" customFormat="false" ht="13.8" hidden="false" customHeight="false" outlineLevel="0" collapsed="false">
      <c r="A19" s="199" t="s">
        <v>196</v>
      </c>
      <c r="B19" s="200" t="n">
        <v>47.9375</v>
      </c>
      <c r="C19" s="201" t="n">
        <f aca="false">(C18+C20)/2</f>
        <v>559.236</v>
      </c>
      <c r="D19" s="202" t="n">
        <f aca="false">B19*C19</f>
        <v>26808.37575</v>
      </c>
      <c r="E19" s="202" t="n">
        <f aca="false">4*(3347.87-760.553-875.497-785.854)</f>
        <v>3703.864</v>
      </c>
      <c r="F19" s="202" t="n">
        <f aca="false">4*(242.665-53.353-51.301-52.895)</f>
        <v>340.464</v>
      </c>
      <c r="G19" s="202" t="n">
        <f aca="false">4*(108.532-5.843-26.011-36.762)</f>
        <v>159.664</v>
      </c>
      <c r="H19" s="153" t="n">
        <f aca="false">D19/E19</f>
        <v>7.23794819410216</v>
      </c>
      <c r="I19" s="153" t="n">
        <f aca="false">IF(F19&gt;0,D19/F19,"N/A")</f>
        <v>78.7407060658396</v>
      </c>
      <c r="J19" s="204" t="n">
        <f aca="false">IF(G19&gt;0,D19/G19,"N/A")</f>
        <v>167.904948830043</v>
      </c>
    </row>
    <row r="20" customFormat="false" ht="13.8" hidden="false" customHeight="false" outlineLevel="0" collapsed="false">
      <c r="A20" s="199" t="s">
        <v>197</v>
      </c>
      <c r="B20" s="200" t="n">
        <v>56.1875</v>
      </c>
      <c r="C20" s="201" t="n">
        <f aca="false">8*69.287</f>
        <v>554.296</v>
      </c>
      <c r="D20" s="202" t="n">
        <f aca="false">B20*C20</f>
        <v>31144.5065</v>
      </c>
      <c r="E20" s="202" t="n">
        <f aca="false">4*875.497</f>
        <v>3501.988</v>
      </c>
      <c r="F20" s="202" t="n">
        <f aca="false">4*53.353</f>
        <v>213.412</v>
      </c>
      <c r="G20" s="202" t="n">
        <f aca="false">4*5.843</f>
        <v>23.372</v>
      </c>
      <c r="H20" s="153" t="n">
        <f aca="false">D20/E20</f>
        <v>8.8933789893055</v>
      </c>
      <c r="I20" s="153" t="n">
        <f aca="false">IF(F20&gt;0,D20/F20,"N/A")</f>
        <v>145.936060296516</v>
      </c>
      <c r="J20" s="204" t="n">
        <f aca="false">IF(G20&gt;0,D20/G20,"N/A")</f>
        <v>1332.55632808489</v>
      </c>
    </row>
    <row r="21" customFormat="false" ht="14.4" hidden="false" customHeight="false" outlineLevel="0" collapsed="false">
      <c r="A21" s="205" t="s">
        <v>198</v>
      </c>
      <c r="B21" s="206" t="n">
        <v>53.5</v>
      </c>
      <c r="C21" s="207" t="n">
        <f aca="false">8*68.934</f>
        <v>551.472</v>
      </c>
      <c r="D21" s="208" t="n">
        <f aca="false">B21*C21</f>
        <v>29503.752</v>
      </c>
      <c r="E21" s="208" t="n">
        <f aca="false">4*760.553</f>
        <v>3042.212</v>
      </c>
      <c r="F21" s="208" t="n">
        <f aca="false">4*51.301</f>
        <v>205.204</v>
      </c>
      <c r="G21" s="208" t="n">
        <f aca="false">4*26.011</f>
        <v>104.044</v>
      </c>
      <c r="H21" s="209" t="n">
        <f aca="false">D21/E21</f>
        <v>9.69812491700118</v>
      </c>
      <c r="I21" s="209" t="n">
        <f aca="false">IF(F21&gt;0,D21/F21,"N/A")</f>
        <v>143.777665152726</v>
      </c>
      <c r="J21" s="210" t="n">
        <f aca="false">IF(G21&gt;0,D21/G21,"N/A")</f>
        <v>283.569951174503</v>
      </c>
    </row>
    <row r="22" customFormat="false" ht="14.4" hidden="false" customHeight="false" outlineLevel="0" collapsed="false">
      <c r="A22" s="211"/>
      <c r="B22" s="212"/>
      <c r="C22" s="213"/>
      <c r="D22" s="214"/>
      <c r="E22" s="214"/>
      <c r="F22" s="215" t="n">
        <f aca="false">SUM(F9:F21)/SUM(E9:E21)</f>
        <v>0.102534567716161</v>
      </c>
      <c r="G22" s="215" t="n">
        <f aca="false">SUM(G9:G21)/SUM(E9:E21)</f>
        <v>0.0760101685952809</v>
      </c>
      <c r="H22" s="216" t="n">
        <f aca="false">AVERAGE(H9:H21)</f>
        <v>18.4152639326699</v>
      </c>
      <c r="I22" s="216" t="n">
        <f aca="false">AVERAGE(I9:I21)</f>
        <v>412.080805389814</v>
      </c>
      <c r="J22" s="217" t="n">
        <f aca="false">AVERAGE(J9:J21)</f>
        <v>278.052231064017</v>
      </c>
    </row>
    <row r="23" customFormat="false" ht="14.4" hidden="false" customHeight="false" outlineLevel="0" collapsed="false"/>
    <row r="24" customFormat="false" ht="18.6" hidden="false" customHeight="false" outlineLevel="0" collapsed="false">
      <c r="A24" s="8" t="s">
        <v>199</v>
      </c>
      <c r="B24" s="218"/>
      <c r="C24" s="219"/>
      <c r="D24" s="219"/>
      <c r="E24" s="219"/>
      <c r="F24" s="219"/>
      <c r="G24" s="219"/>
      <c r="H24" s="218"/>
      <c r="I24" s="218"/>
      <c r="J24" s="220"/>
    </row>
    <row r="25" customFormat="false" ht="13.8" hidden="false" customHeight="false" outlineLevel="0" collapsed="false">
      <c r="A25" s="199" t="s">
        <v>45</v>
      </c>
      <c r="B25" s="200" t="n">
        <v>15.35</v>
      </c>
      <c r="C25" s="201" t="n">
        <f aca="false">C26</f>
        <v>2180</v>
      </c>
      <c r="D25" s="202" t="n">
        <f aca="false">B25*C25</f>
        <v>33463</v>
      </c>
      <c r="E25" s="202" t="n">
        <f aca="false">E26+E26-E27</f>
        <v>36112</v>
      </c>
      <c r="F25" s="202" t="n">
        <f aca="false">AVERAGE(F26:F29)</f>
        <v>3626.1796875</v>
      </c>
      <c r="G25" s="202" t="n">
        <f aca="false">AVERAGE(G26:G29)</f>
        <v>1469.078125</v>
      </c>
      <c r="H25" s="153" t="n">
        <f aca="false">D25/E25</f>
        <v>0.926644882587506</v>
      </c>
      <c r="I25" s="154" t="n">
        <f aca="false">IF(F25&gt;0,D25/F25,"N/A")</f>
        <v>9.22816928111757</v>
      </c>
      <c r="J25" s="203" t="n">
        <f aca="false">IF(G25&gt;0,D25/G25,"N/A")</f>
        <v>22.7782303953372</v>
      </c>
    </row>
    <row r="26" customFormat="false" ht="13.8" hidden="false" customHeight="false" outlineLevel="0" collapsed="false">
      <c r="A26" s="199" t="s">
        <v>44</v>
      </c>
      <c r="B26" s="200" t="n">
        <v>15.6</v>
      </c>
      <c r="C26" s="201" t="n">
        <f aca="false">C27</f>
        <v>2180</v>
      </c>
      <c r="D26" s="202" t="n">
        <f aca="false">B26*C26</f>
        <v>34008</v>
      </c>
      <c r="E26" s="202" t="n">
        <f aca="false">E27+E27-E28</f>
        <v>36484</v>
      </c>
      <c r="F26" s="202" t="n">
        <f aca="false">AVERAGE(F27:F30)</f>
        <v>3507.34375</v>
      </c>
      <c r="G26" s="202" t="n">
        <f aca="false">AVERAGE(G27:G30)</f>
        <v>1600.0625</v>
      </c>
      <c r="H26" s="153" t="n">
        <f aca="false">D26/E26</f>
        <v>0.932134634360268</v>
      </c>
      <c r="I26" s="154" t="n">
        <f aca="false">IF(F26&gt;0,D26/F26,"N/A")</f>
        <v>9.69622666726066</v>
      </c>
      <c r="J26" s="203" t="n">
        <f aca="false">IF(G26&gt;0,D26/G26,"N/A")</f>
        <v>21.2541697589938</v>
      </c>
    </row>
    <row r="27" customFormat="false" ht="13.8" hidden="false" customHeight="false" outlineLevel="0" collapsed="false">
      <c r="A27" s="199" t="s">
        <v>43</v>
      </c>
      <c r="B27" s="200" t="n">
        <v>16.56</v>
      </c>
      <c r="C27" s="201" t="n">
        <f aca="false">C28</f>
        <v>2180</v>
      </c>
      <c r="D27" s="202" t="n">
        <f aca="false">B27*C27</f>
        <v>36100.8</v>
      </c>
      <c r="E27" s="202" t="n">
        <f aca="false">E28+E28-E29</f>
        <v>36856</v>
      </c>
      <c r="F27" s="202" t="n">
        <f aca="false">AVERAGE(F28:F31)</f>
        <v>3141.875</v>
      </c>
      <c r="G27" s="202" t="n">
        <f aca="false">AVERAGE(G28:G31)</f>
        <v>1443.25</v>
      </c>
      <c r="H27" s="153" t="n">
        <f aca="false">D27/E27</f>
        <v>0.979509442153245</v>
      </c>
      <c r="I27" s="154" t="n">
        <f aca="false">IF(F27&gt;0,D27/F27,"N/A")</f>
        <v>11.4902088720907</v>
      </c>
      <c r="J27" s="203" t="n">
        <f aca="false">IF(G27&gt;0,D27/G27,"N/A")</f>
        <v>25.0135458167331</v>
      </c>
    </row>
    <row r="28" customFormat="false" ht="13.8" hidden="false" customHeight="false" outlineLevel="0" collapsed="false">
      <c r="A28" s="199" t="s">
        <v>42</v>
      </c>
      <c r="B28" s="200" t="n">
        <v>14.26</v>
      </c>
      <c r="C28" s="201" t="n">
        <v>2180</v>
      </c>
      <c r="D28" s="202" t="n">
        <f aca="false">B28*C28</f>
        <v>31086.8</v>
      </c>
      <c r="E28" s="202" t="n">
        <f aca="false">E29+E29-E30</f>
        <v>37228</v>
      </c>
      <c r="F28" s="202" t="n">
        <f aca="false">AVERAGE(F29:F32)</f>
        <v>3025.5</v>
      </c>
      <c r="G28" s="202" t="n">
        <f aca="false">AVERAGE(G29:G32)</f>
        <v>1513</v>
      </c>
      <c r="H28" s="153" t="n">
        <f aca="false">D28/E28</f>
        <v>0.835038143332975</v>
      </c>
      <c r="I28" s="154" t="n">
        <f aca="false">IF(F28&gt;0,D28/F28,"N/A")</f>
        <v>10.2749297636754</v>
      </c>
      <c r="J28" s="203" t="n">
        <f aca="false">IF(G28&gt;0,D28/G28,"N/A")</f>
        <v>20.54646397885</v>
      </c>
    </row>
    <row r="29" customFormat="false" ht="13.8" hidden="false" customHeight="false" outlineLevel="0" collapsed="false">
      <c r="A29" s="199" t="s">
        <v>41</v>
      </c>
      <c r="B29" s="200" t="n">
        <v>20.25</v>
      </c>
      <c r="C29" s="201" t="n">
        <v>2180</v>
      </c>
      <c r="D29" s="202" t="n">
        <f aca="false">B29*C29</f>
        <v>44145</v>
      </c>
      <c r="E29" s="202" t="n">
        <v>37600</v>
      </c>
      <c r="F29" s="202" t="n">
        <v>4830</v>
      </c>
      <c r="G29" s="202" t="n">
        <v>1320</v>
      </c>
      <c r="H29" s="153" t="n">
        <f aca="false">D29/E29</f>
        <v>1.17406914893617</v>
      </c>
      <c r="I29" s="154" t="n">
        <f aca="false">IF(F29&gt;0,D29/F29,"N/A")</f>
        <v>9.13975155279503</v>
      </c>
      <c r="J29" s="203" t="n">
        <f aca="false">IF(G29&gt;0,D29/G29,"N/A")</f>
        <v>33.4431818181818</v>
      </c>
    </row>
    <row r="30" customFormat="false" ht="13.8" hidden="false" customHeight="false" outlineLevel="0" collapsed="false">
      <c r="A30" s="199" t="s">
        <v>40</v>
      </c>
      <c r="B30" s="200" t="n">
        <v>28.881875</v>
      </c>
      <c r="C30" s="201" t="n">
        <v>2182.3</v>
      </c>
      <c r="D30" s="202" t="n">
        <f aca="false">B30*C30</f>
        <v>63028.9158125</v>
      </c>
      <c r="E30" s="202" t="n">
        <f aca="false">4*9493</f>
        <v>37972</v>
      </c>
      <c r="F30" s="202" t="n">
        <f aca="false">4*758</f>
        <v>3032</v>
      </c>
      <c r="G30" s="202" t="n">
        <f aca="false">4*531</f>
        <v>2124</v>
      </c>
      <c r="H30" s="153" t="n">
        <f aca="false">D30/E30</f>
        <v>1.65987874782735</v>
      </c>
      <c r="I30" s="154" t="n">
        <f aca="false">IF(F30&gt;0,D30/F30,"N/A")</f>
        <v>20.7879009935686</v>
      </c>
      <c r="J30" s="203" t="n">
        <f aca="false">IF(G30&gt;0,D30/G30,"N/A")</f>
        <v>29.6746307968456</v>
      </c>
    </row>
    <row r="31" customFormat="false" ht="13.8" hidden="false" customHeight="false" outlineLevel="0" collapsed="false">
      <c r="A31" s="199" t="s">
        <v>39</v>
      </c>
      <c r="B31" s="200" t="n">
        <v>30.2542</v>
      </c>
      <c r="C31" s="201" t="n">
        <v>2165</v>
      </c>
      <c r="D31" s="202" t="n">
        <f aca="false">B31*C31</f>
        <v>65500.343</v>
      </c>
      <c r="E31" s="202" t="n">
        <f aca="false">4*9255</f>
        <v>37020</v>
      </c>
      <c r="F31" s="202" t="n">
        <f aca="false">4*420</f>
        <v>1680</v>
      </c>
      <c r="G31" s="202" t="n">
        <f aca="false">4*204</f>
        <v>816</v>
      </c>
      <c r="H31" s="153" t="n">
        <f aca="false">D31/E31</f>
        <v>1.76932314964884</v>
      </c>
      <c r="I31" s="154" t="n">
        <f aca="false">IF(F31&gt;0,D31/F31,"N/A")</f>
        <v>38.9882994047619</v>
      </c>
      <c r="J31" s="203" t="n">
        <f aca="false">IF(G31&gt;0,D31/G31,"N/A")</f>
        <v>80.2700281862745</v>
      </c>
    </row>
    <row r="32" customFormat="false" ht="13.8" hidden="false" customHeight="false" outlineLevel="0" collapsed="false">
      <c r="A32" s="199" t="s">
        <v>190</v>
      </c>
      <c r="B32" s="200" t="n">
        <v>48.5725</v>
      </c>
      <c r="C32" s="201" t="n">
        <f aca="false">3*715.4</f>
        <v>2146.2</v>
      </c>
      <c r="D32" s="202" t="n">
        <f aca="false">B32*C32</f>
        <v>104246.2995</v>
      </c>
      <c r="E32" s="202" t="n">
        <f aca="false">4*8768</f>
        <v>35072</v>
      </c>
      <c r="F32" s="202" t="n">
        <f aca="false">4*640</f>
        <v>2560</v>
      </c>
      <c r="G32" s="202" t="n">
        <f aca="false">4*448</f>
        <v>1792</v>
      </c>
      <c r="H32" s="153" t="n">
        <f aca="false">D32/E32</f>
        <v>2.97235114906478</v>
      </c>
      <c r="I32" s="154" t="n">
        <f aca="false">IF(F32&gt;0,D32/F32,"N/A")</f>
        <v>40.7212107421875</v>
      </c>
      <c r="J32" s="203" t="n">
        <f aca="false">IF(G32&gt;0,D32/G32,"N/A")</f>
        <v>58.173158203125</v>
      </c>
    </row>
    <row r="33" customFormat="false" ht="13.8" hidden="false" customHeight="false" outlineLevel="0" collapsed="false">
      <c r="A33" s="199" t="s">
        <v>191</v>
      </c>
      <c r="B33" s="200" t="n">
        <v>48.9875</v>
      </c>
      <c r="C33" s="201" t="n">
        <v>2180</v>
      </c>
      <c r="D33" s="202" t="n">
        <f aca="false">B33*C33</f>
        <v>106792.75</v>
      </c>
      <c r="E33" s="202" t="n">
        <f aca="false">4*(33075-(8223+8030+7736))</f>
        <v>36344</v>
      </c>
      <c r="F33" s="202" t="n">
        <f aca="false">4*(1283-(164+372+289))</f>
        <v>1832</v>
      </c>
      <c r="G33" s="202" t="n">
        <f aca="false">4*(891-(114+255+199))</f>
        <v>1292</v>
      </c>
      <c r="H33" s="153" t="n">
        <f aca="false">D33/E33</f>
        <v>2.93838735417125</v>
      </c>
      <c r="I33" s="154" t="n">
        <f aca="false">IF(F33&gt;0,D33/F33,"N/A")</f>
        <v>58.2929858078603</v>
      </c>
      <c r="J33" s="203" t="n">
        <f aca="false">IF(G33&gt;0,D33/G33,"N/A")</f>
        <v>82.6569272445821</v>
      </c>
    </row>
    <row r="34" customFormat="false" ht="13.8" hidden="false" customHeight="false" outlineLevel="0" collapsed="false">
      <c r="A34" s="199" t="s">
        <v>192</v>
      </c>
      <c r="B34" s="200" t="n">
        <v>29.2768</v>
      </c>
      <c r="C34" s="201" t="n">
        <v>2123.8</v>
      </c>
      <c r="D34" s="202" t="n">
        <f aca="false">B34*C34</f>
        <v>62178.06784</v>
      </c>
      <c r="E34" s="202" t="n">
        <f aca="false">4*8223</f>
        <v>32892</v>
      </c>
      <c r="F34" s="202" t="n">
        <f aca="false">4*164</f>
        <v>656</v>
      </c>
      <c r="G34" s="202" t="n">
        <f aca="false">4*114</f>
        <v>456</v>
      </c>
      <c r="H34" s="153" t="n">
        <f aca="false">D34/E34</f>
        <v>1.89037054116503</v>
      </c>
      <c r="I34" s="154" t="n">
        <f aca="false">IF(F34&gt;0,D34/F34,"N/A")</f>
        <v>94.78364</v>
      </c>
      <c r="J34" s="203" t="n">
        <f aca="false">IF(G34&gt;0,D34/G34,"N/A")</f>
        <v>136.355411929825</v>
      </c>
    </row>
    <row r="35" customFormat="false" ht="13.8" hidden="false" customHeight="false" outlineLevel="0" collapsed="false">
      <c r="A35" s="199" t="s">
        <v>193</v>
      </c>
      <c r="B35" s="200" t="n">
        <v>31.5225</v>
      </c>
      <c r="C35" s="201" t="n">
        <v>2112</v>
      </c>
      <c r="D35" s="202" t="n">
        <f aca="false">B35*C35</f>
        <v>66575.52</v>
      </c>
      <c r="E35" s="202" t="n">
        <f aca="false">4*8030</f>
        <v>32120</v>
      </c>
      <c r="F35" s="202" t="n">
        <f aca="false">4*372</f>
        <v>1488</v>
      </c>
      <c r="G35" s="202" t="n">
        <f aca="false">4*255</f>
        <v>1020</v>
      </c>
      <c r="H35" s="153" t="n">
        <f aca="false">D35/E35</f>
        <v>2.07271232876712</v>
      </c>
      <c r="I35" s="154" t="n">
        <f aca="false">IF(F35&gt;0,D35/F35,"N/A")</f>
        <v>44.7416129032258</v>
      </c>
      <c r="J35" s="203" t="n">
        <f aca="false">IF(G35&gt;0,D35/G35,"N/A")</f>
        <v>65.2701176470588</v>
      </c>
    </row>
    <row r="36" customFormat="false" ht="13.8" hidden="false" customHeight="false" outlineLevel="0" collapsed="false">
      <c r="A36" s="199" t="s">
        <v>194</v>
      </c>
      <c r="B36" s="200" t="n">
        <v>24.3696</v>
      </c>
      <c r="C36" s="201" t="n">
        <f aca="false">3*702.8</f>
        <v>2108.4</v>
      </c>
      <c r="D36" s="202" t="n">
        <f aca="false">B36*C36</f>
        <v>51380.86464</v>
      </c>
      <c r="E36" s="202" t="n">
        <f aca="false">4*7736</f>
        <v>30944</v>
      </c>
      <c r="F36" s="202" t="n">
        <f aca="false">4*289</f>
        <v>1156</v>
      </c>
      <c r="G36" s="202" t="n">
        <f aca="false">4*199</f>
        <v>796</v>
      </c>
      <c r="H36" s="153" t="n">
        <f aca="false">D36/E36</f>
        <v>1.66044676318511</v>
      </c>
      <c r="I36" s="154" t="n">
        <f aca="false">IF(F36&gt;0,D36/F36,"N/A")</f>
        <v>44.4471147404844</v>
      </c>
      <c r="J36" s="203" t="n">
        <f aca="false">IF(G36&gt;0,D36/G36,"N/A")</f>
        <v>64.5488249246231</v>
      </c>
    </row>
    <row r="37" customFormat="false" ht="13.8" hidden="false" customHeight="false" outlineLevel="0" collapsed="false">
      <c r="A37" s="199" t="s">
        <v>195</v>
      </c>
      <c r="B37" s="200" t="n">
        <v>20.3149</v>
      </c>
      <c r="C37" s="201" t="n">
        <f aca="false">(C36+C38)/2</f>
        <v>1952.25</v>
      </c>
      <c r="D37" s="202" t="n">
        <f aca="false">B37*C37</f>
        <v>39659.763525</v>
      </c>
      <c r="E37" s="202" t="n">
        <f aca="false">4*(31340-(6886+7023+7152))</f>
        <v>41116</v>
      </c>
      <c r="F37" s="202" t="n">
        <f aca="false">4*(-1280-(257-1897+39))</f>
        <v>1284</v>
      </c>
      <c r="G37" s="202" t="n">
        <f aca="false">4*(-907-(180-1328+27))</f>
        <v>856</v>
      </c>
      <c r="H37" s="153" t="n">
        <f aca="false">D37/E37</f>
        <v>0.964582243530499</v>
      </c>
      <c r="I37" s="154" t="n">
        <f aca="false">IF(F37&gt;0,D37/F37,"N/A")</f>
        <v>30.887666296729</v>
      </c>
      <c r="J37" s="203" t="n">
        <f aca="false">IF(G37&gt;0,D37/G37,"N/A")</f>
        <v>46.3314994450935</v>
      </c>
    </row>
    <row r="38" customFormat="false" ht="13.8" hidden="false" customHeight="false" outlineLevel="0" collapsed="false">
      <c r="A38" s="199" t="s">
        <v>196</v>
      </c>
      <c r="B38" s="200" t="n">
        <v>14.2641</v>
      </c>
      <c r="C38" s="201" t="n">
        <f aca="false">3*598.7</f>
        <v>1796.1</v>
      </c>
      <c r="D38" s="202" t="n">
        <f aca="false">B38*C38</f>
        <v>25619.75001</v>
      </c>
      <c r="E38" s="202" t="n">
        <f aca="false">4*7152</f>
        <v>28608</v>
      </c>
      <c r="F38" s="202" t="n">
        <f aca="false">4*39</f>
        <v>156</v>
      </c>
      <c r="G38" s="202" t="n">
        <f aca="false">4*27</f>
        <v>108</v>
      </c>
      <c r="H38" s="153" t="n">
        <f aca="false">D38/E38</f>
        <v>0.895544952810403</v>
      </c>
      <c r="I38" s="154" t="n">
        <f aca="false">IF(F38&gt;0,D38/F38,"N/A")</f>
        <v>164.229166730769</v>
      </c>
      <c r="J38" s="203" t="n">
        <f aca="false">IF(G38&gt;0,D38/G38,"N/A")</f>
        <v>237.2199075</v>
      </c>
    </row>
    <row r="39" customFormat="false" ht="13.8" hidden="false" customHeight="false" outlineLevel="0" collapsed="false">
      <c r="A39" s="199" t="s">
        <v>197</v>
      </c>
      <c r="B39" s="200" t="n">
        <v>17.4869</v>
      </c>
      <c r="C39" s="201" t="n">
        <f aca="false">3*597.9</f>
        <v>1793.7</v>
      </c>
      <c r="D39" s="202" t="n">
        <f aca="false">B39*C39</f>
        <v>31366.25253</v>
      </c>
      <c r="E39" s="202" t="n">
        <f aca="false">4*7023</f>
        <v>28092</v>
      </c>
      <c r="F39" s="202" t="n">
        <f aca="false">4*-1897</f>
        <v>-7588</v>
      </c>
      <c r="G39" s="202" t="n">
        <f aca="false">4*-1328</f>
        <v>-5312</v>
      </c>
      <c r="H39" s="153" t="n">
        <f aca="false">D39/E39</f>
        <v>1.11655462516019</v>
      </c>
      <c r="I39" s="154" t="str">
        <f aca="false">IF(F39&gt;0,D39/F39,"N/A")</f>
        <v>N/A</v>
      </c>
      <c r="J39" s="203" t="str">
        <f aca="false">IF(G39&gt;0,D39/G39,"N/A")</f>
        <v>N/A</v>
      </c>
    </row>
    <row r="40" customFormat="false" ht="14.4" hidden="false" customHeight="false" outlineLevel="0" collapsed="false">
      <c r="A40" s="205" t="s">
        <v>198</v>
      </c>
      <c r="B40" s="206" t="n">
        <v>20.2108</v>
      </c>
      <c r="C40" s="207" t="n">
        <f aca="false">3*597.4</f>
        <v>1792.2</v>
      </c>
      <c r="D40" s="208" t="n">
        <f aca="false">B40*C40</f>
        <v>36221.79576</v>
      </c>
      <c r="E40" s="208" t="n">
        <f aca="false">4*6886</f>
        <v>27544</v>
      </c>
      <c r="F40" s="208" t="n">
        <f aca="false">4*257</f>
        <v>1028</v>
      </c>
      <c r="G40" s="208" t="n">
        <f aca="false">4*180</f>
        <v>720</v>
      </c>
      <c r="H40" s="209" t="n">
        <f aca="false">D40/E40</f>
        <v>1.31505212605286</v>
      </c>
      <c r="I40" s="221" t="n">
        <f aca="false">IF(F40&gt;0,D40/F40,"N/A")</f>
        <v>35.2352098832685</v>
      </c>
      <c r="J40" s="222" t="n">
        <f aca="false">IF(G40&gt;0,D40/G40,"N/A")</f>
        <v>50.3080496666667</v>
      </c>
    </row>
    <row r="41" customFormat="false" ht="14.4" hidden="false" customHeight="false" outlineLevel="0" collapsed="false">
      <c r="A41" s="223"/>
      <c r="B41" s="224"/>
      <c r="C41" s="224"/>
      <c r="D41" s="224"/>
      <c r="E41" s="224"/>
      <c r="F41" s="225" t="n">
        <f aca="false">SUM(F28:F40)/SUM(E28:E40)</f>
        <v>0.0342095392179902</v>
      </c>
      <c r="G41" s="225" t="n">
        <f aca="false">SUM(G28:G40)/SUM(E28:E40)</f>
        <v>0.0169494206330556</v>
      </c>
      <c r="H41" s="226" t="n">
        <f aca="false">AVERAGE(H28:H40)</f>
        <v>1.63571625181943</v>
      </c>
      <c r="I41" s="226" t="n">
        <f aca="false">AVERAGE(I28:I40)</f>
        <v>49.3774574016105</v>
      </c>
      <c r="J41" s="227" t="n">
        <f aca="false">AVERAGE(J28:J40)</f>
        <v>75.3998501117605</v>
      </c>
    </row>
    <row r="42" customFormat="false" ht="6.75" hidden="false" customHeight="true" outlineLevel="0" collapsed="false">
      <c r="A42" s="4"/>
      <c r="B42" s="4"/>
      <c r="C42" s="4"/>
      <c r="D42" s="4"/>
      <c r="E42" s="4"/>
      <c r="F42" s="228"/>
      <c r="G42" s="228"/>
      <c r="H42" s="229"/>
      <c r="I42" s="229"/>
      <c r="J42" s="229"/>
    </row>
    <row r="43" customFormat="false" ht="18.6" hidden="false" customHeight="false" outlineLevel="0" collapsed="false">
      <c r="A43" s="8" t="s">
        <v>200</v>
      </c>
      <c r="B43" s="218"/>
      <c r="C43" s="219"/>
      <c r="D43" s="219"/>
      <c r="E43" s="219"/>
      <c r="F43" s="219"/>
      <c r="G43" s="219"/>
      <c r="H43" s="218"/>
      <c r="I43" s="218"/>
      <c r="J43" s="220"/>
    </row>
    <row r="44" customFormat="false" ht="13.8" hidden="false" customHeight="false" outlineLevel="0" collapsed="false">
      <c r="A44" s="199" t="s">
        <v>45</v>
      </c>
      <c r="B44" s="4" t="n">
        <v>28.32</v>
      </c>
      <c r="C44" s="230" t="n">
        <f aca="false">C45</f>
        <v>477</v>
      </c>
      <c r="D44" s="202" t="n">
        <f aca="false">B44*C44</f>
        <v>13508.64</v>
      </c>
      <c r="E44" s="202" t="n">
        <f aca="false">E45+E45-E46</f>
        <v>17259.2</v>
      </c>
      <c r="F44" s="202" t="n">
        <f aca="false">F45+F45-F46</f>
        <v>5440.8</v>
      </c>
      <c r="G44" s="202" t="n">
        <f aca="false">G45+G45-G46</f>
        <v>1318.9</v>
      </c>
      <c r="H44" s="153" t="n">
        <f aca="false">D44/E44</f>
        <v>0.782692129415037</v>
      </c>
      <c r="I44" s="153" t="n">
        <f aca="false">D44/F44</f>
        <v>2.48284075871195</v>
      </c>
      <c r="J44" s="204" t="n">
        <f aca="false">D44/G44</f>
        <v>10.2423534763818</v>
      </c>
    </row>
    <row r="45" customFormat="false" ht="13.8" hidden="false" customHeight="false" outlineLevel="0" collapsed="false">
      <c r="A45" s="199" t="s">
        <v>44</v>
      </c>
      <c r="B45" s="4" t="n">
        <v>27.3</v>
      </c>
      <c r="C45" s="230" t="n">
        <f aca="false">C46</f>
        <v>477</v>
      </c>
      <c r="D45" s="202" t="n">
        <f aca="false">B45*C45</f>
        <v>13022.1</v>
      </c>
      <c r="E45" s="202" t="n">
        <f aca="false">E46+E46-E47</f>
        <v>16094.4</v>
      </c>
      <c r="F45" s="202" t="n">
        <f aca="false">F46+F46-F47</f>
        <v>4605.6</v>
      </c>
      <c r="G45" s="202" t="n">
        <f aca="false">G46+G46-G47</f>
        <v>1152</v>
      </c>
      <c r="H45" s="153" t="n">
        <f aca="false">D45/E45</f>
        <v>0.80910751565762</v>
      </c>
      <c r="I45" s="153" t="n">
        <f aca="false">D45/F45</f>
        <v>2.82744919228765</v>
      </c>
      <c r="J45" s="204" t="n">
        <f aca="false">D45/G45</f>
        <v>11.30390625</v>
      </c>
    </row>
    <row r="46" customFormat="false" ht="13.8" hidden="false" customHeight="false" outlineLevel="0" collapsed="false">
      <c r="A46" s="199" t="s">
        <v>43</v>
      </c>
      <c r="B46" s="4" t="n">
        <v>32.95</v>
      </c>
      <c r="C46" s="230" t="n">
        <f aca="false">C47</f>
        <v>477</v>
      </c>
      <c r="D46" s="202" t="n">
        <f aca="false">B46*C46</f>
        <v>15717.15</v>
      </c>
      <c r="E46" s="202" t="n">
        <f aca="false">E47+E47-E48</f>
        <v>14929.6</v>
      </c>
      <c r="F46" s="202" t="n">
        <f aca="false">F47+F47-F48</f>
        <v>3770.4</v>
      </c>
      <c r="G46" s="202" t="n">
        <f aca="false">G47+G47-G48</f>
        <v>985.1</v>
      </c>
      <c r="H46" s="153" t="n">
        <f aca="false">D46/E46</f>
        <v>1.05275091094202</v>
      </c>
      <c r="I46" s="153" t="n">
        <f aca="false">D46/F46</f>
        <v>4.16856301718651</v>
      </c>
      <c r="J46" s="204" t="n">
        <f aca="false">D46/G46</f>
        <v>15.9548776773932</v>
      </c>
    </row>
    <row r="47" customFormat="false" ht="13.8" hidden="false" customHeight="false" outlineLevel="0" collapsed="false">
      <c r="A47" s="199" t="s">
        <v>42</v>
      </c>
      <c r="B47" s="4" t="n">
        <v>42.85</v>
      </c>
      <c r="C47" s="230" t="n">
        <v>477</v>
      </c>
      <c r="D47" s="202" t="n">
        <f aca="false">B47*C47</f>
        <v>20439.45</v>
      </c>
      <c r="E47" s="202" t="n">
        <f aca="false">E48+E48-E49</f>
        <v>13764.8</v>
      </c>
      <c r="F47" s="202" t="n">
        <f aca="false">F48+F48-F49</f>
        <v>2935.2</v>
      </c>
      <c r="G47" s="202" t="n">
        <f aca="false">G48+G48-G49</f>
        <v>818.2</v>
      </c>
      <c r="H47" s="153" t="n">
        <f aca="false">D47/E47</f>
        <v>1.484907154481</v>
      </c>
      <c r="I47" s="153" t="n">
        <f aca="false">D47/F47</f>
        <v>6.96356295993459</v>
      </c>
      <c r="J47" s="204" t="n">
        <f aca="false">D47/G47</f>
        <v>24.9809948667807</v>
      </c>
    </row>
    <row r="48" customFormat="false" ht="13.8" hidden="false" customHeight="false" outlineLevel="0" collapsed="false">
      <c r="A48" s="199" t="s">
        <v>41</v>
      </c>
      <c r="B48" s="4" t="n">
        <v>39.9375</v>
      </c>
      <c r="C48" s="230" t="n">
        <v>477</v>
      </c>
      <c r="D48" s="202" t="n">
        <f aca="false">B48*C48</f>
        <v>19050.1875</v>
      </c>
      <c r="E48" s="202" t="n">
        <v>12600</v>
      </c>
      <c r="F48" s="202" t="n">
        <v>2100</v>
      </c>
      <c r="G48" s="202" t="n">
        <v>651.3</v>
      </c>
      <c r="H48" s="153" t="n">
        <f aca="false">D48/E48</f>
        <v>1.51191964285714</v>
      </c>
      <c r="I48" s="153" t="n">
        <f aca="false">D48/F48</f>
        <v>9.07151785714286</v>
      </c>
      <c r="J48" s="204" t="n">
        <f aca="false">D48/G48</f>
        <v>29.2494818056195</v>
      </c>
    </row>
    <row r="49" customFormat="false" ht="13.8" hidden="false" customHeight="false" outlineLevel="0" collapsed="false">
      <c r="A49" s="199" t="s">
        <v>40</v>
      </c>
      <c r="B49" s="4" t="n">
        <v>42.0802</v>
      </c>
      <c r="C49" s="230" t="n">
        <v>450.294</v>
      </c>
      <c r="D49" s="202" t="n">
        <f aca="false">B49*C49</f>
        <v>18948.4615788</v>
      </c>
      <c r="E49" s="202" t="n">
        <f aca="false">4*2858.8</f>
        <v>11435.2</v>
      </c>
      <c r="F49" s="202" t="n">
        <f aca="false">4*316.2</f>
        <v>1264.8</v>
      </c>
      <c r="G49" s="202" t="n">
        <f aca="false">4*121.1</f>
        <v>484.4</v>
      </c>
      <c r="H49" s="153" t="n">
        <f aca="false">D49/E49</f>
        <v>1.65702931114454</v>
      </c>
      <c r="I49" s="153" t="n">
        <f aca="false">D49/F49</f>
        <v>14.9813896100569</v>
      </c>
      <c r="J49" s="204" t="n">
        <f aca="false">D49/G49</f>
        <v>39.1173855879438</v>
      </c>
    </row>
    <row r="50" customFormat="false" ht="13.8" hidden="false" customHeight="false" outlineLevel="0" collapsed="false">
      <c r="A50" s="199" t="s">
        <v>39</v>
      </c>
      <c r="B50" s="4" t="n">
        <v>41.3832</v>
      </c>
      <c r="C50" s="230" t="n">
        <f aca="false">448.617</f>
        <v>448.617</v>
      </c>
      <c r="D50" s="202" t="n">
        <f aca="false">B50*C50</f>
        <v>18565.2070344</v>
      </c>
      <c r="E50" s="202" t="n">
        <f aca="false">4*2859.1</f>
        <v>11436.4</v>
      </c>
      <c r="F50" s="202" t="n">
        <f aca="false">4*473.9</f>
        <v>1895.6</v>
      </c>
      <c r="G50" s="202" t="n">
        <f aca="false">4*351.8</f>
        <v>1407.2</v>
      </c>
      <c r="H50" s="153" t="n">
        <f aca="false">D50/E50</f>
        <v>1.62334362512679</v>
      </c>
      <c r="I50" s="153" t="n">
        <f aca="false">D50/F50</f>
        <v>9.79384207343322</v>
      </c>
      <c r="J50" s="204" t="n">
        <f aca="false">D50/G50</f>
        <v>13.1930123894258</v>
      </c>
    </row>
    <row r="51" customFormat="false" ht="13.8" hidden="false" customHeight="false" outlineLevel="0" collapsed="false">
      <c r="A51" s="199" t="s">
        <v>190</v>
      </c>
      <c r="B51" s="4" t="n">
        <v>43.4646</v>
      </c>
      <c r="C51" s="230" t="n">
        <v>442.884</v>
      </c>
      <c r="D51" s="202" t="n">
        <f aca="false">B51*C51</f>
        <v>19249.7759064</v>
      </c>
      <c r="E51" s="202" t="n">
        <f aca="false">4*2427.7</f>
        <v>9710.8</v>
      </c>
      <c r="F51" s="202" t="n">
        <f aca="false">4*267.3</f>
        <v>1069.2</v>
      </c>
      <c r="G51" s="202" t="n">
        <f aca="false">4*99.7</f>
        <v>398.8</v>
      </c>
      <c r="H51" s="153" t="n">
        <f aca="false">D51/E51</f>
        <v>1.98230587659101</v>
      </c>
      <c r="I51" s="153" t="n">
        <f aca="false">D51/F51</f>
        <v>18.0039056363636</v>
      </c>
      <c r="J51" s="204" t="n">
        <f aca="false">D51/G51</f>
        <v>48.2692475085256</v>
      </c>
    </row>
    <row r="52" customFormat="false" ht="13.8" hidden="false" customHeight="false" outlineLevel="0" collapsed="false">
      <c r="A52" s="199" t="s">
        <v>191</v>
      </c>
      <c r="B52" s="4" t="n">
        <v>30.1404</v>
      </c>
      <c r="C52" s="230" t="n">
        <f aca="false">(C51+C53)/2</f>
        <v>442.564</v>
      </c>
      <c r="D52" s="202" t="n">
        <f aca="false">B52*C52</f>
        <v>13339.0559856</v>
      </c>
      <c r="E52" s="202" t="n">
        <f aca="false">4*8593.1-SUM(E53:E55)</f>
        <v>9793.2</v>
      </c>
      <c r="F52" s="202" t="n">
        <f aca="false">4*848.6-SUM(F53:F54)</f>
        <v>1769.6</v>
      </c>
      <c r="G52" s="202" t="n">
        <f aca="false">4*218.6-SUM(G53:G54)</f>
        <v>689.6</v>
      </c>
      <c r="H52" s="153" t="n">
        <f aca="false">D52/E52</f>
        <v>1.3620732738635</v>
      </c>
      <c r="I52" s="153" t="n">
        <f aca="false">D52/F52</f>
        <v>7.53789330108499</v>
      </c>
      <c r="J52" s="204" t="n">
        <f aca="false">D52/G52</f>
        <v>19.3431786334107</v>
      </c>
    </row>
    <row r="53" customFormat="false" ht="13.8" hidden="false" customHeight="false" outlineLevel="0" collapsed="false">
      <c r="A53" s="199" t="s">
        <v>192</v>
      </c>
      <c r="B53" s="4" t="n">
        <v>36.9301</v>
      </c>
      <c r="C53" s="230" t="n">
        <v>442.244</v>
      </c>
      <c r="D53" s="202" t="n">
        <f aca="false">B53*C53</f>
        <v>16332.1151444</v>
      </c>
      <c r="E53" s="202" t="n">
        <f aca="false">4*2207.7</f>
        <v>8830.8</v>
      </c>
      <c r="F53" s="202" t="n">
        <f aca="false">4*222.6</f>
        <v>890.4</v>
      </c>
      <c r="G53" s="202" t="n">
        <f aca="false">4*28.1</f>
        <v>112.4</v>
      </c>
      <c r="H53" s="153" t="n">
        <f aca="false">D53/E53</f>
        <v>1.84944910363727</v>
      </c>
      <c r="I53" s="153" t="n">
        <f aca="false">D53/F53</f>
        <v>18.3424473769093</v>
      </c>
      <c r="J53" s="204" t="n">
        <f aca="false">D53/G53</f>
        <v>145.303515519573</v>
      </c>
    </row>
    <row r="54" customFormat="false" ht="13.8" hidden="false" customHeight="false" outlineLevel="0" collapsed="false">
      <c r="A54" s="199" t="s">
        <v>193</v>
      </c>
      <c r="B54" s="4" t="n">
        <v>41.6346</v>
      </c>
      <c r="C54" s="230" t="n">
        <v>441.746</v>
      </c>
      <c r="D54" s="202" t="n">
        <f aca="false">B54*C54</f>
        <v>18391.9180116</v>
      </c>
      <c r="E54" s="202" t="n">
        <f aca="false">4*1993</f>
        <v>7972</v>
      </c>
      <c r="F54" s="202" t="n">
        <f aca="false">4*183.6</f>
        <v>734.4</v>
      </c>
      <c r="G54" s="202" t="n">
        <f aca="false">4*18.1</f>
        <v>72.4</v>
      </c>
      <c r="H54" s="153" t="n">
        <f aca="false">D54/E54</f>
        <v>2.30706447711992</v>
      </c>
      <c r="I54" s="153" t="n">
        <f aca="false">D54/F54</f>
        <v>25.0434613447712</v>
      </c>
      <c r="J54" s="204" t="n">
        <f aca="false">D54/G54</f>
        <v>254.032016734807</v>
      </c>
    </row>
    <row r="55" customFormat="false" ht="13.8" hidden="false" customHeight="false" outlineLevel="0" collapsed="false">
      <c r="A55" s="199" t="s">
        <v>194</v>
      </c>
      <c r="B55" s="4" t="n">
        <v>38.5298</v>
      </c>
      <c r="C55" s="230" t="n">
        <v>432.091</v>
      </c>
      <c r="D55" s="202" t="n">
        <f aca="false">B55*C55</f>
        <v>16648.3798118</v>
      </c>
      <c r="E55" s="202" t="n">
        <f aca="false">4*1944.1</f>
        <v>7776.4</v>
      </c>
      <c r="F55" s="202" t="n">
        <f aca="false">4*226.5</f>
        <v>906</v>
      </c>
      <c r="G55" s="202" t="n">
        <f aca="false">4*51.3</f>
        <v>205.2</v>
      </c>
      <c r="H55" s="153" t="n">
        <f aca="false">D55/E55</f>
        <v>2.14088521832725</v>
      </c>
      <c r="I55" s="153" t="n">
        <f aca="false">D55/F55</f>
        <v>18.3756951565121</v>
      </c>
      <c r="J55" s="204" t="n">
        <f aca="false">D55/G55</f>
        <v>81.1324552231969</v>
      </c>
    </row>
    <row r="56" customFormat="false" ht="13.8" hidden="false" customHeight="false" outlineLevel="0" collapsed="false">
      <c r="A56" s="199" t="s">
        <v>195</v>
      </c>
      <c r="B56" s="4" t="n">
        <v>30.2867</v>
      </c>
      <c r="C56" s="230" t="n">
        <f aca="false">(C55+C57)/2</f>
        <v>430.3425</v>
      </c>
      <c r="D56" s="202" t="n">
        <f aca="false">B56*C56</f>
        <v>13033.65419475</v>
      </c>
      <c r="E56" s="202" t="n">
        <f aca="false">4*7658.3-SUM(E57:E59)</f>
        <v>8154</v>
      </c>
      <c r="F56" s="202" t="n">
        <f aca="false">4*716.8-SUM(F57:F58)</f>
        <v>1285.2</v>
      </c>
      <c r="G56" s="202" t="n">
        <f aca="false">4*115.2-SUM(G57:G58)</f>
        <v>96</v>
      </c>
      <c r="H56" s="153" t="n">
        <f aca="false">D56/E56</f>
        <v>1.59843686469831</v>
      </c>
      <c r="I56" s="153" t="n">
        <f aca="false">D56/F56</f>
        <v>10.1413431331699</v>
      </c>
      <c r="J56" s="204" t="n">
        <f aca="false">D56/G56</f>
        <v>135.767231195313</v>
      </c>
    </row>
    <row r="57" customFormat="false" ht="13.8" hidden="false" customHeight="false" outlineLevel="0" collapsed="false">
      <c r="A57" s="199" t="s">
        <v>196</v>
      </c>
      <c r="B57" s="4" t="n">
        <v>27.7707</v>
      </c>
      <c r="C57" s="230" t="n">
        <v>428.594</v>
      </c>
      <c r="D57" s="202" t="n">
        <f aca="false">B57*C57</f>
        <v>11902.3553958</v>
      </c>
      <c r="E57" s="202" t="n">
        <f aca="false">4*1886.8</f>
        <v>7547.2</v>
      </c>
      <c r="F57" s="202" t="n">
        <f aca="false">4*173.6</f>
        <v>694.4</v>
      </c>
      <c r="G57" s="202" t="n">
        <f aca="false">4*32.1</f>
        <v>128.4</v>
      </c>
      <c r="H57" s="153" t="n">
        <f aca="false">D57/E57</f>
        <v>1.57705578172037</v>
      </c>
      <c r="I57" s="153" t="n">
        <f aca="false">D57/F57</f>
        <v>17.1404887612327</v>
      </c>
      <c r="J57" s="204" t="n">
        <f aca="false">D57/G57</f>
        <v>92.6974719299065</v>
      </c>
    </row>
    <row r="58" customFormat="false" ht="13.8" hidden="false" customHeight="false" outlineLevel="0" collapsed="false">
      <c r="A58" s="199" t="s">
        <v>197</v>
      </c>
      <c r="B58" s="4" t="n">
        <v>32.4318</v>
      </c>
      <c r="C58" s="230" t="n">
        <v>426.163</v>
      </c>
      <c r="D58" s="202" t="n">
        <f aca="false">B58*C58</f>
        <v>13821.2331834</v>
      </c>
      <c r="E58" s="202" t="n">
        <f aca="false">4*1774.2</f>
        <v>7096.8</v>
      </c>
      <c r="F58" s="202" t="n">
        <f aca="false">4*221.9</f>
        <v>887.6</v>
      </c>
      <c r="G58" s="202" t="n">
        <f aca="false">4*59.1</f>
        <v>236.4</v>
      </c>
      <c r="H58" s="153" t="n">
        <f aca="false">D58/E58</f>
        <v>1.94753032118701</v>
      </c>
      <c r="I58" s="153" t="n">
        <f aca="false">D58/F58</f>
        <v>15.5714659569626</v>
      </c>
      <c r="J58" s="204" t="n">
        <f aca="false">D58/G58</f>
        <v>58.4654533984772</v>
      </c>
    </row>
    <row r="59" customFormat="false" ht="14.4" hidden="false" customHeight="false" outlineLevel="0" collapsed="false">
      <c r="A59" s="199" t="s">
        <v>198</v>
      </c>
      <c r="B59" s="4" t="n">
        <v>30.6046</v>
      </c>
      <c r="C59" s="230" t="n">
        <v>417.347</v>
      </c>
      <c r="D59" s="202" t="n">
        <f aca="false">B59*C59</f>
        <v>12772.7379962</v>
      </c>
      <c r="E59" s="202" t="n">
        <f aca="false">4*1958.8</f>
        <v>7835.2</v>
      </c>
      <c r="F59" s="202" t="n">
        <f aca="false">4*227.4</f>
        <v>909.6</v>
      </c>
      <c r="G59" s="202" t="n">
        <f aca="false">4*68.1</f>
        <v>272.4</v>
      </c>
      <c r="H59" s="153" t="n">
        <f aca="false">D59/E59</f>
        <v>1.6301738304319</v>
      </c>
      <c r="I59" s="153" t="n">
        <f aca="false">D59/F59</f>
        <v>14.042148192832</v>
      </c>
      <c r="J59" s="204" t="n">
        <f aca="false">D59/G59</f>
        <v>46.8896402209985</v>
      </c>
    </row>
    <row r="60" customFormat="false" ht="14.4" hidden="false" customHeight="false" outlineLevel="0" collapsed="false">
      <c r="A60" s="223"/>
      <c r="B60" s="224"/>
      <c r="C60" s="224"/>
      <c r="D60" s="224"/>
      <c r="E60" s="224"/>
      <c r="F60" s="225" t="n">
        <f aca="false">SUM(F47:F59)/SUM(E47:E59)</f>
        <v>0.139908094048702</v>
      </c>
      <c r="G60" s="225" t="n">
        <f aca="false">SUM(G47:G59)/SUM(E47:E59)</f>
        <v>0.0449582421696</v>
      </c>
      <c r="H60" s="226" t="n">
        <f aca="false">AVERAGE(H47:H59)</f>
        <v>1.74401342162969</v>
      </c>
      <c r="I60" s="226" t="n">
        <f aca="false">AVERAGE(I47:I59)</f>
        <v>14.2314739508005</v>
      </c>
      <c r="J60" s="227" t="n">
        <f aca="false">AVERAGE(J47:J59)</f>
        <v>76.0339296164598</v>
      </c>
    </row>
    <row r="61" customFormat="false" ht="6.75" hidden="false" customHeight="true" outlineLevel="0" collapsed="false">
      <c r="A61" s="4"/>
      <c r="B61" s="4"/>
      <c r="C61" s="4"/>
      <c r="D61" s="4"/>
      <c r="E61" s="4"/>
      <c r="F61" s="228"/>
      <c r="G61" s="228"/>
      <c r="H61" s="229"/>
      <c r="I61" s="229"/>
      <c r="J61" s="229"/>
    </row>
    <row r="62" customFormat="false" ht="18.6" hidden="false" customHeight="false" outlineLevel="0" collapsed="false">
      <c r="A62" s="8" t="s">
        <v>201</v>
      </c>
      <c r="B62" s="218"/>
      <c r="C62" s="219"/>
      <c r="D62" s="219"/>
      <c r="E62" s="219"/>
      <c r="F62" s="219"/>
      <c r="G62" s="219"/>
      <c r="H62" s="218"/>
      <c r="I62" s="218"/>
      <c r="J62" s="220"/>
    </row>
    <row r="63" customFormat="false" ht="13.8" hidden="false" customHeight="false" outlineLevel="0" collapsed="false">
      <c r="A63" s="199" t="s">
        <v>45</v>
      </c>
      <c r="B63" s="231" t="n">
        <v>17.16</v>
      </c>
      <c r="C63" s="230" t="n">
        <v>15.8</v>
      </c>
      <c r="D63" s="202" t="n">
        <f aca="false">B63*C63</f>
        <v>271.128</v>
      </c>
      <c r="E63" s="202" t="n">
        <f aca="false">AVERAGE(E64:E67)</f>
        <v>22.6079375</v>
      </c>
      <c r="F63" s="202" t="n">
        <f aca="false">F64</f>
        <v>-9.864</v>
      </c>
      <c r="G63" s="202" t="n">
        <f aca="false">G64</f>
        <v>-7.004</v>
      </c>
      <c r="H63" s="153" t="n">
        <f aca="false">D63/E63</f>
        <v>11.9926021557694</v>
      </c>
      <c r="I63" s="154" t="str">
        <f aca="false">IF(F63&gt;0,D63/F63,"NM")</f>
        <v>NM</v>
      </c>
      <c r="J63" s="203" t="str">
        <f aca="false">IF(G63&gt;0,D63/G63,"nm")</f>
        <v>nm</v>
      </c>
    </row>
    <row r="64" customFormat="false" ht="13.8" hidden="false" customHeight="false" outlineLevel="0" collapsed="false">
      <c r="A64" s="199" t="s">
        <v>44</v>
      </c>
      <c r="B64" s="231" t="n">
        <v>14.81</v>
      </c>
      <c r="C64" s="230" t="n">
        <v>15.8</v>
      </c>
      <c r="D64" s="202" t="n">
        <f aca="false">B64*C64</f>
        <v>233.998</v>
      </c>
      <c r="E64" s="202" t="n">
        <f aca="false">AVERAGE(E65:E68)</f>
        <v>24.52875</v>
      </c>
      <c r="F64" s="202" t="n">
        <f aca="false">F65</f>
        <v>-9.864</v>
      </c>
      <c r="G64" s="202" t="n">
        <f aca="false">G65</f>
        <v>-7.004</v>
      </c>
      <c r="H64" s="153" t="n">
        <f aca="false">D64/E64</f>
        <v>9.5397441777506</v>
      </c>
      <c r="I64" s="154" t="str">
        <f aca="false">IF(F64&gt;0,D64/F64,"NM")</f>
        <v>NM</v>
      </c>
      <c r="J64" s="203" t="str">
        <f aca="false">IF(G64&gt;0,D64/G64,"nm")</f>
        <v>nm</v>
      </c>
    </row>
    <row r="65" customFormat="false" ht="13.8" hidden="false" customHeight="false" outlineLevel="0" collapsed="false">
      <c r="A65" s="199" t="s">
        <v>43</v>
      </c>
      <c r="B65" s="231" t="n">
        <v>23.09</v>
      </c>
      <c r="C65" s="230" t="n">
        <v>15.8</v>
      </c>
      <c r="D65" s="202" t="n">
        <f aca="false">B65*C65</f>
        <v>364.822</v>
      </c>
      <c r="E65" s="202" t="n">
        <f aca="false">AVERAGE(E66:E69)</f>
        <v>22.919</v>
      </c>
      <c r="F65" s="202" t="n">
        <f aca="false">F66</f>
        <v>-9.864</v>
      </c>
      <c r="G65" s="202" t="n">
        <f aca="false">G66</f>
        <v>-7.004</v>
      </c>
      <c r="H65" s="153" t="n">
        <f aca="false">D65/E65</f>
        <v>15.9178847244644</v>
      </c>
      <c r="I65" s="154" t="str">
        <f aca="false">IF(F65&gt;0,D65/F65,"NM")</f>
        <v>NM</v>
      </c>
      <c r="J65" s="203" t="str">
        <f aca="false">IF(G65&gt;0,D65/G65,"nm")</f>
        <v>nm</v>
      </c>
    </row>
    <row r="66" customFormat="false" ht="13.8" hidden="false" customHeight="false" outlineLevel="0" collapsed="false">
      <c r="A66" s="199" t="s">
        <v>42</v>
      </c>
      <c r="B66" s="231" t="n">
        <v>50.5</v>
      </c>
      <c r="C66" s="230" t="n">
        <v>15.8</v>
      </c>
      <c r="D66" s="202" t="n">
        <f aca="false">B66*C66</f>
        <v>797.9</v>
      </c>
      <c r="E66" s="202" t="n">
        <f aca="false">AVERAGE(E67:E70)</f>
        <v>22.284</v>
      </c>
      <c r="F66" s="202" t="n">
        <f aca="false">F67</f>
        <v>-9.864</v>
      </c>
      <c r="G66" s="202" t="n">
        <f aca="false">G67</f>
        <v>-7.004</v>
      </c>
      <c r="H66" s="153" t="n">
        <f aca="false">D66/E66</f>
        <v>35.8059594327769</v>
      </c>
      <c r="I66" s="154" t="str">
        <f aca="false">IF(F66&gt;0,D66/F66,"NM")</f>
        <v>NM</v>
      </c>
      <c r="J66" s="203" t="str">
        <f aca="false">IF(G66&gt;0,D66/G66,"nm")</f>
        <v>nm</v>
      </c>
    </row>
    <row r="67" customFormat="false" ht="13.8" hidden="false" customHeight="false" outlineLevel="0" collapsed="false">
      <c r="A67" s="199" t="s">
        <v>41</v>
      </c>
      <c r="B67" s="231" t="n">
        <v>68.5625</v>
      </c>
      <c r="C67" s="230" t="n">
        <v>15.8</v>
      </c>
      <c r="D67" s="202" t="n">
        <f aca="false">B67*C67</f>
        <v>1083.2875</v>
      </c>
      <c r="E67" s="202" t="n">
        <f aca="false">AVERAGE(E68:E71)</f>
        <v>20.7</v>
      </c>
      <c r="F67" s="202" t="n">
        <f aca="false">F68</f>
        <v>-9.864</v>
      </c>
      <c r="G67" s="202" t="n">
        <f aca="false">G68</f>
        <v>-7.004</v>
      </c>
      <c r="H67" s="153" t="n">
        <f aca="false">D67/E67</f>
        <v>52.3327294685991</v>
      </c>
      <c r="I67" s="154" t="str">
        <f aca="false">IF(F67&gt;0,D67/F67,"NM")</f>
        <v>NM</v>
      </c>
      <c r="J67" s="203" t="str">
        <f aca="false">IF(G67&gt;0,D67/G67,"nm")</f>
        <v>nm</v>
      </c>
    </row>
    <row r="68" customFormat="false" ht="13.8" hidden="false" customHeight="false" outlineLevel="0" collapsed="false">
      <c r="A68" s="199" t="s">
        <v>40</v>
      </c>
      <c r="B68" s="231" t="n">
        <v>96.2344</v>
      </c>
      <c r="C68" s="230" t="n">
        <v>15.73</v>
      </c>
      <c r="D68" s="202" t="n">
        <f aca="false">B68*C68</f>
        <v>1513.767112</v>
      </c>
      <c r="E68" s="202" t="n">
        <f aca="false">4*20.7-SUM(E69:E71)</f>
        <v>32.212</v>
      </c>
      <c r="F68" s="202" t="n">
        <f aca="false">4*-6.733-SUM(F69:F71)</f>
        <v>-9.864</v>
      </c>
      <c r="G68" s="202" t="n">
        <f aca="false">4*-4.589-SUM(G69:G71)</f>
        <v>-7.004</v>
      </c>
      <c r="H68" s="153" t="n">
        <f aca="false">D68/E68</f>
        <v>46.993887743698</v>
      </c>
      <c r="I68" s="154" t="str">
        <f aca="false">IF(F68&gt;0,D68/F68,"NM")</f>
        <v>NM</v>
      </c>
      <c r="J68" s="203" t="str">
        <f aca="false">IF(G68&gt;0,D68/G68,"nm")</f>
        <v>nm</v>
      </c>
    </row>
    <row r="69" customFormat="false" ht="13.8" hidden="false" customHeight="false" outlineLevel="0" collapsed="false">
      <c r="A69" s="199" t="s">
        <v>39</v>
      </c>
      <c r="B69" s="231" t="n">
        <v>69.0625</v>
      </c>
      <c r="C69" s="230" t="n">
        <v>15.37</v>
      </c>
      <c r="D69" s="202" t="n">
        <f aca="false">B69*C69</f>
        <v>1061.490625</v>
      </c>
      <c r="E69" s="202" t="n">
        <f aca="false">4*4.12</f>
        <v>16.48</v>
      </c>
      <c r="F69" s="202" t="n">
        <f aca="false">4*-2.292</f>
        <v>-9.168</v>
      </c>
      <c r="G69" s="202" t="n">
        <f aca="false">4*-1.314</f>
        <v>-5.256</v>
      </c>
      <c r="H69" s="153" t="n">
        <f aca="false">D69/E69</f>
        <v>64.4108388956311</v>
      </c>
      <c r="I69" s="154" t="str">
        <f aca="false">IF(F69&gt;0,D69/F69,"NM")</f>
        <v>NM</v>
      </c>
      <c r="J69" s="203" t="str">
        <f aca="false">IF(G69&gt;0,D69/G69,"nm")</f>
        <v>nm</v>
      </c>
    </row>
    <row r="70" customFormat="false" ht="13.8" hidden="false" customHeight="false" outlineLevel="0" collapsed="false">
      <c r="A70" s="199" t="s">
        <v>190</v>
      </c>
      <c r="B70" s="231" t="n">
        <v>78.25</v>
      </c>
      <c r="C70" s="230" t="n">
        <f aca="false">2*6.332898</f>
        <v>12.665796</v>
      </c>
      <c r="D70" s="202" t="n">
        <f aca="false">B70*C70</f>
        <v>991.098537</v>
      </c>
      <c r="E70" s="202" t="n">
        <f aca="false">4*4.936</f>
        <v>19.744</v>
      </c>
      <c r="F70" s="202" t="n">
        <f aca="false">4*-1.884</f>
        <v>-7.536</v>
      </c>
      <c r="G70" s="202" t="n">
        <f aca="false">4*-1.711</f>
        <v>-6.844</v>
      </c>
      <c r="H70" s="153" t="n">
        <f aca="false">D70/E70</f>
        <v>50.1974542645867</v>
      </c>
      <c r="I70" s="154" t="str">
        <f aca="false">IF(F70&gt;0,D70/F70,"NM")</f>
        <v>NM</v>
      </c>
      <c r="J70" s="203" t="str">
        <f aca="false">IF(G70&gt;0,D70/G70,"nm")</f>
        <v>nm</v>
      </c>
    </row>
    <row r="71" customFormat="false" ht="13.8" hidden="false" customHeight="false" outlineLevel="0" collapsed="false">
      <c r="A71" s="199" t="s">
        <v>191</v>
      </c>
      <c r="B71" s="231" t="n">
        <v>25.0625</v>
      </c>
      <c r="C71" s="230" t="n">
        <f aca="false">2*6.332898</f>
        <v>12.665796</v>
      </c>
      <c r="D71" s="202" t="n">
        <f aca="false">B71*C71</f>
        <v>317.43651225</v>
      </c>
      <c r="E71" s="202" t="n">
        <f aca="false">4*3.591</f>
        <v>14.364</v>
      </c>
      <c r="F71" s="202" t="n">
        <f aca="false">4*-0.091</f>
        <v>-0.364</v>
      </c>
      <c r="G71" s="202" t="n">
        <f aca="false">4*0.187</f>
        <v>0.748</v>
      </c>
      <c r="H71" s="153" t="n">
        <f aca="false">D71/E71</f>
        <v>22.0994508667502</v>
      </c>
      <c r="I71" s="154" t="str">
        <f aca="false">IF(F71&gt;0,D71/F71,"NM")</f>
        <v>NM</v>
      </c>
      <c r="J71" s="203" t="n">
        <f aca="false">IF(G71&gt;0,D71/G71,"nm")</f>
        <v>424.380363970588</v>
      </c>
    </row>
    <row r="72" customFormat="false" ht="13.8" hidden="false" customHeight="false" outlineLevel="0" collapsed="false">
      <c r="A72" s="199" t="s">
        <v>192</v>
      </c>
      <c r="B72" s="231" t="n">
        <v>26.375</v>
      </c>
      <c r="C72" s="230" t="n">
        <v>12.65</v>
      </c>
      <c r="D72" s="202" t="n">
        <f aca="false">B72*C72</f>
        <v>333.64375</v>
      </c>
      <c r="E72" s="202" t="n">
        <f aca="false">4*19.964-SUM(E73:E75)</f>
        <v>13.904</v>
      </c>
      <c r="F72" s="202" t="n">
        <f aca="false">4*-2.247-SUM(F73:F75)</f>
        <v>-2.88</v>
      </c>
      <c r="G72" s="202" t="n">
        <f aca="false">4*-0.985-SUM(G73:G75)</f>
        <v>-0.356</v>
      </c>
      <c r="H72" s="153" t="n">
        <f aca="false">D72/E72</f>
        <v>23.9962420886076</v>
      </c>
      <c r="I72" s="154" t="str">
        <f aca="false">IF(F72&gt;0,D72/F72,"NM")</f>
        <v>NM</v>
      </c>
      <c r="J72" s="203" t="str">
        <f aca="false">IF(G72&gt;0,D72/G72,"nm")</f>
        <v>nm</v>
      </c>
    </row>
    <row r="73" customFormat="false" ht="13.8" hidden="false" customHeight="false" outlineLevel="0" collapsed="false">
      <c r="A73" s="199" t="s">
        <v>193</v>
      </c>
      <c r="B73" s="231" t="n">
        <v>14.25</v>
      </c>
      <c r="C73" s="230" t="n">
        <v>12.55</v>
      </c>
      <c r="D73" s="202" t="n">
        <f aca="false">B73*C73</f>
        <v>178.8375</v>
      </c>
      <c r="E73" s="202" t="n">
        <f aca="false">4*4.416</f>
        <v>17.664</v>
      </c>
      <c r="F73" s="202" t="n">
        <f aca="false">4*-0.369</f>
        <v>-1.476</v>
      </c>
      <c r="G73" s="202" t="n">
        <f aca="false">4*-0.2</f>
        <v>-0.8</v>
      </c>
      <c r="H73" s="153" t="n">
        <f aca="false">D73/E73</f>
        <v>10.1244055706522</v>
      </c>
      <c r="I73" s="154" t="str">
        <f aca="false">IF(F73&gt;0,D73/F73,"NM")</f>
        <v>NM</v>
      </c>
      <c r="J73" s="203" t="str">
        <f aca="false">IF(G73&gt;0,D73/G73,"nm")</f>
        <v>nm</v>
      </c>
    </row>
    <row r="74" customFormat="false" ht="13.8" hidden="false" customHeight="false" outlineLevel="0" collapsed="false">
      <c r="A74" s="199" t="s">
        <v>194</v>
      </c>
      <c r="B74" s="231" t="n">
        <v>8.5</v>
      </c>
      <c r="C74" s="230" t="n">
        <v>12.5</v>
      </c>
      <c r="D74" s="202" t="n">
        <f aca="false">B74*C74</f>
        <v>106.25</v>
      </c>
      <c r="E74" s="202" t="n">
        <f aca="false">4*5.788</f>
        <v>23.152</v>
      </c>
      <c r="F74" s="202" t="n">
        <f aca="false">4*-0.573</f>
        <v>-2.292</v>
      </c>
      <c r="G74" s="202" t="n">
        <f aca="false">4*-0.348</f>
        <v>-1.392</v>
      </c>
      <c r="H74" s="153" t="n">
        <f aca="false">D74/E74</f>
        <v>4.58923635107118</v>
      </c>
      <c r="I74" s="154" t="str">
        <f aca="false">IF(F74&gt;0,D74/F74,"NM")</f>
        <v>NM</v>
      </c>
      <c r="J74" s="203" t="str">
        <f aca="false">IF(G74&gt;0,D74/G74,"nm")</f>
        <v>nm</v>
      </c>
    </row>
    <row r="75" customFormat="false" ht="13.8" hidden="false" customHeight="false" outlineLevel="0" collapsed="false">
      <c r="A75" s="199" t="s">
        <v>195</v>
      </c>
      <c r="B75" s="231" t="n">
        <v>14</v>
      </c>
      <c r="C75" s="230" t="n">
        <f aca="false">2*6.247898</f>
        <v>12.495796</v>
      </c>
      <c r="D75" s="202" t="n">
        <f aca="false">B75*C75</f>
        <v>174.941144</v>
      </c>
      <c r="E75" s="202" t="n">
        <f aca="false">4*6.284</f>
        <v>25.136</v>
      </c>
      <c r="F75" s="202" t="n">
        <f aca="false">4*-0.585</f>
        <v>-2.34</v>
      </c>
      <c r="G75" s="202" t="n">
        <f aca="false">4*-0.348</f>
        <v>-1.392</v>
      </c>
      <c r="H75" s="153" t="n">
        <f aca="false">D75/E75</f>
        <v>6.95978453214513</v>
      </c>
      <c r="I75" s="154" t="str">
        <f aca="false">IF(F75&gt;0,D75/F75,"NM")</f>
        <v>NM</v>
      </c>
      <c r="J75" s="203" t="str">
        <f aca="false">IF(G75&gt;0,D75/G75,"nm")</f>
        <v>nm</v>
      </c>
    </row>
    <row r="76" customFormat="false" ht="13.8" hidden="false" customHeight="false" outlineLevel="0" collapsed="false">
      <c r="A76" s="199" t="s">
        <v>196</v>
      </c>
      <c r="B76" s="231" t="n">
        <v>12.875</v>
      </c>
      <c r="C76" s="230" t="n">
        <f aca="false">2*6.121</f>
        <v>12.242</v>
      </c>
      <c r="D76" s="202" t="n">
        <f aca="false">B76*C76</f>
        <v>157.61575</v>
      </c>
      <c r="E76" s="202" t="n">
        <f aca="false">4*6</f>
        <v>24</v>
      </c>
      <c r="F76" s="202" t="n">
        <v>-0.1</v>
      </c>
      <c r="G76" s="202" t="n">
        <v>-0.1</v>
      </c>
      <c r="H76" s="153" t="n">
        <f aca="false">D76/E76</f>
        <v>6.56732291666667</v>
      </c>
      <c r="I76" s="154" t="str">
        <f aca="false">IF(F76&gt;0,D76/F76,"NM")</f>
        <v>NM</v>
      </c>
      <c r="J76" s="203" t="str">
        <f aca="false">IF(G76&gt;0,D76/G76,"nm")</f>
        <v>nm</v>
      </c>
    </row>
    <row r="77" customFormat="false" ht="13.8" hidden="false" customHeight="false" outlineLevel="0" collapsed="false">
      <c r="A77" s="199" t="s">
        <v>197</v>
      </c>
      <c r="B77" s="231" t="n">
        <v>19.75</v>
      </c>
      <c r="C77" s="230" t="n">
        <f aca="false">2*6.121</f>
        <v>12.242</v>
      </c>
      <c r="D77" s="202" t="n">
        <f aca="false">B77*C77</f>
        <v>241.7795</v>
      </c>
      <c r="E77" s="202" t="n">
        <f aca="false">4*6</f>
        <v>24</v>
      </c>
      <c r="F77" s="202" t="n">
        <v>-0.1</v>
      </c>
      <c r="G77" s="202" t="n">
        <v>-0.1</v>
      </c>
      <c r="H77" s="153" t="n">
        <f aca="false">D77/E77</f>
        <v>10.0741458333333</v>
      </c>
      <c r="I77" s="154" t="str">
        <f aca="false">IF(F77&gt;0,D77/F77,"NM")</f>
        <v>NM</v>
      </c>
      <c r="J77" s="203" t="str">
        <f aca="false">IF(G77&gt;0,D77/G77,"nm")</f>
        <v>nm</v>
      </c>
    </row>
    <row r="78" customFormat="false" ht="14.4" hidden="false" customHeight="false" outlineLevel="0" collapsed="false">
      <c r="A78" s="199" t="s">
        <v>198</v>
      </c>
      <c r="B78" s="231" t="n">
        <v>26.75</v>
      </c>
      <c r="C78" s="230" t="n">
        <f aca="false">2*6.121</f>
        <v>12.242</v>
      </c>
      <c r="D78" s="202" t="n">
        <f aca="false">B78*C78</f>
        <v>327.4735</v>
      </c>
      <c r="E78" s="202" t="n">
        <f aca="false">4*6</f>
        <v>24</v>
      </c>
      <c r="F78" s="202" t="n">
        <v>-0.1</v>
      </c>
      <c r="G78" s="202" t="n">
        <v>-0.1</v>
      </c>
      <c r="H78" s="153" t="n">
        <f aca="false">D78/E78</f>
        <v>13.6447291666667</v>
      </c>
      <c r="I78" s="154" t="str">
        <f aca="false">IF(F78&gt;0,D78/F78,"NM")</f>
        <v>NM</v>
      </c>
      <c r="J78" s="203" t="str">
        <f aca="false">IF(G78&gt;0,D78/G78,"nm")</f>
        <v>nm</v>
      </c>
    </row>
    <row r="79" customFormat="false" ht="14.4" hidden="false" customHeight="false" outlineLevel="0" collapsed="false">
      <c r="A79" s="223"/>
      <c r="B79" s="224"/>
      <c r="C79" s="224"/>
      <c r="D79" s="224"/>
      <c r="E79" s="224"/>
      <c r="F79" s="225" t="n">
        <f aca="false">SUM(F66:F78)/SUM(E66:E78)</f>
        <v>-0.201512750324161</v>
      </c>
      <c r="G79" s="225" t="n">
        <f aca="false">SUM(G66:G78)/SUM(E66:E78)</f>
        <v>-0.131839792537098</v>
      </c>
      <c r="H79" s="226" t="n">
        <f aca="false">AVERAGE(H66:H78)</f>
        <v>26.753552856245</v>
      </c>
      <c r="I79" s="226" t="e">
        <f aca="false">AVERAGE(I66:I78)</f>
        <v>#DIV/0!</v>
      </c>
      <c r="J79" s="227" t="n">
        <f aca="false">AVERAGE(J66:J78)</f>
        <v>424.380363970588</v>
      </c>
    </row>
    <row r="80" customFormat="false" ht="6.75" hidden="false" customHeight="true" outlineLevel="0" collapsed="false">
      <c r="A80" s="4"/>
      <c r="B80" s="4"/>
      <c r="C80" s="4"/>
      <c r="D80" s="4"/>
      <c r="E80" s="4"/>
      <c r="F80" s="228"/>
      <c r="G80" s="228"/>
      <c r="H80" s="229"/>
      <c r="I80" s="229"/>
      <c r="J80" s="229"/>
    </row>
    <row r="81" customFormat="false" ht="18" hidden="false" customHeight="false" outlineLevel="0" collapsed="false">
      <c r="A81" s="8" t="s">
        <v>202</v>
      </c>
      <c r="B81" s="9"/>
      <c r="C81" s="198"/>
      <c r="D81" s="198"/>
      <c r="E81" s="198"/>
      <c r="F81" s="198"/>
      <c r="G81" s="198"/>
      <c r="H81" s="9"/>
      <c r="I81" s="9"/>
      <c r="J81" s="10"/>
    </row>
    <row r="82" customFormat="false" ht="13.8" hidden="false" customHeight="false" outlineLevel="0" collapsed="false">
      <c r="A82" s="199" t="s">
        <v>45</v>
      </c>
      <c r="B82" s="231" t="n">
        <v>15.54</v>
      </c>
      <c r="C82" s="230" t="n">
        <f aca="false">C83</f>
        <v>95.4</v>
      </c>
      <c r="D82" s="202" t="n">
        <f aca="false">B82*C82</f>
        <v>1482.516</v>
      </c>
      <c r="E82" s="202" t="n">
        <f aca="false">2*E83-E84</f>
        <v>495.314</v>
      </c>
      <c r="F82" s="202" t="n">
        <f aca="false">F83</f>
        <v>244.6</v>
      </c>
      <c r="G82" s="202" t="n">
        <f aca="false">G83</f>
        <v>64.8</v>
      </c>
      <c r="H82" s="153" t="n">
        <f aca="false">D82/E82</f>
        <v>2.99308317552098</v>
      </c>
      <c r="I82" s="154" t="n">
        <f aca="false">IF(F82&gt;0,D82/F82,"NM")</f>
        <v>6.06098119378577</v>
      </c>
      <c r="J82" s="203" t="n">
        <f aca="false">IF(G82&gt;0,D82/G82,"nm")</f>
        <v>22.8783333333333</v>
      </c>
    </row>
    <row r="83" customFormat="false" ht="13.8" hidden="false" customHeight="false" outlineLevel="0" collapsed="false">
      <c r="A83" s="199" t="s">
        <v>44</v>
      </c>
      <c r="B83" s="231" t="n">
        <v>14.47</v>
      </c>
      <c r="C83" s="230" t="n">
        <f aca="false">C84</f>
        <v>95.4</v>
      </c>
      <c r="D83" s="202" t="n">
        <f aca="false">B83*C83</f>
        <v>1380.438</v>
      </c>
      <c r="E83" s="202" t="n">
        <f aca="false">2*E84-E85</f>
        <v>495.076</v>
      </c>
      <c r="F83" s="202" t="n">
        <f aca="false">F84</f>
        <v>244.6</v>
      </c>
      <c r="G83" s="202" t="n">
        <f aca="false">G84</f>
        <v>64.8</v>
      </c>
      <c r="H83" s="153" t="n">
        <f aca="false">D83/E83</f>
        <v>2.78833552828253</v>
      </c>
      <c r="I83" s="154" t="n">
        <f aca="false">IF(F83&gt;0,D83/F83,"NM")</f>
        <v>5.643654946852</v>
      </c>
      <c r="J83" s="203" t="n">
        <f aca="false">IF(G83&gt;0,D83/G83,"nm")</f>
        <v>21.3030555555556</v>
      </c>
    </row>
    <row r="84" customFormat="false" ht="13.8" hidden="false" customHeight="false" outlineLevel="0" collapsed="false">
      <c r="A84" s="199" t="s">
        <v>43</v>
      </c>
      <c r="B84" s="231" t="n">
        <v>15</v>
      </c>
      <c r="C84" s="230" t="n">
        <f aca="false">C85</f>
        <v>95.4</v>
      </c>
      <c r="D84" s="202" t="n">
        <f aca="false">B84*C84</f>
        <v>1431</v>
      </c>
      <c r="E84" s="202" t="n">
        <f aca="false">2*E85-E86</f>
        <v>494.838</v>
      </c>
      <c r="F84" s="202" t="n">
        <f aca="false">F85</f>
        <v>244.6</v>
      </c>
      <c r="G84" s="202" t="n">
        <f aca="false">G85</f>
        <v>64.8</v>
      </c>
      <c r="H84" s="153" t="n">
        <f aca="false">D84/E84</f>
        <v>2.89185551635081</v>
      </c>
      <c r="I84" s="154" t="n">
        <f aca="false">IF(F84&gt;0,D84/F84,"NM")</f>
        <v>5.85036794766967</v>
      </c>
      <c r="J84" s="203" t="n">
        <f aca="false">IF(G84&gt;0,D84/G84,"nm")</f>
        <v>22.0833333333333</v>
      </c>
    </row>
    <row r="85" customFormat="false" ht="13.8" hidden="false" customHeight="false" outlineLevel="0" collapsed="false">
      <c r="A85" s="199" t="s">
        <v>42</v>
      </c>
      <c r="B85" s="231" t="n">
        <v>15</v>
      </c>
      <c r="C85" s="230" t="n">
        <v>95.4</v>
      </c>
      <c r="D85" s="202" t="n">
        <f aca="false">B85*C85</f>
        <v>1431</v>
      </c>
      <c r="E85" s="202" t="n">
        <v>494.6</v>
      </c>
      <c r="F85" s="202" t="n">
        <v>244.6</v>
      </c>
      <c r="G85" s="202" t="n">
        <v>64.8</v>
      </c>
      <c r="H85" s="153" t="n">
        <f aca="false">D85/E85</f>
        <v>2.89324706833805</v>
      </c>
      <c r="I85" s="154" t="n">
        <f aca="false">IF(F85&gt;0,D85/F85,"NM")</f>
        <v>5.85036794766967</v>
      </c>
      <c r="J85" s="203" t="n">
        <f aca="false">IF(G85&gt;0,D85/G85,"nm")</f>
        <v>22.0833333333333</v>
      </c>
    </row>
    <row r="86" customFormat="false" ht="13.8" hidden="false" customHeight="false" outlineLevel="0" collapsed="false">
      <c r="A86" s="199" t="s">
        <v>41</v>
      </c>
      <c r="B86" s="231" t="n">
        <v>12.85</v>
      </c>
      <c r="C86" s="230" t="n">
        <v>95.4</v>
      </c>
      <c r="D86" s="202" t="n">
        <f aca="false">B86*C86</f>
        <v>1225.89</v>
      </c>
      <c r="E86" s="202" t="n">
        <f aca="false">AVERAGE(E87:E90)</f>
        <v>494.362</v>
      </c>
      <c r="F86" s="202" t="n">
        <f aca="false">F87</f>
        <v>299.64</v>
      </c>
      <c r="G86" s="202" t="n">
        <f aca="false">G87</f>
        <v>90.924</v>
      </c>
      <c r="H86" s="153" t="n">
        <f aca="false">D86/E86</f>
        <v>2.47974156589706</v>
      </c>
      <c r="I86" s="154" t="n">
        <f aca="false">IF(F86&gt;0,D86/F86,"NM")</f>
        <v>4.09120945134161</v>
      </c>
      <c r="J86" s="203" t="n">
        <f aca="false">IF(G86&gt;0,D86/G86,"nm")</f>
        <v>13.4825788570674</v>
      </c>
    </row>
    <row r="87" customFormat="false" ht="13.8" hidden="false" customHeight="false" outlineLevel="0" collapsed="false">
      <c r="A87" s="199" t="s">
        <v>40</v>
      </c>
      <c r="B87" s="231" t="n">
        <v>13.25</v>
      </c>
      <c r="C87" s="230" t="n">
        <v>95.192</v>
      </c>
      <c r="D87" s="202" t="n">
        <f aca="false">B87*C87</f>
        <v>1261.294</v>
      </c>
      <c r="E87" s="202" t="n">
        <f aca="false">4*142.622</f>
        <v>570.488</v>
      </c>
      <c r="F87" s="202" t="n">
        <f aca="false">4*(58.267+16.643)</f>
        <v>299.64</v>
      </c>
      <c r="G87" s="202" t="n">
        <f aca="false">4*22.731</f>
        <v>90.924</v>
      </c>
      <c r="H87" s="153" t="n">
        <f aca="false">D87/E87</f>
        <v>2.21090364740363</v>
      </c>
      <c r="I87" s="154" t="n">
        <f aca="false">IF(F87&gt;0,D87/F87,"NM")</f>
        <v>4.20936457081832</v>
      </c>
      <c r="J87" s="203" t="n">
        <f aca="false">IF(G87&gt;0,D87/G87,"nm")</f>
        <v>13.8719589987242</v>
      </c>
    </row>
    <row r="88" customFormat="false" ht="13.8" hidden="false" customHeight="false" outlineLevel="0" collapsed="false">
      <c r="A88" s="199" t="s">
        <v>39</v>
      </c>
      <c r="B88" s="231" t="n">
        <v>9.25</v>
      </c>
      <c r="C88" s="230" t="n">
        <v>95.232</v>
      </c>
      <c r="D88" s="202" t="n">
        <f aca="false">B88*C88</f>
        <v>880.896</v>
      </c>
      <c r="E88" s="202" t="n">
        <f aca="false">4*133.235</f>
        <v>532.94</v>
      </c>
      <c r="F88" s="202" t="n">
        <f aca="false">4*(53.837+16.357)</f>
        <v>280.776</v>
      </c>
      <c r="G88" s="202" t="n">
        <f aca="false">4*21.239</f>
        <v>84.956</v>
      </c>
      <c r="H88" s="153" t="n">
        <f aca="false">D88/E88</f>
        <v>1.6528990130221</v>
      </c>
      <c r="I88" s="154" t="n">
        <f aca="false">IF(F88&gt;0,D88/F88,"NM")</f>
        <v>3.13736216770664</v>
      </c>
      <c r="J88" s="203" t="n">
        <f aca="false">IF(G88&gt;0,D88/G88,"nm")</f>
        <v>10.3688497575215</v>
      </c>
    </row>
    <row r="89" customFormat="false" ht="13.8" hidden="false" customHeight="false" outlineLevel="0" collapsed="false">
      <c r="A89" s="199" t="s">
        <v>190</v>
      </c>
      <c r="B89" s="231" t="n">
        <v>7.5</v>
      </c>
      <c r="C89" s="230" t="n">
        <v>95.632</v>
      </c>
      <c r="D89" s="202" t="n">
        <f aca="false">B89*C89</f>
        <v>717.24</v>
      </c>
      <c r="E89" s="202" t="n">
        <f aca="false">4*113.24</f>
        <v>452.96</v>
      </c>
      <c r="F89" s="202" t="n">
        <f aca="false">4*(35.947+16.149)</f>
        <v>208.384</v>
      </c>
      <c r="G89" s="202" t="n">
        <f aca="false">4*11.282</f>
        <v>45.128</v>
      </c>
      <c r="H89" s="153" t="n">
        <f aca="false">D89/E89</f>
        <v>1.58345107735782</v>
      </c>
      <c r="I89" s="154" t="n">
        <f aca="false">IF(F89&gt;0,D89/F89,"NM")</f>
        <v>3.44191492628993</v>
      </c>
      <c r="J89" s="203" t="n">
        <f aca="false">IF(G89&gt;0,D89/G89,"nm")</f>
        <v>15.89345860663</v>
      </c>
    </row>
    <row r="90" customFormat="false" ht="13.8" hidden="false" customHeight="false" outlineLevel="0" collapsed="false">
      <c r="A90" s="199" t="s">
        <v>191</v>
      </c>
      <c r="B90" s="231" t="n">
        <v>7.5625</v>
      </c>
      <c r="C90" s="230" t="n">
        <f aca="false">(C89+C91)/2</f>
        <v>96.0775</v>
      </c>
      <c r="D90" s="202" t="n">
        <f aca="false">B90*C90</f>
        <v>726.58609375</v>
      </c>
      <c r="E90" s="202" t="n">
        <f aca="false">4*417.662-SUM(E91:E93)</f>
        <v>421.06</v>
      </c>
      <c r="F90" s="202" t="n">
        <f aca="false">4*(136.082+60.198)-SUM(F91:F93)</f>
        <v>189.668</v>
      </c>
      <c r="G90" s="202" t="n">
        <f aca="false">4*47.225-SUM(G91:G93)</f>
        <v>37.964</v>
      </c>
      <c r="H90" s="153" t="n">
        <f aca="false">D90/E90</f>
        <v>1.7256117744502</v>
      </c>
      <c r="I90" s="154" t="n">
        <f aca="false">IF(F90&gt;0,D90/F90,"NM")</f>
        <v>3.83083120900732</v>
      </c>
      <c r="J90" s="203" t="n">
        <f aca="false">IF(G90&gt;0,D90/G90,"nm")</f>
        <v>19.1388181896007</v>
      </c>
    </row>
    <row r="91" customFormat="false" ht="13.8" hidden="false" customHeight="false" outlineLevel="0" collapsed="false">
      <c r="A91" s="199" t="s">
        <v>192</v>
      </c>
      <c r="B91" s="231" t="n">
        <v>9</v>
      </c>
      <c r="C91" s="230" t="n">
        <v>96.523</v>
      </c>
      <c r="D91" s="202" t="n">
        <f aca="false">B91*C91</f>
        <v>868.707</v>
      </c>
      <c r="E91" s="202" t="n">
        <f aca="false">4*116.491</f>
        <v>465.964</v>
      </c>
      <c r="F91" s="202" t="n">
        <f aca="false">4*(42.034+15.637)</f>
        <v>230.684</v>
      </c>
      <c r="G91" s="202" t="n">
        <f aca="false">4*16.255</f>
        <v>65.02</v>
      </c>
      <c r="H91" s="153" t="n">
        <f aca="false">D91/E91</f>
        <v>1.86432213647406</v>
      </c>
      <c r="I91" s="154" t="n">
        <f aca="false">IF(F91&gt;0,D91/F91,"NM")</f>
        <v>3.76578783097224</v>
      </c>
      <c r="J91" s="203" t="n">
        <f aca="false">IF(G91&gt;0,D91/G91,"nm")</f>
        <v>13.3606121193479</v>
      </c>
    </row>
    <row r="92" customFormat="false" ht="13.8" hidden="false" customHeight="false" outlineLevel="0" collapsed="false">
      <c r="A92" s="199" t="s">
        <v>193</v>
      </c>
      <c r="B92" s="231" t="n">
        <v>12</v>
      </c>
      <c r="C92" s="230" t="n">
        <v>96.278</v>
      </c>
      <c r="D92" s="202" t="n">
        <f aca="false">B92*C92</f>
        <v>1155.336</v>
      </c>
      <c r="E92" s="202" t="n">
        <f aca="false">4*106.487</f>
        <v>425.948</v>
      </c>
      <c r="F92" s="202" t="n">
        <f aca="false">4*(38.162+14.903)</f>
        <v>212.26</v>
      </c>
      <c r="G92" s="202" t="n">
        <f aca="false">4*14.606</f>
        <v>58.424</v>
      </c>
      <c r="H92" s="153" t="n">
        <f aca="false">D92/E92</f>
        <v>2.71238742757332</v>
      </c>
      <c r="I92" s="154" t="n">
        <f aca="false">IF(F92&gt;0,D92/F92,"NM")</f>
        <v>5.44302270799962</v>
      </c>
      <c r="J92" s="203" t="n">
        <f aca="false">IF(G92&gt;0,D92/G92,"nm")</f>
        <v>19.775023962755</v>
      </c>
    </row>
    <row r="93" customFormat="false" ht="13.8" hidden="false" customHeight="false" outlineLevel="0" collapsed="false">
      <c r="A93" s="199" t="s">
        <v>194</v>
      </c>
      <c r="B93" s="231" t="n">
        <v>10.1875</v>
      </c>
      <c r="C93" s="230" t="n">
        <v>95.974</v>
      </c>
      <c r="D93" s="202" t="n">
        <f aca="false">B93*C93</f>
        <v>977.735125</v>
      </c>
      <c r="E93" s="202" t="n">
        <f aca="false">4*89.419</f>
        <v>357.676</v>
      </c>
      <c r="F93" s="202" t="n">
        <f aca="false">4*(24.203+13.924)</f>
        <v>152.508</v>
      </c>
      <c r="G93" s="202" t="n">
        <f aca="false">4*6.873</f>
        <v>27.492</v>
      </c>
      <c r="H93" s="153" t="n">
        <f aca="false">D93/E93</f>
        <v>2.7335776652613</v>
      </c>
      <c r="I93" s="154" t="n">
        <f aca="false">IF(F93&gt;0,D93/F93,"NM")</f>
        <v>6.41104155191859</v>
      </c>
      <c r="J93" s="203" t="n">
        <f aca="false">IF(G93&gt;0,D93/G93,"nm")</f>
        <v>35.5643505383384</v>
      </c>
    </row>
    <row r="94" customFormat="false" ht="13.8" hidden="false" customHeight="false" outlineLevel="0" collapsed="false">
      <c r="A94" s="199" t="s">
        <v>195</v>
      </c>
      <c r="B94" s="231" t="n">
        <v>10.5</v>
      </c>
      <c r="C94" s="230" t="n">
        <f aca="false">(C93+C95)/2</f>
        <v>96.0035</v>
      </c>
      <c r="D94" s="202" t="n">
        <f aca="false">B94*C94</f>
        <v>1008.03675</v>
      </c>
      <c r="E94" s="202" t="n">
        <f aca="false">4*283.087-SUM(E95:E97)</f>
        <v>311.224</v>
      </c>
      <c r="F94" s="202" t="n">
        <f aca="false">4*(67.252+42.293)-SUM(F95:F97)</f>
        <v>132.424</v>
      </c>
      <c r="G94" s="202" t="n">
        <f aca="false">4*428.038-SUM(G95:G97)</f>
        <v>1630.512</v>
      </c>
      <c r="H94" s="153" t="n">
        <f aca="false">D94/E94</f>
        <v>3.23894285145105</v>
      </c>
      <c r="I94" s="154" t="n">
        <f aca="false">IF(F94&gt;0,D94/F94,"NM")</f>
        <v>7.61219076602429</v>
      </c>
      <c r="J94" s="203" t="n">
        <f aca="false">IF(G94&gt;0,D94/G94,"nm")</f>
        <v>0.618233260472784</v>
      </c>
    </row>
    <row r="95" customFormat="false" ht="13.8" hidden="false" customHeight="false" outlineLevel="0" collapsed="false">
      <c r="A95" s="199" t="s">
        <v>196</v>
      </c>
      <c r="B95" s="231" t="n">
        <v>8</v>
      </c>
      <c r="C95" s="230" t="n">
        <v>96.033</v>
      </c>
      <c r="D95" s="202" t="n">
        <f aca="false">B95*C95</f>
        <v>768.264</v>
      </c>
      <c r="E95" s="202" t="n">
        <f aca="false">4*81.006</f>
        <v>324.024</v>
      </c>
      <c r="F95" s="202" t="n">
        <f aca="false">4*(15.582+10.865)</f>
        <v>105.788</v>
      </c>
      <c r="G95" s="202" t="n">
        <f aca="false">4*5.492</f>
        <v>21.968</v>
      </c>
      <c r="H95" s="153" t="n">
        <f aca="false">D95/E95</f>
        <v>2.37100955484779</v>
      </c>
      <c r="I95" s="154" t="n">
        <f aca="false">IF(F95&gt;0,D95/F95,"NM")</f>
        <v>7.2622981812682</v>
      </c>
      <c r="J95" s="203" t="n">
        <f aca="false">IF(G95&gt;0,D95/G95,"nm")</f>
        <v>34.9719592134013</v>
      </c>
    </row>
    <row r="96" customFormat="false" ht="13.8" hidden="false" customHeight="false" outlineLevel="0" collapsed="false">
      <c r="A96" s="199" t="s">
        <v>197</v>
      </c>
      <c r="B96" s="231" t="n">
        <v>11.25</v>
      </c>
      <c r="C96" s="230" t="n">
        <v>95.897</v>
      </c>
      <c r="D96" s="202" t="n">
        <f aca="false">B96*C96</f>
        <v>1078.84125</v>
      </c>
      <c r="E96" s="202" t="n">
        <f aca="false">4*70.044</f>
        <v>280.176</v>
      </c>
      <c r="F96" s="202" t="n">
        <f aca="false">4*(21.421+10.015)</f>
        <v>125.744</v>
      </c>
      <c r="G96" s="202" t="n">
        <f aca="false">4*10.116</f>
        <v>40.464</v>
      </c>
      <c r="H96" s="153" t="n">
        <f aca="false">D96/E96</f>
        <v>3.85058409713894</v>
      </c>
      <c r="I96" s="154" t="n">
        <f aca="false">IF(F96&gt;0,D96/F96,"NM")</f>
        <v>8.57966384081944</v>
      </c>
      <c r="J96" s="203" t="n">
        <f aca="false">IF(G96&gt;0,D96/G96,"nm")</f>
        <v>26.6617548932384</v>
      </c>
    </row>
    <row r="97" customFormat="false" ht="14.4" hidden="false" customHeight="false" outlineLevel="0" collapsed="false">
      <c r="A97" s="199" t="s">
        <v>198</v>
      </c>
      <c r="B97" s="231" t="n">
        <v>14.625</v>
      </c>
      <c r="C97" s="230" t="n">
        <v>95.698</v>
      </c>
      <c r="D97" s="202" t="n">
        <f aca="false">B97*C97</f>
        <v>1399.58325</v>
      </c>
      <c r="E97" s="202" t="n">
        <f aca="false">4*54.231</f>
        <v>216.924</v>
      </c>
      <c r="F97" s="202" t="n">
        <f aca="false">4*(9.126+9.43)</f>
        <v>74.224</v>
      </c>
      <c r="G97" s="202" t="n">
        <f aca="false">4*4.802</f>
        <v>19.208</v>
      </c>
      <c r="H97" s="153" t="n">
        <f aca="false">D97/E97</f>
        <v>6.45195206616142</v>
      </c>
      <c r="I97" s="154" t="n">
        <f aca="false">IF(F97&gt;0,D97/F97,"NM")</f>
        <v>18.8562089081699</v>
      </c>
      <c r="J97" s="203" t="n">
        <f aca="false">IF(G97&gt;0,D97/G97,"nm")</f>
        <v>72.8646006872137</v>
      </c>
    </row>
    <row r="98" customFormat="false" ht="14.4" hidden="false" customHeight="false" outlineLevel="0" collapsed="false">
      <c r="A98" s="223"/>
      <c r="B98" s="224"/>
      <c r="C98" s="224"/>
      <c r="D98" s="224"/>
      <c r="E98" s="224"/>
      <c r="F98" s="225" t="n">
        <f aca="false">SUM(F85:F97)/SUM(E85:E97)</f>
        <v>0.477968328900187</v>
      </c>
      <c r="G98" s="225" t="n">
        <f aca="false">SUM(G85:G97)/SUM(E85:E97)</f>
        <v>0.425885685032345</v>
      </c>
      <c r="H98" s="226" t="n">
        <f aca="false">AVERAGE(H85:H97)</f>
        <v>2.75143307272129</v>
      </c>
      <c r="I98" s="226" t="n">
        <f aca="false">AVERAGE(I85:I97)</f>
        <v>6.34548185076967</v>
      </c>
      <c r="J98" s="227" t="n">
        <f aca="false">AVERAGE(J85:J97)</f>
        <v>22.973502493665</v>
      </c>
    </row>
    <row r="99" customFormat="false" ht="6.75" hidden="false" customHeight="true" outlineLevel="0" collapsed="false">
      <c r="A99" s="4"/>
      <c r="B99" s="4"/>
      <c r="C99" s="4"/>
      <c r="D99" s="4"/>
      <c r="E99" s="4"/>
      <c r="F99" s="228"/>
      <c r="G99" s="228"/>
      <c r="H99" s="229"/>
      <c r="I99" s="229"/>
      <c r="J99" s="229"/>
    </row>
    <row r="100" customFormat="false" ht="18" hidden="false" customHeight="false" outlineLevel="0" collapsed="false">
      <c r="A100" s="8" t="s">
        <v>203</v>
      </c>
      <c r="B100" s="9"/>
      <c r="C100" s="198"/>
      <c r="D100" s="198"/>
      <c r="E100" s="198"/>
      <c r="F100" s="198"/>
      <c r="G100" s="198"/>
      <c r="H100" s="9"/>
      <c r="I100" s="9"/>
      <c r="J100" s="10"/>
    </row>
    <row r="101" customFormat="false" ht="13.8" hidden="false" customHeight="false" outlineLevel="0" collapsed="false">
      <c r="A101" s="199" t="s">
        <v>45</v>
      </c>
      <c r="B101" s="231" t="n">
        <v>3.16</v>
      </c>
      <c r="C101" s="230" t="n">
        <f aca="false">C102</f>
        <v>43.4</v>
      </c>
      <c r="D101" s="202" t="n">
        <f aca="false">B101*C101</f>
        <v>137.144</v>
      </c>
      <c r="E101" s="202" t="n">
        <f aca="false">2*E102-E103</f>
        <v>9.668</v>
      </c>
      <c r="F101" s="202" t="n">
        <f aca="false">F102</f>
        <v>-209</v>
      </c>
      <c r="G101" s="202" t="n">
        <f aca="false">G102</f>
        <v>-206</v>
      </c>
      <c r="H101" s="153" t="n">
        <f aca="false">D101/E101</f>
        <v>14.1853537443111</v>
      </c>
      <c r="I101" s="154" t="str">
        <f aca="false">IF(F101&gt;0,D101/F101,"NM")</f>
        <v>NM</v>
      </c>
      <c r="J101" s="203" t="str">
        <f aca="false">IF(G101&gt;0,D101/G101,"nm")</f>
        <v>nm</v>
      </c>
    </row>
    <row r="102" customFormat="false" ht="13.8" hidden="false" customHeight="false" outlineLevel="0" collapsed="false">
      <c r="A102" s="199" t="s">
        <v>44</v>
      </c>
      <c r="B102" s="231" t="n">
        <v>3.32</v>
      </c>
      <c r="C102" s="230" t="n">
        <f aca="false">C103</f>
        <v>43.4</v>
      </c>
      <c r="D102" s="202" t="n">
        <f aca="false">B102*C102</f>
        <v>144.088</v>
      </c>
      <c r="E102" s="202" t="n">
        <f aca="false">2*E103-E104</f>
        <v>8.536</v>
      </c>
      <c r="F102" s="202" t="n">
        <f aca="false">F103</f>
        <v>-209</v>
      </c>
      <c r="G102" s="202" t="n">
        <f aca="false">G103</f>
        <v>-206</v>
      </c>
      <c r="H102" s="153" t="n">
        <f aca="false">D102/E102</f>
        <v>16.8800374882849</v>
      </c>
      <c r="I102" s="154" t="str">
        <f aca="false">IF(F102&gt;0,D102/F102,"NM")</f>
        <v>NM</v>
      </c>
      <c r="J102" s="203" t="str">
        <f aca="false">IF(G102&gt;0,D102/G102,"nm")</f>
        <v>nm</v>
      </c>
    </row>
    <row r="103" customFormat="false" ht="13.8" hidden="false" customHeight="false" outlineLevel="0" collapsed="false">
      <c r="A103" s="199" t="s">
        <v>43</v>
      </c>
      <c r="B103" s="231" t="n">
        <v>5.5</v>
      </c>
      <c r="C103" s="230" t="n">
        <f aca="false">C104</f>
        <v>43.4</v>
      </c>
      <c r="D103" s="202" t="n">
        <f aca="false">B103*C103</f>
        <v>238.7</v>
      </c>
      <c r="E103" s="202" t="n">
        <f aca="false">2*E104-E105</f>
        <v>7.404</v>
      </c>
      <c r="F103" s="202" t="n">
        <f aca="false">F104</f>
        <v>-209</v>
      </c>
      <c r="G103" s="202" t="n">
        <f aca="false">G104</f>
        <v>-206</v>
      </c>
      <c r="H103" s="153" t="n">
        <f aca="false">D103/E103</f>
        <v>32.2393300918422</v>
      </c>
      <c r="I103" s="154" t="str">
        <f aca="false">IF(F103&gt;0,D103/F103,"NM")</f>
        <v>NM</v>
      </c>
      <c r="J103" s="203" t="str">
        <f aca="false">IF(G103&gt;0,D103/G103,"nm")</f>
        <v>nm</v>
      </c>
    </row>
    <row r="104" customFormat="false" ht="13.8" hidden="false" customHeight="false" outlineLevel="0" collapsed="false">
      <c r="A104" s="199" t="s">
        <v>42</v>
      </c>
      <c r="B104" s="231" t="n">
        <f aca="false">5+3/16</f>
        <v>5.1875</v>
      </c>
      <c r="C104" s="230" t="n">
        <v>43.4</v>
      </c>
      <c r="D104" s="202" t="n">
        <f aca="false">B104*C104</f>
        <v>225.1375</v>
      </c>
      <c r="E104" s="202" t="n">
        <f aca="false">2*E105-E106</f>
        <v>6.272</v>
      </c>
      <c r="F104" s="202" t="n">
        <v>-209</v>
      </c>
      <c r="G104" s="202" t="n">
        <v>-206</v>
      </c>
      <c r="H104" s="153" t="n">
        <f aca="false">D104/E104</f>
        <v>35.8956473214286</v>
      </c>
      <c r="I104" s="154" t="str">
        <f aca="false">IF(F104&gt;0,D104/F104,"NM")</f>
        <v>NM</v>
      </c>
      <c r="J104" s="203" t="str">
        <f aca="false">IF(G104&gt;0,D104/G104,"nm")</f>
        <v>nm</v>
      </c>
    </row>
    <row r="105" customFormat="false" ht="13.8" hidden="false" customHeight="false" outlineLevel="0" collapsed="false">
      <c r="A105" s="199" t="s">
        <v>41</v>
      </c>
      <c r="B105" s="231" t="n">
        <v>5.375</v>
      </c>
      <c r="C105" s="230" t="n">
        <v>43.4</v>
      </c>
      <c r="D105" s="202" t="n">
        <f aca="false">B105*C105</f>
        <v>233.275</v>
      </c>
      <c r="E105" s="202" t="n">
        <f aca="false">2*E106-E107</f>
        <v>5.14</v>
      </c>
      <c r="F105" s="202" t="n">
        <f aca="false">F106</f>
        <v>-259.112</v>
      </c>
      <c r="G105" s="202" t="n">
        <f aca="false">G106</f>
        <v>-253.624</v>
      </c>
      <c r="H105" s="153" t="n">
        <f aca="false">D105/E105</f>
        <v>45.3842412451362</v>
      </c>
      <c r="I105" s="154" t="str">
        <f aca="false">IF(F105&gt;0,D105/F105,"NM")</f>
        <v>NM</v>
      </c>
      <c r="J105" s="203" t="str">
        <f aca="false">IF(G105&gt;0,D105/G105,"nm")</f>
        <v>nm</v>
      </c>
    </row>
    <row r="106" customFormat="false" ht="13.8" hidden="false" customHeight="false" outlineLevel="0" collapsed="false">
      <c r="A106" s="199" t="s">
        <v>40</v>
      </c>
      <c r="B106" s="231" t="n">
        <v>19.375</v>
      </c>
      <c r="C106" s="230" t="n">
        <v>36.923633</v>
      </c>
      <c r="D106" s="202" t="n">
        <f aca="false">B106*C106</f>
        <v>715.395389375</v>
      </c>
      <c r="E106" s="202" t="n">
        <f aca="false">4*1.002</f>
        <v>4.008</v>
      </c>
      <c r="F106" s="202" t="n">
        <f aca="false">4*-64.778</f>
        <v>-259.112</v>
      </c>
      <c r="G106" s="202" t="n">
        <f aca="false">4*-63.406</f>
        <v>-253.624</v>
      </c>
      <c r="H106" s="153" t="n">
        <f aca="false">D106/E106</f>
        <v>178.491863616517</v>
      </c>
      <c r="I106" s="154" t="str">
        <f aca="false">IF(F106&gt;0,D106/F106,"NM")</f>
        <v>NM</v>
      </c>
      <c r="J106" s="203" t="str">
        <f aca="false">IF(G106&gt;0,D106/G106,"nm")</f>
        <v>nm</v>
      </c>
    </row>
    <row r="107" customFormat="false" ht="13.8" hidden="false" customHeight="false" outlineLevel="0" collapsed="false">
      <c r="A107" s="199" t="s">
        <v>39</v>
      </c>
      <c r="B107" s="231" t="n">
        <v>35</v>
      </c>
      <c r="C107" s="230" t="n">
        <v>35.742848</v>
      </c>
      <c r="D107" s="202" t="n">
        <f aca="false">B107*C107</f>
        <v>1250.99968</v>
      </c>
      <c r="E107" s="202" t="n">
        <f aca="false">4*0.719</f>
        <v>2.876</v>
      </c>
      <c r="F107" s="202" t="n">
        <f aca="false">4*-31.231</f>
        <v>-124.924</v>
      </c>
      <c r="G107" s="202" t="n">
        <f aca="false">4*-29.436</f>
        <v>-117.744</v>
      </c>
      <c r="H107" s="153" t="n">
        <f aca="false">D107/E107</f>
        <v>434.979026425591</v>
      </c>
      <c r="I107" s="154" t="str">
        <f aca="false">IF(F107&gt;0,D107/F107,"NM")</f>
        <v>NM</v>
      </c>
      <c r="J107" s="203" t="str">
        <f aca="false">IF(G107&gt;0,D107/G107,"nm")</f>
        <v>nm</v>
      </c>
    </row>
    <row r="108" customFormat="false" ht="13.8" hidden="false" customHeight="false" outlineLevel="0" collapsed="false">
      <c r="A108" s="199" t="s">
        <v>190</v>
      </c>
      <c r="B108" s="231" t="n">
        <v>34.625</v>
      </c>
      <c r="C108" s="230" t="n">
        <v>35.353442</v>
      </c>
      <c r="D108" s="202" t="n">
        <f aca="false">B108*C108</f>
        <v>1224.11292925</v>
      </c>
      <c r="E108" s="202" t="n">
        <f aca="false">4*0.424</f>
        <v>1.696</v>
      </c>
      <c r="F108" s="202" t="n">
        <f aca="false">4*-25.809</f>
        <v>-103.236</v>
      </c>
      <c r="G108" s="202" t="n">
        <f aca="false">4*-24.055</f>
        <v>-96.22</v>
      </c>
      <c r="H108" s="153" t="n">
        <f aca="false">D108/E108</f>
        <v>721.764698850236</v>
      </c>
      <c r="I108" s="154" t="str">
        <f aca="false">IF(F108&gt;0,D108/F108,"NM")</f>
        <v>NM</v>
      </c>
      <c r="J108" s="203" t="str">
        <f aca="false">IF(G108&gt;0,D108/G108,"nm")</f>
        <v>nm</v>
      </c>
    </row>
    <row r="109" customFormat="false" ht="13.8" hidden="false" customHeight="false" outlineLevel="0" collapsed="false">
      <c r="A109" s="199" t="s">
        <v>191</v>
      </c>
      <c r="B109" s="231" t="n">
        <v>33.75</v>
      </c>
      <c r="C109" s="230" t="n">
        <v>43.4</v>
      </c>
      <c r="D109" s="202" t="n">
        <f aca="false">B109*C109</f>
        <v>1464.75</v>
      </c>
      <c r="E109" s="202" t="n">
        <f aca="false">4*0.223-SUM(E110:E112)</f>
        <v>0.728</v>
      </c>
      <c r="F109" s="202" t="n">
        <f aca="false">4*-69.012-SUM(F110:F112)</f>
        <v>-147.788</v>
      </c>
      <c r="G109" s="202" t="n">
        <f aca="false">4*-66.565-SUM(G110:G112)</f>
        <v>-139.568</v>
      </c>
      <c r="H109" s="153" t="n">
        <f aca="false">D109/E109</f>
        <v>2012.01923076923</v>
      </c>
      <c r="I109" s="154" t="str">
        <f aca="false">IF(F109&gt;0,D109/F109,"NM")</f>
        <v>NM</v>
      </c>
      <c r="J109" s="203" t="str">
        <f aca="false">IF(G109&gt;0,D109/G109,"nm")</f>
        <v>nm</v>
      </c>
    </row>
    <row r="110" customFormat="false" ht="13.8" hidden="false" customHeight="false" outlineLevel="0" collapsed="false">
      <c r="A110" s="199" t="s">
        <v>192</v>
      </c>
      <c r="B110" s="231" t="n">
        <v>29.9375</v>
      </c>
      <c r="C110" s="230" t="n">
        <v>41.738509</v>
      </c>
      <c r="D110" s="202" t="n">
        <f aca="false">B110*C110</f>
        <v>1249.5466131875</v>
      </c>
      <c r="E110" s="202" t="n">
        <f aca="false">4*0.033</f>
        <v>0.132</v>
      </c>
      <c r="F110" s="202" t="n">
        <f aca="false">4*-20.378</f>
        <v>-81.512</v>
      </c>
      <c r="G110" s="202" t="n">
        <f aca="false">4*-20.045</f>
        <v>-80.18</v>
      </c>
      <c r="H110" s="153" t="n">
        <f aca="false">D110/E110</f>
        <v>9466.26222111742</v>
      </c>
      <c r="I110" s="154" t="str">
        <f aca="false">IF(F110&gt;0,D110/F110,"NM")</f>
        <v>NM</v>
      </c>
      <c r="J110" s="203" t="str">
        <f aca="false">IF(G110&gt;0,D110/G110,"nm")</f>
        <v>nm</v>
      </c>
    </row>
    <row r="111" customFormat="false" ht="13.8" hidden="false" customHeight="false" outlineLevel="0" collapsed="false">
      <c r="A111" s="199" t="s">
        <v>193</v>
      </c>
      <c r="B111" s="231"/>
      <c r="C111" s="230"/>
      <c r="D111" s="202"/>
      <c r="E111" s="202" t="n">
        <f aca="false">4*0.008</f>
        <v>0.032</v>
      </c>
      <c r="F111" s="202" t="n">
        <f aca="false">4*-6.121</f>
        <v>-24.484</v>
      </c>
      <c r="G111" s="202" t="n">
        <f aca="false">4*-6.113</f>
        <v>-24.452</v>
      </c>
      <c r="H111" s="153"/>
      <c r="I111" s="154"/>
      <c r="J111" s="203"/>
    </row>
    <row r="112" customFormat="false" ht="13.8" hidden="false" customHeight="false" outlineLevel="0" collapsed="false">
      <c r="A112" s="199" t="s">
        <v>194</v>
      </c>
      <c r="B112" s="231"/>
      <c r="C112" s="230" t="n">
        <v>3.401</v>
      </c>
      <c r="D112" s="202"/>
      <c r="E112" s="202"/>
      <c r="F112" s="202" t="n">
        <f aca="false">4*-5.566</f>
        <v>-22.264</v>
      </c>
      <c r="G112" s="202" t="n">
        <f aca="false">4*-5.515</f>
        <v>-22.06</v>
      </c>
      <c r="H112" s="153"/>
      <c r="I112" s="154"/>
      <c r="J112" s="203"/>
    </row>
    <row r="113" customFormat="false" ht="13.8" hidden="false" customHeight="false" outlineLevel="0" collapsed="false">
      <c r="A113" s="199" t="s">
        <v>195</v>
      </c>
      <c r="B113" s="231"/>
      <c r="C113" s="230"/>
      <c r="D113" s="202"/>
      <c r="E113" s="202"/>
      <c r="F113" s="202" t="n">
        <f aca="false">4*-9.837-SUM(F114:F116)</f>
        <v>-16.2</v>
      </c>
      <c r="G113" s="202" t="n">
        <f aca="false">4*-9.721-SUM(G114:G116)</f>
        <v>-15.98</v>
      </c>
      <c r="H113" s="153"/>
      <c r="I113" s="154"/>
      <c r="J113" s="203"/>
    </row>
    <row r="114" customFormat="false" ht="13.8" hidden="false" customHeight="false" outlineLevel="0" collapsed="false">
      <c r="A114" s="199" t="s">
        <v>196</v>
      </c>
      <c r="B114" s="231"/>
      <c r="C114" s="230"/>
      <c r="D114" s="202"/>
      <c r="E114" s="202"/>
      <c r="F114" s="202" t="n">
        <f aca="false">4*-2.719</f>
        <v>-10.876</v>
      </c>
      <c r="G114" s="202" t="n">
        <f aca="false">4*-2.68</f>
        <v>-10.72</v>
      </c>
      <c r="H114" s="153"/>
      <c r="I114" s="154"/>
      <c r="J114" s="203"/>
    </row>
    <row r="115" customFormat="false" ht="13.8" hidden="false" customHeight="false" outlineLevel="0" collapsed="false">
      <c r="A115" s="199" t="s">
        <v>197</v>
      </c>
      <c r="B115" s="231"/>
      <c r="C115" s="230"/>
      <c r="D115" s="202"/>
      <c r="E115" s="202"/>
      <c r="F115" s="202" t="n">
        <f aca="false">4*-1.848</f>
        <v>-7.392</v>
      </c>
      <c r="G115" s="202" t="n">
        <f aca="false">4*-1.842</f>
        <v>-7.368</v>
      </c>
      <c r="H115" s="153"/>
      <c r="I115" s="154"/>
      <c r="J115" s="203"/>
    </row>
    <row r="116" customFormat="false" ht="14.4" hidden="false" customHeight="false" outlineLevel="0" collapsed="false">
      <c r="A116" s="199" t="s">
        <v>198</v>
      </c>
      <c r="B116" s="231"/>
      <c r="C116" s="230"/>
      <c r="D116" s="202"/>
      <c r="E116" s="202"/>
      <c r="F116" s="202" t="n">
        <f aca="false">4*-1.22</f>
        <v>-4.88</v>
      </c>
      <c r="G116" s="202" t="n">
        <f aca="false">4*-1.204</f>
        <v>-4.816</v>
      </c>
      <c r="H116" s="153"/>
      <c r="I116" s="154"/>
      <c r="J116" s="203"/>
    </row>
    <row r="117" customFormat="false" ht="14.4" hidden="false" customHeight="false" outlineLevel="0" collapsed="false">
      <c r="A117" s="223"/>
      <c r="B117" s="224"/>
      <c r="C117" s="224"/>
      <c r="D117" s="224"/>
      <c r="E117" s="224"/>
      <c r="F117" s="225" t="n">
        <f aca="false">SUM(F104:F116)/SUM(E104:E116)</f>
        <v>-60.8494541275618</v>
      </c>
      <c r="G117" s="225" t="n">
        <f aca="false">SUM(G104:G116)/SUM(E104:E116)</f>
        <v>-59.0095767094426</v>
      </c>
      <c r="H117" s="226" t="n">
        <f aca="false">AVERAGE(H104:H116)</f>
        <v>1842.11384704937</v>
      </c>
      <c r="I117" s="226" t="e">
        <f aca="false">AVERAGE(I104:I116)</f>
        <v>#DIV/0!</v>
      </c>
      <c r="J117" s="227" t="e">
        <f aca="false">AVERAGE(J104:J116)</f>
        <v>#DIV/0!</v>
      </c>
    </row>
    <row r="118" customFormat="false" ht="8.25" hidden="false" customHeight="true" outlineLevel="0" collapsed="false"/>
    <row r="119" customFormat="false" ht="18" hidden="false" customHeight="false" outlineLevel="0" collapsed="false">
      <c r="A119" s="8" t="s">
        <v>204</v>
      </c>
      <c r="B119" s="9"/>
      <c r="C119" s="198"/>
      <c r="D119" s="198"/>
      <c r="E119" s="198"/>
      <c r="F119" s="198"/>
      <c r="G119" s="198"/>
      <c r="H119" s="9"/>
      <c r="I119" s="9"/>
      <c r="J119" s="10"/>
    </row>
    <row r="120" customFormat="false" ht="13.8" hidden="false" customHeight="false" outlineLevel="0" collapsed="false">
      <c r="A120" s="199" t="s">
        <v>45</v>
      </c>
      <c r="B120" s="231" t="n">
        <v>47.5</v>
      </c>
      <c r="C120" s="230" t="n">
        <f aca="false">C121</f>
        <v>428.8</v>
      </c>
      <c r="D120" s="202" t="n">
        <f aca="false">B120*C120</f>
        <v>20368</v>
      </c>
      <c r="E120" s="202" t="n">
        <f aca="false">2*E121-E122</f>
        <v>13348.788</v>
      </c>
      <c r="F120" s="202" t="n">
        <f aca="false">2*F121-F122</f>
        <v>1371.2</v>
      </c>
      <c r="G120" s="202" t="n">
        <f aca="false">2*G121-G122</f>
        <v>1211.18</v>
      </c>
      <c r="H120" s="153" t="n">
        <f aca="false">D120/E120</f>
        <v>1.52583140881404</v>
      </c>
      <c r="I120" s="154" t="n">
        <f aca="false">IF(F120&gt;0,D120/F120,"NM")</f>
        <v>14.8541423570595</v>
      </c>
      <c r="J120" s="203" t="n">
        <f aca="false">IF(G120&gt;0,D120/G120,"nm")</f>
        <v>16.8166581350419</v>
      </c>
    </row>
    <row r="121" customFormat="false" ht="13.8" hidden="false" customHeight="false" outlineLevel="0" collapsed="false">
      <c r="A121" s="199" t="s">
        <v>44</v>
      </c>
      <c r="B121" s="231" t="n">
        <v>47.06</v>
      </c>
      <c r="C121" s="230" t="n">
        <f aca="false">C122</f>
        <v>428.8</v>
      </c>
      <c r="D121" s="202" t="n">
        <f aca="false">B121*C121</f>
        <v>20179.328</v>
      </c>
      <c r="E121" s="202" t="n">
        <f aca="false">2*E122-E123</f>
        <v>13931.056</v>
      </c>
      <c r="F121" s="202" t="n">
        <f aca="false">2*F122-F123</f>
        <v>1642.4</v>
      </c>
      <c r="G121" s="202" t="n">
        <f aca="false">2*G122-G123</f>
        <v>1265.724</v>
      </c>
      <c r="H121" s="153" t="n">
        <f aca="false">D121/E121</f>
        <v>1.44851388150331</v>
      </c>
      <c r="I121" s="154" t="n">
        <f aca="false">IF(F121&gt;0,D121/F121,"NM")</f>
        <v>12.2864880662445</v>
      </c>
      <c r="J121" s="203" t="n">
        <f aca="false">IF(G121&gt;0,D121/G121,"nm")</f>
        <v>15.9429133049543</v>
      </c>
    </row>
    <row r="122" customFormat="false" ht="13.8" hidden="false" customHeight="false" outlineLevel="0" collapsed="false">
      <c r="A122" s="199" t="s">
        <v>43</v>
      </c>
      <c r="B122" s="231" t="n">
        <v>60.5</v>
      </c>
      <c r="C122" s="230" t="n">
        <f aca="false">C123</f>
        <v>428.8</v>
      </c>
      <c r="D122" s="202" t="n">
        <f aca="false">B122*C122</f>
        <v>25942.4</v>
      </c>
      <c r="E122" s="202" t="n">
        <f aca="false">2*E123-E124</f>
        <v>14513.324</v>
      </c>
      <c r="F122" s="202" t="n">
        <f aca="false">2*F123-F124</f>
        <v>1913.6</v>
      </c>
      <c r="G122" s="202" t="n">
        <f aca="false">2*G123-G124</f>
        <v>1320.268</v>
      </c>
      <c r="H122" s="153" t="n">
        <f aca="false">D122/E122</f>
        <v>1.78748851744783</v>
      </c>
      <c r="I122" s="154" t="n">
        <f aca="false">IF(F122&gt;0,D122/F122,"NM")</f>
        <v>13.556856187291</v>
      </c>
      <c r="J122" s="203" t="n">
        <f aca="false">IF(G122&gt;0,D122/G122,"nm")</f>
        <v>19.6493439210827</v>
      </c>
    </row>
    <row r="123" customFormat="false" ht="13.8" hidden="false" customHeight="false" outlineLevel="0" collapsed="false">
      <c r="A123" s="199" t="s">
        <v>42</v>
      </c>
      <c r="B123" s="231" t="n">
        <v>62</v>
      </c>
      <c r="C123" s="230" t="n">
        <v>428.8</v>
      </c>
      <c r="D123" s="202" t="n">
        <f aca="false">B123*C123</f>
        <v>26585.6</v>
      </c>
      <c r="E123" s="202" t="n">
        <f aca="false">2*E124-E125</f>
        <v>15095.592</v>
      </c>
      <c r="F123" s="202" t="n">
        <f aca="false">2*F124-F125</f>
        <v>2184.8</v>
      </c>
      <c r="G123" s="202" t="n">
        <f aca="false">2*G124-G125</f>
        <v>1374.812</v>
      </c>
      <c r="H123" s="153" t="n">
        <f aca="false">D123/E123</f>
        <v>1.76114987739467</v>
      </c>
      <c r="I123" s="154" t="n">
        <f aca="false">IF(F123&gt;0,D123/F123,"NM")</f>
        <v>12.1684364701575</v>
      </c>
      <c r="J123" s="203" t="n">
        <f aca="false">IF(G123&gt;0,D123/G123,"nm")</f>
        <v>19.3376257990183</v>
      </c>
    </row>
    <row r="124" customFormat="false" ht="13.8" hidden="false" customHeight="false" outlineLevel="0" collapsed="false">
      <c r="A124" s="199" t="s">
        <v>41</v>
      </c>
      <c r="B124" s="231" t="n">
        <v>78.8125</v>
      </c>
      <c r="C124" s="230" t="n">
        <f aca="false">G124/4/0.84</f>
        <v>425.403571428571</v>
      </c>
      <c r="D124" s="202" t="n">
        <f aca="false">B124*C124</f>
        <v>33527.1189732143</v>
      </c>
      <c r="E124" s="202" t="n">
        <f aca="false">4*3919.465</f>
        <v>15677.86</v>
      </c>
      <c r="F124" s="202" t="n">
        <f aca="false">4*(544.1+83.6-13.7)</f>
        <v>2456</v>
      </c>
      <c r="G124" s="202" t="n">
        <f aca="false">4*357.339</f>
        <v>1429.356</v>
      </c>
      <c r="H124" s="153" t="n">
        <f aca="false">D124/E124</f>
        <v>2.13850097993057</v>
      </c>
      <c r="I124" s="154" t="n">
        <f aca="false">IF(F124&gt;0,D124/F124,"NM")</f>
        <v>13.6511070737843</v>
      </c>
      <c r="J124" s="203" t="n">
        <f aca="false">IF(G124&gt;0,D124/G124,"nm")</f>
        <v>23.4561011904762</v>
      </c>
    </row>
    <row r="125" customFormat="false" ht="13.8" hidden="false" customHeight="false" outlineLevel="0" collapsed="false">
      <c r="A125" s="199" t="s">
        <v>40</v>
      </c>
      <c r="B125" s="231" t="n">
        <v>67</v>
      </c>
      <c r="C125" s="230" t="n">
        <f aca="false">G125/4/0.86</f>
        <v>431.366279069768</v>
      </c>
      <c r="D125" s="202" t="n">
        <f aca="false">B125*C125</f>
        <v>28901.5406976744</v>
      </c>
      <c r="E125" s="202" t="n">
        <f aca="false">4*4065.032</f>
        <v>16260.128</v>
      </c>
      <c r="F125" s="202" t="n">
        <f aca="false">4*(569.6+83.4+28.8)</f>
        <v>2727.2</v>
      </c>
      <c r="G125" s="202" t="n">
        <f aca="false">4*370.975</f>
        <v>1483.9</v>
      </c>
      <c r="H125" s="153" t="n">
        <f aca="false">D125/E125</f>
        <v>1.77744853531746</v>
      </c>
      <c r="I125" s="154" t="n">
        <f aca="false">IF(F125&gt;0,D125/F125,"NM")</f>
        <v>10.5975141895257</v>
      </c>
      <c r="J125" s="203" t="n">
        <f aca="false">IF(G125&gt;0,D125/G125,"nm")</f>
        <v>19.4767441860465</v>
      </c>
    </row>
    <row r="126" customFormat="false" ht="13.8" hidden="false" customHeight="false" outlineLevel="0" collapsed="false">
      <c r="A126" s="199" t="s">
        <v>39</v>
      </c>
      <c r="B126" s="231" t="n">
        <v>60.375</v>
      </c>
      <c r="C126" s="230" t="n">
        <f aca="false">G126/4/0.87</f>
        <v>429.606896551724</v>
      </c>
      <c r="D126" s="202" t="n">
        <f aca="false">B126*C126</f>
        <v>25937.5163793103</v>
      </c>
      <c r="E126" s="202" t="n">
        <f aca="false">4*4041.795</f>
        <v>16167.18</v>
      </c>
      <c r="F126" s="202" t="n">
        <f aca="false">4*(574.1+83.2+12.1)</f>
        <v>2677.6</v>
      </c>
      <c r="G126" s="202" t="n">
        <f aca="false">4*373.758</f>
        <v>1495.032</v>
      </c>
      <c r="H126" s="153" t="n">
        <f aca="false">D126/E126</f>
        <v>1.60433151479172</v>
      </c>
      <c r="I126" s="154" t="n">
        <f aca="false">IF(F126&gt;0,D126/F126,"NM")</f>
        <v>9.6868525467995</v>
      </c>
      <c r="J126" s="203" t="n">
        <f aca="false">IF(G126&gt;0,D126/G126,"nm")</f>
        <v>17.3491379310345</v>
      </c>
    </row>
    <row r="127" customFormat="false" ht="13.8" hidden="false" customHeight="false" outlineLevel="0" collapsed="false">
      <c r="A127" s="199" t="s">
        <v>190</v>
      </c>
      <c r="B127" s="231" t="n">
        <v>53.125</v>
      </c>
      <c r="C127" s="230" t="n">
        <f aca="false">G127/4/0.88</f>
        <v>400.909090909091</v>
      </c>
      <c r="D127" s="202" t="n">
        <f aca="false">B127*C127</f>
        <v>21298.2954545455</v>
      </c>
      <c r="E127" s="202" t="n">
        <f aca="false">4*3894.7</f>
        <v>15578.8</v>
      </c>
      <c r="F127" s="202" t="n">
        <f aca="false">4*(538.6+60.9+29.5)</f>
        <v>2516</v>
      </c>
      <c r="G127" s="202" t="n">
        <f aca="false">4*352.8</f>
        <v>1411.2</v>
      </c>
      <c r="H127" s="153" t="n">
        <f aca="false">D127/E127</f>
        <v>1.36713324868061</v>
      </c>
      <c r="I127" s="154" t="n">
        <f aca="false">IF(F127&gt;0,D127/F127,"NM")</f>
        <v>8.46514127764128</v>
      </c>
      <c r="J127" s="203" t="n">
        <f aca="false">IF(G127&gt;0,D127/G127,"nm")</f>
        <v>15.0923295454545</v>
      </c>
    </row>
    <row r="128" customFormat="false" ht="13.8" hidden="false" customHeight="false" outlineLevel="0" collapsed="false">
      <c r="A128" s="199" t="s">
        <v>191</v>
      </c>
      <c r="B128" s="231" t="n">
        <v>57.375</v>
      </c>
      <c r="C128" s="230" t="n">
        <f aca="false">G128/4/0.75</f>
        <v>433.2</v>
      </c>
      <c r="D128" s="202" t="n">
        <f aca="false">B128*C128</f>
        <v>24854.85</v>
      </c>
      <c r="E128" s="202" t="n">
        <f aca="false">4*3543.3</f>
        <v>14173.2</v>
      </c>
      <c r="F128" s="202" t="n">
        <f aca="false">4*(324.9+52+4.6)</f>
        <v>1526</v>
      </c>
      <c r="G128" s="202" t="n">
        <f aca="false">4*324.9</f>
        <v>1299.6</v>
      </c>
      <c r="H128" s="153" t="n">
        <f aca="false">D128/E128</f>
        <v>1.75365125730251</v>
      </c>
      <c r="I128" s="154" t="n">
        <f aca="false">IF(F128&gt;0,D128/F128,"NM")</f>
        <v>16.2875819134993</v>
      </c>
      <c r="J128" s="203" t="n">
        <f aca="false">IF(G128&gt;0,D128/G128,"nm")</f>
        <v>19.125</v>
      </c>
    </row>
    <row r="129" customFormat="false" ht="13.8" hidden="false" customHeight="false" outlineLevel="0" collapsed="false">
      <c r="A129" s="199" t="s">
        <v>192</v>
      </c>
      <c r="B129" s="231" t="n">
        <v>63.1875</v>
      </c>
      <c r="C129" s="230" t="n">
        <f aca="false">(C128+C130)/2</f>
        <v>432.2875</v>
      </c>
      <c r="D129" s="202" t="n">
        <f aca="false">B129*C129</f>
        <v>27315.16640625</v>
      </c>
      <c r="E129" s="202" t="n">
        <f aca="false">4*14265.9-SUM(E130:E132)</f>
        <v>14466</v>
      </c>
      <c r="F129" s="202" t="n">
        <f aca="false">(F128+F130)/2</f>
        <v>1960</v>
      </c>
      <c r="G129" s="202" t="n">
        <f aca="false">4*1313.6-SUM(G130:G132)</f>
        <v>1360.8</v>
      </c>
      <c r="H129" s="153" t="n">
        <f aca="false">D129/E129</f>
        <v>1.88823215859602</v>
      </c>
      <c r="I129" s="154" t="n">
        <f aca="false">IF(F129&gt;0,D129/F129,"NM")</f>
        <v>13.9363093909439</v>
      </c>
      <c r="J129" s="203" t="n">
        <f aca="false">IF(G129&gt;0,D129/G129,"nm")</f>
        <v>20.0728736083554</v>
      </c>
    </row>
    <row r="130" customFormat="false" ht="13.8" hidden="false" customHeight="false" outlineLevel="0" collapsed="false">
      <c r="A130" s="199" t="s">
        <v>193</v>
      </c>
      <c r="B130" s="231" t="n">
        <v>62.9375</v>
      </c>
      <c r="C130" s="230" t="n">
        <f aca="false">G130/4/0.8</f>
        <v>431.375</v>
      </c>
      <c r="D130" s="202" t="n">
        <f aca="false">B130*C130</f>
        <v>27149.6640625</v>
      </c>
      <c r="E130" s="202" t="n">
        <f aca="false">4*3634</f>
        <v>14536</v>
      </c>
      <c r="F130" s="202" t="n">
        <f aca="false">4*(534.2+48.9+15.4)</f>
        <v>2394</v>
      </c>
      <c r="G130" s="202" t="n">
        <f aca="false">4*345.1</f>
        <v>1380.4</v>
      </c>
      <c r="H130" s="153" t="n">
        <f aca="false">D130/E130</f>
        <v>1.8677534440355</v>
      </c>
      <c r="I130" s="154" t="n">
        <f aca="false">IF(F130&gt;0,D130/F130,"NM")</f>
        <v>11.3407118055556</v>
      </c>
      <c r="J130" s="203" t="n">
        <f aca="false">IF(G130&gt;0,D130/G130,"nm")</f>
        <v>19.66796875</v>
      </c>
    </row>
    <row r="131" customFormat="false" ht="13.8" hidden="false" customHeight="false" outlineLevel="0" collapsed="false">
      <c r="A131" s="199" t="s">
        <v>194</v>
      </c>
      <c r="B131" s="231" t="n">
        <v>52.9375</v>
      </c>
      <c r="C131" s="230" t="n">
        <f aca="false">G131/4/0.8</f>
        <v>407.375</v>
      </c>
      <c r="D131" s="202" t="n">
        <f aca="false">B131*C131</f>
        <v>21565.4140625</v>
      </c>
      <c r="E131" s="202" t="n">
        <f aca="false">4*3588.7</f>
        <v>14354.8</v>
      </c>
      <c r="F131" s="202" t="n">
        <f aca="false">4*(504.3+44.8+31.1)</f>
        <v>2320.8</v>
      </c>
      <c r="G131" s="202" t="n">
        <f aca="false">4*325.9</f>
        <v>1303.6</v>
      </c>
      <c r="H131" s="153" t="n">
        <f aca="false">D131/E131</f>
        <v>1.50231379486304</v>
      </c>
      <c r="I131" s="154" t="n">
        <f aca="false">IF(F131&gt;0,D131/F131,"NM")</f>
        <v>9.29223287767149</v>
      </c>
      <c r="J131" s="203" t="n">
        <f aca="false">IF(G131&gt;0,D131/G131,"nm")</f>
        <v>16.54296875</v>
      </c>
    </row>
    <row r="132" customFormat="false" ht="13.8" hidden="false" customHeight="false" outlineLevel="0" collapsed="false">
      <c r="A132" s="199" t="s">
        <v>195</v>
      </c>
      <c r="B132" s="231" t="n">
        <v>60.5</v>
      </c>
      <c r="C132" s="230" t="n">
        <f aca="false">G132/4/0.769</f>
        <v>393.237971391417</v>
      </c>
      <c r="D132" s="202" t="n">
        <f aca="false">B132*C132</f>
        <v>23790.8972691808</v>
      </c>
      <c r="E132" s="202" t="n">
        <f aca="false">4*3426.7</f>
        <v>13706.8</v>
      </c>
      <c r="F132" s="202" t="n">
        <f aca="false">4*(472.4+44.9+6.4)</f>
        <v>2094.8</v>
      </c>
      <c r="G132" s="202" t="n">
        <f aca="false">4*302.4</f>
        <v>1209.6</v>
      </c>
      <c r="H132" s="153" t="n">
        <f aca="false">D132/E132</f>
        <v>1.73570032897399</v>
      </c>
      <c r="I132" s="154" t="n">
        <f aca="false">IF(F132&gt;0,D132/F132,"NM")</f>
        <v>11.3571210947015</v>
      </c>
      <c r="J132" s="203" t="n">
        <f aca="false">IF(G132&gt;0,D132/G132,"nm")</f>
        <v>19.668400520156</v>
      </c>
    </row>
    <row r="133" customFormat="false" ht="13.8" hidden="false" customHeight="false" outlineLevel="0" collapsed="false">
      <c r="A133" s="199" t="s">
        <v>196</v>
      </c>
      <c r="B133" s="231" t="n">
        <v>62.25</v>
      </c>
      <c r="C133" s="230" t="n">
        <f aca="false">(C132+C134)/2</f>
        <v>416.078445155168</v>
      </c>
      <c r="D133" s="202" t="n">
        <f aca="false">B133*C133</f>
        <v>25900.8832109092</v>
      </c>
      <c r="E133" s="202" t="n">
        <f aca="false">(4*13447)-(E134+E135+(4*3171.5))</f>
        <v>13711.6</v>
      </c>
      <c r="F133" s="202" t="n">
        <f aca="false">(F132+F134)/2</f>
        <v>2186</v>
      </c>
      <c r="G133" s="202" t="n">
        <f aca="false">4*1228.6-(G134+G135+(4*282.3))</f>
        <v>1255.6</v>
      </c>
      <c r="H133" s="153" t="n">
        <f aca="false">D133/E133</f>
        <v>1.88897599192722</v>
      </c>
      <c r="I133" s="154" t="n">
        <f aca="false">IF(F133&gt;0,D133/F133,"NM")</f>
        <v>11.8485284587874</v>
      </c>
      <c r="J133" s="203" t="n">
        <f aca="false">IF(G133&gt;0,D133/G133,"nm")</f>
        <v>20.6282918213677</v>
      </c>
    </row>
    <row r="134" customFormat="false" ht="13.8" hidden="false" customHeight="false" outlineLevel="0" collapsed="false">
      <c r="A134" s="199" t="s">
        <v>197</v>
      </c>
      <c r="B134" s="231" t="n">
        <v>60.375</v>
      </c>
      <c r="C134" s="230" t="n">
        <f aca="false">G134/4/0.74</f>
        <v>438.918918918919</v>
      </c>
      <c r="D134" s="202" t="n">
        <f aca="false">B134*C134</f>
        <v>26499.7297297297</v>
      </c>
      <c r="E134" s="202" t="n">
        <f aca="false">4*3465.2</f>
        <v>13860.8</v>
      </c>
      <c r="F134" s="202" t="n">
        <f aca="false">4*(507.5+37.3+24.5)</f>
        <v>2277.2</v>
      </c>
      <c r="G134" s="202" t="n">
        <f aca="false">4*324.8</f>
        <v>1299.2</v>
      </c>
      <c r="H134" s="153" t="n">
        <f aca="false">D134/E134</f>
        <v>1.91184706003476</v>
      </c>
      <c r="I134" s="154" t="n">
        <f aca="false">IF(F134&gt;0,D134/F134,"NM")</f>
        <v>11.6369795054144</v>
      </c>
      <c r="J134" s="203" t="n">
        <f aca="false">IF(G134&gt;0,D134/G134,"nm")</f>
        <v>20.3969594594595</v>
      </c>
    </row>
    <row r="135" customFormat="false" ht="14.4" hidden="false" customHeight="false" outlineLevel="0" collapsed="false">
      <c r="A135" s="199" t="s">
        <v>198</v>
      </c>
      <c r="B135" s="231" t="n">
        <v>65.1875</v>
      </c>
      <c r="C135" s="230" t="n">
        <f aca="false">G135/4/0.7</f>
        <v>439.428571428572</v>
      </c>
      <c r="D135" s="202" t="n">
        <f aca="false">B135*C135</f>
        <v>28645.25</v>
      </c>
      <c r="E135" s="202" t="n">
        <f aca="false">4*3382.4</f>
        <v>13529.6</v>
      </c>
      <c r="F135" s="202" t="n">
        <f aca="false">4*(480.6+39.7+29.1)</f>
        <v>2197.6</v>
      </c>
      <c r="G135" s="202" t="n">
        <f aca="false">4*307.6</f>
        <v>1230.4</v>
      </c>
      <c r="H135" s="153" t="n">
        <f aca="false">D135/E135</f>
        <v>2.11722815160833</v>
      </c>
      <c r="I135" s="154" t="n">
        <f aca="false">IF(F135&gt;0,D135/F135,"NM")</f>
        <v>13.0347879504914</v>
      </c>
      <c r="J135" s="203" t="n">
        <f aca="false">IF(G135&gt;0,D135/G135,"nm")</f>
        <v>23.28125</v>
      </c>
    </row>
    <row r="136" customFormat="false" ht="14.4" hidden="false" customHeight="false" outlineLevel="0" collapsed="false">
      <c r="A136" s="223"/>
      <c r="B136" s="224"/>
      <c r="C136" s="224"/>
      <c r="D136" s="224"/>
      <c r="E136" s="224"/>
      <c r="F136" s="225" t="n">
        <f aca="false">SUM(F123:F135)/SUM(E123:E135)</f>
        <v>0.154448792884158</v>
      </c>
      <c r="G136" s="225" t="n">
        <f aca="false">SUM(G123:G135)/SUM(E123:E135)</f>
        <v>0.0917415783601324</v>
      </c>
      <c r="H136" s="226" t="n">
        <f aca="false">AVERAGE(H123:H135)</f>
        <v>1.7934051033428</v>
      </c>
      <c r="I136" s="226" t="n">
        <f aca="false">AVERAGE(I123:I135)</f>
        <v>11.7925618888441</v>
      </c>
      <c r="J136" s="227" t="n">
        <f aca="false">AVERAGE(J123:J135)</f>
        <v>19.5458193508745</v>
      </c>
    </row>
    <row r="137" customFormat="false" ht="6.75" hidden="false" customHeight="true" outlineLevel="0" collapsed="false">
      <c r="A137" s="4"/>
      <c r="B137" s="4"/>
      <c r="C137" s="4"/>
      <c r="D137" s="4"/>
      <c r="E137" s="4"/>
      <c r="F137" s="228"/>
      <c r="G137" s="228"/>
      <c r="H137" s="229"/>
      <c r="I137" s="229"/>
      <c r="J137" s="229"/>
    </row>
    <row r="138" customFormat="false" ht="18" hidden="false" customHeight="false" outlineLevel="0" collapsed="false">
      <c r="A138" s="8" t="s">
        <v>205</v>
      </c>
      <c r="B138" s="9"/>
      <c r="C138" s="198"/>
      <c r="D138" s="198"/>
      <c r="E138" s="198"/>
      <c r="F138" s="198"/>
      <c r="G138" s="198"/>
      <c r="H138" s="9"/>
      <c r="I138" s="9"/>
      <c r="J138" s="10"/>
    </row>
    <row r="139" customFormat="false" ht="13.8" hidden="false" customHeight="false" outlineLevel="0" collapsed="false">
      <c r="A139" s="199" t="s">
        <v>45</v>
      </c>
      <c r="B139" s="231" t="n">
        <v>42.08</v>
      </c>
      <c r="C139" s="230" t="n">
        <f aca="false">C140</f>
        <v>599.8</v>
      </c>
      <c r="D139" s="202" t="n">
        <f aca="false">B139*C139</f>
        <v>25239.584</v>
      </c>
      <c r="E139" s="202" t="n">
        <f aca="false">2*E140-E141</f>
        <v>4482.528</v>
      </c>
      <c r="F139" s="202" t="n">
        <f aca="false">2*F140-F141</f>
        <v>2063.4</v>
      </c>
      <c r="G139" s="202" t="n">
        <f aca="false">2*G140-G141</f>
        <v>1922.388</v>
      </c>
      <c r="H139" s="153" t="n">
        <f aca="false">D139/E139</f>
        <v>5.63065841418057</v>
      </c>
      <c r="I139" s="154" t="n">
        <f aca="false">IF(F139&gt;0,D139/F139,"NM")</f>
        <v>12.2320364447029</v>
      </c>
      <c r="J139" s="203" t="n">
        <f aca="false">IF(G139&gt;0,D139/G139,"nm")</f>
        <v>13.1292871158164</v>
      </c>
    </row>
    <row r="140" customFormat="false" ht="13.8" hidden="false" customHeight="false" outlineLevel="0" collapsed="false">
      <c r="A140" s="199" t="s">
        <v>44</v>
      </c>
      <c r="B140" s="231" t="n">
        <v>41.75</v>
      </c>
      <c r="C140" s="230" t="n">
        <f aca="false">C141</f>
        <v>599.8</v>
      </c>
      <c r="D140" s="202" t="n">
        <f aca="false">B140*C140</f>
        <v>25041.65</v>
      </c>
      <c r="E140" s="202" t="n">
        <f aca="false">2*E141-E142</f>
        <v>4307.792</v>
      </c>
      <c r="F140" s="202" t="n">
        <f aca="false">2*F141-F142</f>
        <v>1934</v>
      </c>
      <c r="G140" s="202" t="n">
        <f aca="false">2*G141-G142</f>
        <v>1662.80933333333</v>
      </c>
      <c r="H140" s="153" t="n">
        <f aca="false">D140/E140</f>
        <v>5.81310564669789</v>
      </c>
      <c r="I140" s="154" t="n">
        <f aca="false">IF(F140&gt;0,D140/F140,"NM")</f>
        <v>12.9481127197518</v>
      </c>
      <c r="J140" s="203" t="n">
        <f aca="false">IF(G140&gt;0,D140/G140,"nm")</f>
        <v>15.0598445041203</v>
      </c>
    </row>
    <row r="141" customFormat="false" ht="13.8" hidden="false" customHeight="false" outlineLevel="0" collapsed="false">
      <c r="A141" s="199" t="s">
        <v>43</v>
      </c>
      <c r="B141" s="231" t="n">
        <v>44.3</v>
      </c>
      <c r="C141" s="230" t="n">
        <f aca="false">C142</f>
        <v>599.8</v>
      </c>
      <c r="D141" s="202" t="n">
        <f aca="false">B141*C141</f>
        <v>26571.14</v>
      </c>
      <c r="E141" s="202" t="n">
        <f aca="false">2*E142-E143</f>
        <v>4133.056</v>
      </c>
      <c r="F141" s="202" t="n">
        <f aca="false">2*F142-F143</f>
        <v>1804.6</v>
      </c>
      <c r="G141" s="202" t="n">
        <f aca="false">AVERAGE(G142:G144)</f>
        <v>1403.23066666667</v>
      </c>
      <c r="H141" s="153" t="n">
        <f aca="false">D141/E141</f>
        <v>6.42893297356726</v>
      </c>
      <c r="I141" s="154" t="n">
        <f aca="false">IF(F141&gt;0,D141/F141,"NM")</f>
        <v>14.7241161476227</v>
      </c>
      <c r="J141" s="203" t="n">
        <f aca="false">IF(G141&gt;0,D141/G141,"nm")</f>
        <v>18.9356893568461</v>
      </c>
    </row>
    <row r="142" customFormat="false" ht="13.8" hidden="false" customHeight="false" outlineLevel="0" collapsed="false">
      <c r="A142" s="199" t="s">
        <v>42</v>
      </c>
      <c r="B142" s="231" t="n">
        <v>44.49</v>
      </c>
      <c r="C142" s="230" t="n">
        <v>599.8</v>
      </c>
      <c r="D142" s="202" t="n">
        <f aca="false">B142*C142</f>
        <v>26685.102</v>
      </c>
      <c r="E142" s="202" t="n">
        <f aca="false">2*E143-E144</f>
        <v>3958.32</v>
      </c>
      <c r="F142" s="202" t="n">
        <f aca="false">2*F143-F144</f>
        <v>1675.2</v>
      </c>
      <c r="G142" s="202" t="n">
        <f aca="false">AVERAGE(G143:G145)</f>
        <v>1143.652</v>
      </c>
      <c r="H142" s="153" t="n">
        <f aca="false">D142/E142</f>
        <v>6.74152216091675</v>
      </c>
      <c r="I142" s="154" t="n">
        <f aca="false">IF(F142&gt;0,D142/F142,"NM")</f>
        <v>15.9295021489971</v>
      </c>
      <c r="J142" s="203" t="n">
        <f aca="false">IF(G142&gt;0,D142/G142,"nm")</f>
        <v>23.3332359843729</v>
      </c>
    </row>
    <row r="143" customFormat="false" ht="13.8" hidden="false" customHeight="false" outlineLevel="0" collapsed="false">
      <c r="A143" s="199" t="s">
        <v>41</v>
      </c>
      <c r="B143" s="231" t="n">
        <v>46.525</v>
      </c>
      <c r="C143" s="230" t="n">
        <v>599.8</v>
      </c>
      <c r="D143" s="202" t="n">
        <f aca="false">B143*C143</f>
        <v>27905.695</v>
      </c>
      <c r="E143" s="202" t="n">
        <f aca="false">4*945.896</f>
        <v>3783.584</v>
      </c>
      <c r="F143" s="202" t="n">
        <f aca="false">4*386.45</f>
        <v>1545.8</v>
      </c>
      <c r="G143" s="202" t="n">
        <f aca="false">4*-71.636</f>
        <v>-286.544</v>
      </c>
      <c r="H143" s="153" t="n">
        <f aca="false">D143/E143</f>
        <v>7.37546596031699</v>
      </c>
      <c r="I143" s="154" t="n">
        <f aca="false">IF(F143&gt;0,D143/F143,"NM")</f>
        <v>18.0525908914478</v>
      </c>
      <c r="J143" s="203" t="str">
        <f aca="false">IF(G143&gt;0,D143/G143,"nm")</f>
        <v>nm</v>
      </c>
    </row>
    <row r="144" customFormat="false" ht="13.8" hidden="false" customHeight="false" outlineLevel="0" collapsed="false">
      <c r="A144" s="199" t="s">
        <v>40</v>
      </c>
      <c r="B144" s="231" t="n">
        <v>38.25</v>
      </c>
      <c r="C144" s="230" t="n">
        <v>600.997165</v>
      </c>
      <c r="D144" s="202" t="n">
        <f aca="false">B144*C144</f>
        <v>22988.14156125</v>
      </c>
      <c r="E144" s="202" t="n">
        <f aca="false">4*902.212</f>
        <v>3608.848</v>
      </c>
      <c r="F144" s="202" t="n">
        <f aca="false">4*(354.1)</f>
        <v>1416.4</v>
      </c>
      <c r="G144" s="202" t="n">
        <f aca="false">4*838.146</f>
        <v>3352.584</v>
      </c>
      <c r="H144" s="153" t="n">
        <f aca="false">D144/E144</f>
        <v>6.3699389836452</v>
      </c>
      <c r="I144" s="154" t="n">
        <f aca="false">IF(F144&gt;0,D144/F144,"NM")</f>
        <v>16.2299785097783</v>
      </c>
      <c r="J144" s="203" t="n">
        <f aca="false">IF(G144&gt;0,D144/G144,"nm")</f>
        <v>6.85684282966512</v>
      </c>
    </row>
    <row r="145" customFormat="false" ht="13.8" hidden="false" customHeight="false" outlineLevel="0" collapsed="false">
      <c r="A145" s="199" t="s">
        <v>39</v>
      </c>
      <c r="B145" s="231" t="n">
        <v>45.5469</v>
      </c>
      <c r="C145" s="230" t="n">
        <v>603.31667</v>
      </c>
      <c r="D145" s="202" t="n">
        <f aca="false">B145*C145</f>
        <v>27479.204036823</v>
      </c>
      <c r="E145" s="202" t="n">
        <f aca="false">4*801.179</f>
        <v>3204.716</v>
      </c>
      <c r="F145" s="202" t="n">
        <f aca="false">4*337.023</f>
        <v>1348.092</v>
      </c>
      <c r="G145" s="202" t="n">
        <f aca="false">4*91.229</f>
        <v>364.916</v>
      </c>
      <c r="H145" s="153" t="n">
        <f aca="false">D145/E145</f>
        <v>8.57461442350055</v>
      </c>
      <c r="I145" s="154" t="n">
        <f aca="false">IF(F145&gt;0,D145/F145,"NM")</f>
        <v>20.3837750218998</v>
      </c>
      <c r="J145" s="203" t="n">
        <f aca="false">IF(G145&gt;0,D145/G145,"nm")</f>
        <v>75.3028204760082</v>
      </c>
    </row>
    <row r="146" customFormat="false" ht="13.8" hidden="false" customHeight="false" outlineLevel="0" collapsed="false">
      <c r="A146" s="199" t="s">
        <v>190</v>
      </c>
      <c r="B146" s="231" t="n">
        <v>48.5</v>
      </c>
      <c r="C146" s="230" t="n">
        <v>599.8</v>
      </c>
      <c r="D146" s="202" t="n">
        <f aca="false">B146*C146</f>
        <v>29090.3</v>
      </c>
      <c r="E146" s="202" t="n">
        <f aca="false">4*779.9</f>
        <v>3119.6</v>
      </c>
      <c r="F146" s="202" t="n">
        <f aca="false">4*325.538</f>
        <v>1302.152</v>
      </c>
      <c r="G146" s="202" t="n">
        <f aca="false">4*1067.516</f>
        <v>4270.064</v>
      </c>
      <c r="H146" s="153" t="n">
        <f aca="false">D146/E146</f>
        <v>9.32500961661752</v>
      </c>
      <c r="I146" s="154" t="n">
        <f aca="false">IF(F146&gt;0,D146/F146,"NM")</f>
        <v>22.3401722686752</v>
      </c>
      <c r="J146" s="203" t="n">
        <f aca="false">IF(G146&gt;0,D146/G146,"nm")</f>
        <v>6.81261451818989</v>
      </c>
    </row>
    <row r="147" customFormat="false" ht="13.8" hidden="false" customHeight="false" outlineLevel="0" collapsed="false">
      <c r="A147" s="199" t="s">
        <v>191</v>
      </c>
      <c r="B147" s="231" t="n">
        <v>51.5</v>
      </c>
      <c r="C147" s="230" t="n">
        <v>599.8</v>
      </c>
      <c r="D147" s="202" t="n">
        <f aca="false">B147*C147</f>
        <v>30889.7</v>
      </c>
      <c r="E147" s="202" t="n">
        <f aca="false">4*838.149</f>
        <v>3352.596</v>
      </c>
      <c r="F147" s="202" t="n">
        <f aca="false">4*291.075</f>
        <v>1164.3</v>
      </c>
      <c r="G147" s="202" t="n">
        <f aca="false">4*113.056</f>
        <v>452.224</v>
      </c>
      <c r="H147" s="153" t="n">
        <f aca="false">D147/E147</f>
        <v>9.21366606653471</v>
      </c>
      <c r="I147" s="154" t="n">
        <f aca="false">IF(F147&gt;0,D147/F147,"NM")</f>
        <v>26.5307051447222</v>
      </c>
      <c r="J147" s="203" t="n">
        <f aca="false">IF(G147&gt;0,D147/G147,"nm")</f>
        <v>68.3061933908859</v>
      </c>
    </row>
    <row r="148" customFormat="false" ht="13.8" hidden="false" customHeight="false" outlineLevel="0" collapsed="false">
      <c r="A148" s="199" t="s">
        <v>192</v>
      </c>
      <c r="B148" s="231" t="n">
        <v>41.75</v>
      </c>
      <c r="C148" s="230" t="n">
        <v>576.103113</v>
      </c>
      <c r="D148" s="202" t="n">
        <f aca="false">B148*C148</f>
        <v>24052.30496775</v>
      </c>
      <c r="E148" s="202" t="n">
        <f aca="false">4*809.1</f>
        <v>3236.4</v>
      </c>
      <c r="F148" s="202" t="n">
        <f aca="false">4*314.947</f>
        <v>1259.788</v>
      </c>
      <c r="G148" s="202" t="n">
        <f aca="false">4*11.86</f>
        <v>47.44</v>
      </c>
      <c r="H148" s="153" t="n">
        <f aca="false">D148/E148</f>
        <v>7.43180848095106</v>
      </c>
      <c r="I148" s="154" t="n">
        <f aca="false">IF(F148&gt;0,D148/F148,"NM")</f>
        <v>19.0923432893074</v>
      </c>
      <c r="J148" s="203" t="n">
        <f aca="false">IF(G148&gt;0,D148/G148,"nm")</f>
        <v>507.004742153246</v>
      </c>
    </row>
    <row r="149" customFormat="false" ht="13.8" hidden="false" customHeight="false" outlineLevel="0" collapsed="false">
      <c r="A149" s="199" t="s">
        <v>193</v>
      </c>
      <c r="B149" s="231" t="n">
        <v>36.8125</v>
      </c>
      <c r="C149" s="230" t="n">
        <v>555.102887</v>
      </c>
      <c r="D149" s="202" t="n">
        <f aca="false">B149*C149</f>
        <v>20434.7250276875</v>
      </c>
      <c r="E149" s="202" t="n">
        <f aca="false">4*752.159</f>
        <v>3008.636</v>
      </c>
      <c r="F149" s="202" t="n">
        <f aca="false">4*315.317</f>
        <v>1261.268</v>
      </c>
      <c r="G149" s="202" t="n">
        <f aca="false">4*505.833</f>
        <v>2023.332</v>
      </c>
      <c r="H149" s="153" t="n">
        <f aca="false">D149/E149</f>
        <v>6.79202303890783</v>
      </c>
      <c r="I149" s="154" t="n">
        <f aca="false">IF(F149&gt;0,D149/F149,"NM")</f>
        <v>16.2017311369887</v>
      </c>
      <c r="J149" s="203" t="n">
        <f aca="false">IF(G149&gt;0,D149/G149,"nm")</f>
        <v>10.0995412654411</v>
      </c>
    </row>
    <row r="150" customFormat="false" ht="13.8" hidden="false" customHeight="false" outlineLevel="0" collapsed="false">
      <c r="A150" s="199" t="s">
        <v>194</v>
      </c>
      <c r="B150" s="231" t="n">
        <v>37.8125</v>
      </c>
      <c r="C150" s="230" t="n">
        <f aca="false">2*277.448177</f>
        <v>554.896354</v>
      </c>
      <c r="D150" s="202" t="n">
        <f aca="false">B150*C150</f>
        <v>20982.018385625</v>
      </c>
      <c r="E150" s="202" t="n">
        <f aca="false">4*498.546</f>
        <v>1994.184</v>
      </c>
      <c r="F150" s="202" t="n">
        <f aca="false">4*302.565</f>
        <v>1210.26</v>
      </c>
      <c r="G150" s="202" t="n">
        <f aca="false">4*251.179</f>
        <v>1004.716</v>
      </c>
      <c r="H150" s="153" t="n">
        <f aca="false">D150/E150</f>
        <v>10.5216060231278</v>
      </c>
      <c r="I150" s="154" t="n">
        <f aca="false">IF(F150&gt;0,D150/F150,"NM")</f>
        <v>17.3367858027407</v>
      </c>
      <c r="J150" s="203" t="n">
        <f aca="false">IF(G150&gt;0,D150/G150,"nm")</f>
        <v>20.8835316503619</v>
      </c>
    </row>
    <row r="151" customFormat="false" ht="13.8" hidden="false" customHeight="false" outlineLevel="0" collapsed="false">
      <c r="A151" s="199" t="s">
        <v>195</v>
      </c>
      <c r="B151" s="231" t="n">
        <v>34.525</v>
      </c>
      <c r="C151" s="230" t="n">
        <f aca="false">G151/4/0.19/3</f>
        <v>557.719298245614</v>
      </c>
      <c r="D151" s="202" t="n">
        <f aca="false">B151*C151</f>
        <v>19255.2587719298</v>
      </c>
      <c r="E151" s="202" t="n">
        <f aca="false">4*486.7</f>
        <v>1946.8</v>
      </c>
      <c r="F151" s="202" t="n">
        <f aca="false">4*111.9</f>
        <v>447.6</v>
      </c>
      <c r="G151" s="202" t="n">
        <f aca="false">4*317.9</f>
        <v>1271.6</v>
      </c>
      <c r="H151" s="153" t="n">
        <f aca="false">D151/E151</f>
        <v>9.89072260731961</v>
      </c>
      <c r="I151" s="154" t="n">
        <f aca="false">IF(F151&gt;0,D151/F151,"NM")</f>
        <v>43.0188980606118</v>
      </c>
      <c r="J151" s="203" t="n">
        <f aca="false">IF(G151&gt;0,D151/G151,"nm")</f>
        <v>15.1425438596491</v>
      </c>
    </row>
    <row r="152" customFormat="false" ht="13.8" hidden="false" customHeight="false" outlineLevel="0" collapsed="false">
      <c r="A152" s="199" t="s">
        <v>196</v>
      </c>
      <c r="B152" s="231" t="n">
        <v>27.3125</v>
      </c>
      <c r="C152" s="230" t="n">
        <f aca="false">G152/4/1.97</f>
        <v>540.595939086294</v>
      </c>
      <c r="D152" s="202" t="n">
        <f aca="false">B152*C152</f>
        <v>14765.0265862944</v>
      </c>
      <c r="E152" s="202" t="n">
        <f aca="false">4*447.873</f>
        <v>1791.492</v>
      </c>
      <c r="F152" s="202" t="n">
        <f aca="false">4*179.316</f>
        <v>717.264</v>
      </c>
      <c r="G152" s="202" t="n">
        <f aca="false">4*1064.974</f>
        <v>4259.896</v>
      </c>
      <c r="H152" s="153" t="n">
        <f aca="false">D152/E152</f>
        <v>8.2417485460691</v>
      </c>
      <c r="I152" s="154" t="n">
        <f aca="false">IF(F152&gt;0,D152/F152,"NM")</f>
        <v>20.5852051494212</v>
      </c>
      <c r="J152" s="203" t="n">
        <f aca="false">IF(G152&gt;0,D152/G152,"nm")</f>
        <v>3.46605329949239</v>
      </c>
    </row>
    <row r="153" customFormat="false" ht="13.8" hidden="false" customHeight="false" outlineLevel="0" collapsed="false">
      <c r="A153" s="199" t="s">
        <v>197</v>
      </c>
      <c r="B153" s="231" t="n">
        <v>24.2188</v>
      </c>
      <c r="C153" s="230" t="n">
        <f aca="false">G153/4/-0.02</f>
        <v>612.3</v>
      </c>
      <c r="D153" s="202" t="n">
        <f aca="false">B153*C153</f>
        <v>14829.17124</v>
      </c>
      <c r="E153" s="202" t="n">
        <f aca="false">4*444.251</f>
        <v>1777.004</v>
      </c>
      <c r="F153" s="202" t="n">
        <f aca="false">4*177.193</f>
        <v>708.772</v>
      </c>
      <c r="G153" s="202" t="n">
        <f aca="false">4*-12.246</f>
        <v>-48.984</v>
      </c>
      <c r="H153" s="153" t="n">
        <f aca="false">D153/E153</f>
        <v>8.34504100159595</v>
      </c>
      <c r="I153" s="154" t="n">
        <f aca="false">IF(F153&gt;0,D153/F153,"NM")</f>
        <v>20.922343489867</v>
      </c>
      <c r="J153" s="203" t="str">
        <f aca="false">IF(G153&gt;0,D153/G153,"nm")</f>
        <v>nm</v>
      </c>
    </row>
    <row r="154" customFormat="false" ht="14.4" hidden="false" customHeight="false" outlineLevel="0" collapsed="false">
      <c r="A154" s="199" t="s">
        <v>198</v>
      </c>
      <c r="B154" s="231" t="n">
        <v>21</v>
      </c>
      <c r="C154" s="230" t="n">
        <f aca="false">G154/2/-0.38</f>
        <v>536.415789473684</v>
      </c>
      <c r="D154" s="202" t="n">
        <f aca="false">B154*C154</f>
        <v>11264.7315789474</v>
      </c>
      <c r="E154" s="202" t="n">
        <f aca="false">4*430.992</f>
        <v>1723.968</v>
      </c>
      <c r="F154" s="202" t="n">
        <f aca="false">4*169.266</f>
        <v>677.064</v>
      </c>
      <c r="G154" s="202" t="n">
        <f aca="false">4*-101.919</f>
        <v>-407.676</v>
      </c>
      <c r="H154" s="153" t="n">
        <f aca="false">D154/E154</f>
        <v>6.53418832539082</v>
      </c>
      <c r="I154" s="154" t="n">
        <f aca="false">IF(F154&gt;0,D154/F154,"NM")</f>
        <v>16.6376170922503</v>
      </c>
      <c r="J154" s="203" t="str">
        <f aca="false">IF(G154&gt;0,D154/G154,"nm")</f>
        <v>nm</v>
      </c>
    </row>
    <row r="155" customFormat="false" ht="14.4" hidden="false" customHeight="false" outlineLevel="0" collapsed="false">
      <c r="A155" s="223"/>
      <c r="B155" s="224"/>
      <c r="C155" s="224"/>
      <c r="D155" s="224"/>
      <c r="E155" s="224"/>
      <c r="F155" s="225" t="n">
        <f aca="false">SUM(F142:F154)/SUM(E142:E154)</f>
        <v>0.403602154902785</v>
      </c>
      <c r="G155" s="225" t="n">
        <f aca="false">SUM(G142:G154)/SUM(E142:E154)</f>
        <v>0.477925526407223</v>
      </c>
      <c r="H155" s="226" t="n">
        <f aca="false">AVERAGE(H142:H154)</f>
        <v>8.10441194114568</v>
      </c>
      <c r="I155" s="226" t="n">
        <f aca="false">AVERAGE(I142:I154)</f>
        <v>21.0201267697467</v>
      </c>
      <c r="J155" s="227" t="n">
        <f aca="false">AVERAGE(J142:J154)</f>
        <v>73.7208119427313</v>
      </c>
    </row>
    <row r="156" customFormat="false" ht="6.75" hidden="false" customHeight="true" outlineLevel="0" collapsed="false">
      <c r="A156" s="4"/>
      <c r="B156" s="4"/>
      <c r="C156" s="4"/>
      <c r="D156" s="4"/>
      <c r="E156" s="4"/>
      <c r="F156" s="228"/>
      <c r="G156" s="228"/>
      <c r="H156" s="229"/>
      <c r="I156" s="229"/>
      <c r="J156" s="229"/>
    </row>
    <row r="157" customFormat="false" ht="18" hidden="false" customHeight="false" outlineLevel="0" collapsed="false">
      <c r="A157" s="8" t="s">
        <v>206</v>
      </c>
      <c r="B157" s="9"/>
      <c r="C157" s="198"/>
      <c r="D157" s="198"/>
      <c r="E157" s="198"/>
      <c r="F157" s="198"/>
      <c r="G157" s="198"/>
      <c r="H157" s="9"/>
      <c r="I157" s="9"/>
      <c r="J157" s="10"/>
    </row>
    <row r="158" customFormat="false" ht="13.8" hidden="false" customHeight="false" outlineLevel="0" collapsed="false">
      <c r="A158" s="199" t="s">
        <v>45</v>
      </c>
      <c r="B158" s="231" t="n">
        <f aca="false">B159</f>
        <v>4.531</v>
      </c>
      <c r="C158" s="230" t="n">
        <f aca="false">C159</f>
        <v>30.8</v>
      </c>
      <c r="D158" s="202" t="n">
        <f aca="false">B158*C158</f>
        <v>139.5548</v>
      </c>
      <c r="E158" s="202" t="n">
        <f aca="false">2*E159-E160</f>
        <v>18.592</v>
      </c>
      <c r="F158" s="202" t="n">
        <f aca="false">2*F159-F160</f>
        <v>264.7</v>
      </c>
      <c r="G158" s="202" t="n">
        <f aca="false">2*G159-G160</f>
        <v>-304.488</v>
      </c>
      <c r="H158" s="153" t="n">
        <f aca="false">D158/E158</f>
        <v>7.50617469879518</v>
      </c>
      <c r="I158" s="154" t="n">
        <f aca="false">IF(F158&gt;0,D158/F158,"NM")</f>
        <v>0.527218738194182</v>
      </c>
      <c r="J158" s="203" t="str">
        <f aca="false">IF(G158&gt;0,D158/G158,"nm")</f>
        <v>nm</v>
      </c>
    </row>
    <row r="159" customFormat="false" ht="13.8" hidden="false" customHeight="false" outlineLevel="0" collapsed="false">
      <c r="A159" s="199" t="s">
        <v>44</v>
      </c>
      <c r="B159" s="231" t="n">
        <f aca="false">B160</f>
        <v>4.531</v>
      </c>
      <c r="C159" s="230" t="n">
        <f aca="false">C160</f>
        <v>30.8</v>
      </c>
      <c r="D159" s="202" t="n">
        <f aca="false">B159*C159</f>
        <v>139.5548</v>
      </c>
      <c r="E159" s="202" t="n">
        <f aca="false">2*E160-E161</f>
        <v>16.328</v>
      </c>
      <c r="F159" s="202" t="n">
        <f aca="false">2*F160-F161</f>
        <v>103.5</v>
      </c>
      <c r="G159" s="202" t="n">
        <f aca="false">2*G160-G161</f>
        <v>-284.825333333333</v>
      </c>
      <c r="H159" s="153" t="n">
        <f aca="false">D159/E159</f>
        <v>8.54696227339539</v>
      </c>
      <c r="I159" s="154" t="n">
        <f aca="false">IF(F159&gt;0,D159/F159,"NM")</f>
        <v>1.34835555555556</v>
      </c>
      <c r="J159" s="203" t="str">
        <f aca="false">IF(G159&gt;0,D159/G159,"nm")</f>
        <v>nm</v>
      </c>
    </row>
    <row r="160" customFormat="false" ht="13.8" hidden="false" customHeight="false" outlineLevel="0" collapsed="false">
      <c r="A160" s="199" t="s">
        <v>43</v>
      </c>
      <c r="B160" s="231" t="n">
        <f aca="false">B161</f>
        <v>4.531</v>
      </c>
      <c r="C160" s="230" t="n">
        <f aca="false">C161</f>
        <v>30.8</v>
      </c>
      <c r="D160" s="202" t="n">
        <f aca="false">B160*C160</f>
        <v>139.5548</v>
      </c>
      <c r="E160" s="202" t="n">
        <f aca="false">2*E161-E162</f>
        <v>14.064</v>
      </c>
      <c r="F160" s="202" t="n">
        <f aca="false">2*F161-F162</f>
        <v>-57.7</v>
      </c>
      <c r="G160" s="202" t="n">
        <f aca="false">AVERAGE(G161:G163)</f>
        <v>-265.162666666667</v>
      </c>
      <c r="H160" s="153" t="n">
        <f aca="false">D160/E160</f>
        <v>9.92283845278726</v>
      </c>
      <c r="I160" s="154" t="str">
        <f aca="false">IF(F160&gt;0,D160/F160,"NM")</f>
        <v>NM</v>
      </c>
      <c r="J160" s="203" t="str">
        <f aca="false">IF(G160&gt;0,D160/G160,"nm")</f>
        <v>nm</v>
      </c>
    </row>
    <row r="161" customFormat="false" ht="13.8" hidden="false" customHeight="false" outlineLevel="0" collapsed="false">
      <c r="A161" s="199" t="s">
        <v>42</v>
      </c>
      <c r="B161" s="231" t="n">
        <v>4.531</v>
      </c>
      <c r="C161" s="230" t="n">
        <v>30.8</v>
      </c>
      <c r="D161" s="202" t="n">
        <f aca="false">B161*C161</f>
        <v>139.5548</v>
      </c>
      <c r="E161" s="202" t="n">
        <v>11.8</v>
      </c>
      <c r="F161" s="202" t="n">
        <v>-218.9</v>
      </c>
      <c r="G161" s="202" t="n">
        <v>-245.5</v>
      </c>
      <c r="H161" s="153" t="n">
        <f aca="false">D161/E161</f>
        <v>11.8266779661017</v>
      </c>
      <c r="I161" s="154" t="str">
        <f aca="false">IF(F161&gt;0,D161/F161,"NM")</f>
        <v>NM</v>
      </c>
      <c r="J161" s="203" t="str">
        <f aca="false">IF(G161&gt;0,D161/G161,"nm")</f>
        <v>nm</v>
      </c>
    </row>
    <row r="162" customFormat="false" ht="13.8" hidden="false" customHeight="false" outlineLevel="0" collapsed="false">
      <c r="A162" s="199" t="s">
        <v>41</v>
      </c>
      <c r="B162" s="231" t="n">
        <v>10.0625</v>
      </c>
      <c r="C162" s="230" t="n">
        <v>30.785</v>
      </c>
      <c r="D162" s="202" t="n">
        <f aca="false">B162*C162</f>
        <v>309.7740625</v>
      </c>
      <c r="E162" s="202" t="n">
        <f aca="false">4*2.384</f>
        <v>9.536</v>
      </c>
      <c r="F162" s="202" t="n">
        <f aca="false">4*(-106.992+11.967)</f>
        <v>-380.1</v>
      </c>
      <c r="G162" s="202" t="n">
        <f aca="false">4*-95.971</f>
        <v>-383.884</v>
      </c>
      <c r="H162" s="153" t="n">
        <f aca="false">D162/E162</f>
        <v>32.4846961514262</v>
      </c>
      <c r="I162" s="154" t="str">
        <f aca="false">IF(F162&gt;0,D162/F162,"NM")</f>
        <v>NM</v>
      </c>
      <c r="J162" s="203" t="str">
        <f aca="false">IF(G162&gt;0,D162/G162,"nm")</f>
        <v>nm</v>
      </c>
    </row>
    <row r="163" customFormat="false" ht="13.8" hidden="false" customHeight="false" outlineLevel="0" collapsed="false">
      <c r="A163" s="199" t="s">
        <v>40</v>
      </c>
      <c r="B163" s="231" t="n">
        <v>25.75</v>
      </c>
      <c r="C163" s="230" t="n">
        <v>30.747</v>
      </c>
      <c r="D163" s="202" t="n">
        <f aca="false">B163*C163</f>
        <v>791.73525</v>
      </c>
      <c r="E163" s="202" t="n">
        <f aca="false">4*3.932</f>
        <v>15.728</v>
      </c>
      <c r="F163" s="202" t="n">
        <f aca="false">4*(-58.923+3.963)</f>
        <v>-219.84</v>
      </c>
      <c r="G163" s="202" t="n">
        <f aca="false">4*-41.526</f>
        <v>-166.104</v>
      </c>
      <c r="H163" s="153" t="n">
        <f aca="false">D163/E163</f>
        <v>50.3392198626653</v>
      </c>
      <c r="I163" s="154" t="str">
        <f aca="false">IF(F163&gt;0,D163/F163,"NM")</f>
        <v>NM</v>
      </c>
      <c r="J163" s="203" t="str">
        <f aca="false">IF(G163&gt;0,D163/G163,"nm")</f>
        <v>nm</v>
      </c>
    </row>
    <row r="164" customFormat="false" ht="13.8" hidden="false" customHeight="false" outlineLevel="0" collapsed="false">
      <c r="A164" s="199" t="s">
        <v>39</v>
      </c>
      <c r="B164" s="231" t="n">
        <v>27.875</v>
      </c>
      <c r="C164" s="230" t="n">
        <v>30.654</v>
      </c>
      <c r="D164" s="202" t="n">
        <f aca="false">B164*C164</f>
        <v>854.48025</v>
      </c>
      <c r="E164" s="202" t="n">
        <f aca="false">4*2.307</f>
        <v>9.228</v>
      </c>
      <c r="F164" s="202" t="n">
        <f aca="false">4*(-45.006+2.428)</f>
        <v>-170.312</v>
      </c>
      <c r="G164" s="202" t="n">
        <f aca="false">4*-31.335</f>
        <v>-125.34</v>
      </c>
      <c r="H164" s="153" t="n">
        <f aca="false">D164/E164</f>
        <v>92.5964726918075</v>
      </c>
      <c r="I164" s="154" t="str">
        <f aca="false">IF(F164&gt;0,D164/F164,"NM")</f>
        <v>NM</v>
      </c>
      <c r="J164" s="203" t="str">
        <f aca="false">IF(G164&gt;0,D164/G164,"nm")</f>
        <v>nm</v>
      </c>
    </row>
    <row r="165" customFormat="false" ht="13.8" hidden="false" customHeight="false" outlineLevel="0" collapsed="false">
      <c r="A165" s="199" t="s">
        <v>190</v>
      </c>
      <c r="B165" s="231" t="n">
        <v>46.375</v>
      </c>
      <c r="C165" s="230" t="n">
        <v>28.16</v>
      </c>
      <c r="D165" s="202" t="n">
        <f aca="false">B165*C165</f>
        <v>1305.92</v>
      </c>
      <c r="E165" s="202" t="n">
        <f aca="false">4*3.223</f>
        <v>12.892</v>
      </c>
      <c r="F165" s="202" t="n">
        <f aca="false">4*-28.439</f>
        <v>-113.756</v>
      </c>
      <c r="G165" s="202" t="n">
        <f aca="false">4*-19.317</f>
        <v>-77.268</v>
      </c>
      <c r="H165" s="153" t="n">
        <f aca="false">D165/E165</f>
        <v>101.296928327645</v>
      </c>
      <c r="I165" s="154" t="str">
        <f aca="false">IF(F165&gt;0,D165/F165,"NM")</f>
        <v>NM</v>
      </c>
      <c r="J165" s="203" t="str">
        <f aca="false">IF(G165&gt;0,D165/G165,"nm")</f>
        <v>nm</v>
      </c>
    </row>
    <row r="166" customFormat="false" ht="13.8" hidden="false" customHeight="false" outlineLevel="0" collapsed="false">
      <c r="A166" s="199" t="s">
        <v>191</v>
      </c>
      <c r="B166" s="231" t="n">
        <v>78.625</v>
      </c>
      <c r="C166" s="230" t="n">
        <v>22.398</v>
      </c>
      <c r="D166" s="202" t="n">
        <f aca="false">B166*C166</f>
        <v>1761.04275</v>
      </c>
      <c r="E166" s="202" t="n">
        <f aca="false">4*4.88</f>
        <v>19.52</v>
      </c>
      <c r="F166" s="202" t="n">
        <f aca="false">4*(-20.977+1.596)</f>
        <v>-77.524</v>
      </c>
      <c r="G166" s="202" t="n">
        <f aca="false">4*-18.064</f>
        <v>-72.256</v>
      </c>
      <c r="H166" s="153" t="n">
        <f aca="false">D166/E166</f>
        <v>90.2173539959017</v>
      </c>
      <c r="I166" s="154" t="str">
        <f aca="false">IF(F166&gt;0,D166/F166,"NM")</f>
        <v>NM</v>
      </c>
      <c r="J166" s="203" t="str">
        <f aca="false">IF(G166&gt;0,D166/G166,"nm")</f>
        <v>nm</v>
      </c>
    </row>
    <row r="167" customFormat="false" ht="13.8" hidden="false" customHeight="false" outlineLevel="0" collapsed="false">
      <c r="A167" s="199" t="s">
        <v>192</v>
      </c>
      <c r="B167" s="231" t="n">
        <v>22.75</v>
      </c>
      <c r="C167" s="230" t="n">
        <v>20.889</v>
      </c>
      <c r="D167" s="202" t="n">
        <f aca="false">B167*C167</f>
        <v>475.22475</v>
      </c>
      <c r="E167" s="202" t="n">
        <f aca="false">4*4.795</f>
        <v>19.18</v>
      </c>
      <c r="F167" s="202" t="n">
        <f aca="false">4*(-19.956+1.114)</f>
        <v>-75.368</v>
      </c>
      <c r="G167" s="202" t="n">
        <f aca="false">4*-16.634</f>
        <v>-66.536</v>
      </c>
      <c r="H167" s="153" t="n">
        <f aca="false">D167/E167</f>
        <v>24.777098540146</v>
      </c>
      <c r="I167" s="154" t="str">
        <f aca="false">IF(F167&gt;0,D167/F167,"NM")</f>
        <v>NM</v>
      </c>
      <c r="J167" s="203" t="str">
        <f aca="false">IF(G167&gt;0,D167/G167,"nm")</f>
        <v>nm</v>
      </c>
    </row>
    <row r="168" customFormat="false" ht="13.8" hidden="false" customHeight="false" outlineLevel="0" collapsed="false">
      <c r="A168" s="199" t="s">
        <v>193</v>
      </c>
      <c r="B168" s="231" t="n">
        <v>20</v>
      </c>
      <c r="C168" s="230" t="n">
        <v>19.296</v>
      </c>
      <c r="D168" s="202" t="n">
        <f aca="false">B168*C168</f>
        <v>385.92</v>
      </c>
      <c r="E168" s="202" t="n">
        <f aca="false">4*4.663</f>
        <v>18.652</v>
      </c>
      <c r="F168" s="202" t="n">
        <f aca="false">4*(-15.142+1.065)</f>
        <v>-56.308</v>
      </c>
      <c r="G168" s="202" t="n">
        <f aca="false">4*-16.557</f>
        <v>-66.228</v>
      </c>
      <c r="H168" s="153" t="n">
        <f aca="false">D168/E168</f>
        <v>20.6905425691615</v>
      </c>
      <c r="I168" s="154" t="str">
        <f aca="false">IF(F168&gt;0,D168/F168,"NM")</f>
        <v>NM</v>
      </c>
      <c r="J168" s="203" t="str">
        <f aca="false">IF(G168&gt;0,D168/G168,"nm")</f>
        <v>nm</v>
      </c>
    </row>
    <row r="169" customFormat="false" ht="13.8" hidden="false" customHeight="false" outlineLevel="0" collapsed="false">
      <c r="A169" s="199" t="s">
        <v>194</v>
      </c>
      <c r="B169" s="231" t="n">
        <v>6.4375</v>
      </c>
      <c r="C169" s="230" t="n">
        <v>18.873</v>
      </c>
      <c r="D169" s="202" t="n">
        <f aca="false">B169*C169</f>
        <v>121.4949375</v>
      </c>
      <c r="E169" s="202" t="n">
        <f aca="false">4*4.1866</f>
        <v>16.7464</v>
      </c>
      <c r="F169" s="202" t="n">
        <f aca="false">4*-13.948</f>
        <v>-55.792</v>
      </c>
      <c r="G169" s="202" t="n">
        <f aca="false">4*-15.018</f>
        <v>-60.072</v>
      </c>
      <c r="H169" s="153" t="n">
        <f aca="false">D169/E169</f>
        <v>7.25498838556346</v>
      </c>
      <c r="I169" s="154" t="str">
        <f aca="false">IF(F169&gt;0,D169/F169,"NM")</f>
        <v>NM</v>
      </c>
      <c r="J169" s="203" t="str">
        <f aca="false">IF(G169&gt;0,D169/G169,"nm")</f>
        <v>nm</v>
      </c>
    </row>
    <row r="170" customFormat="false" ht="13.8" hidden="false" customHeight="false" outlineLevel="0" collapsed="false">
      <c r="A170" s="199" t="s">
        <v>195</v>
      </c>
      <c r="B170" s="231" t="n">
        <v>5.1875</v>
      </c>
      <c r="C170" s="230" t="n">
        <f aca="false">(C169+C171)/2</f>
        <v>18.7415</v>
      </c>
      <c r="D170" s="202" t="n">
        <f aca="false">B170*C170</f>
        <v>97.22153125</v>
      </c>
      <c r="E170" s="202" t="n">
        <f aca="false">4*15.859-SUM(E171:E173)</f>
        <v>14.8</v>
      </c>
      <c r="F170" s="202" t="n">
        <f aca="false">4*-82.14-SUM(F171:F173)</f>
        <v>-149.784</v>
      </c>
      <c r="G170" s="202" t="n">
        <f aca="false">4*-84.164-SUM(G171:G173)</f>
        <v>-154.92</v>
      </c>
      <c r="H170" s="153" t="n">
        <f aca="false">D170/E170</f>
        <v>6.56902238175676</v>
      </c>
      <c r="I170" s="154" t="str">
        <f aca="false">IF(F170&gt;0,D170/F170,"NM")</f>
        <v>NM</v>
      </c>
      <c r="J170" s="203" t="str">
        <f aca="false">IF(G170&gt;0,D170/G170,"nm")</f>
        <v>nm</v>
      </c>
    </row>
    <row r="171" customFormat="false" ht="13.8" hidden="false" customHeight="false" outlineLevel="0" collapsed="false">
      <c r="A171" s="199" t="s">
        <v>196</v>
      </c>
      <c r="B171" s="231" t="n">
        <v>5</v>
      </c>
      <c r="C171" s="230" t="n">
        <v>18.61</v>
      </c>
      <c r="D171" s="202" t="n">
        <f aca="false">B171*C171</f>
        <v>93.05</v>
      </c>
      <c r="E171" s="202" t="n">
        <f aca="false">4*4.195</f>
        <v>16.78</v>
      </c>
      <c r="F171" s="202" t="n">
        <f aca="false">4*-20.507</f>
        <v>-82.028</v>
      </c>
      <c r="G171" s="202" t="n">
        <f aca="false">4*-21.006</f>
        <v>-84.024</v>
      </c>
      <c r="H171" s="153" t="n">
        <f aca="false">D171/E171</f>
        <v>5.54529201430274</v>
      </c>
      <c r="I171" s="154" t="str">
        <f aca="false">IF(F171&gt;0,D171/F171,"NM")</f>
        <v>NM</v>
      </c>
      <c r="J171" s="203" t="str">
        <f aca="false">IF(G171&gt;0,D171/G171,"nm")</f>
        <v>nm</v>
      </c>
    </row>
    <row r="172" customFormat="false" ht="13.8" hidden="false" customHeight="false" outlineLevel="0" collapsed="false">
      <c r="A172" s="199" t="s">
        <v>197</v>
      </c>
      <c r="B172" s="231" t="n">
        <v>8.4062</v>
      </c>
      <c r="C172" s="230" t="n">
        <v>18.512</v>
      </c>
      <c r="D172" s="202" t="n">
        <f aca="false">B172*C172</f>
        <v>155.6155744</v>
      </c>
      <c r="E172" s="202" t="n">
        <f aca="false">4*4.361</f>
        <v>17.444</v>
      </c>
      <c r="F172" s="202" t="n">
        <f aca="false">4*-12.939</f>
        <v>-51.756</v>
      </c>
      <c r="G172" s="202" t="n">
        <f aca="false">4*-13.221</f>
        <v>-52.884</v>
      </c>
      <c r="H172" s="153" t="n">
        <f aca="false">D172/E172</f>
        <v>8.92086530612245</v>
      </c>
      <c r="I172" s="154" t="str">
        <f aca="false">IF(F172&gt;0,D172/F172,"NM")</f>
        <v>NM</v>
      </c>
      <c r="J172" s="203" t="str">
        <f aca="false">IF(G172&gt;0,D172/G172,"nm")</f>
        <v>nm</v>
      </c>
    </row>
    <row r="173" customFormat="false" ht="14.4" hidden="false" customHeight="false" outlineLevel="0" collapsed="false">
      <c r="A173" s="199" t="s">
        <v>198</v>
      </c>
      <c r="B173" s="231" t="n">
        <v>9.875</v>
      </c>
      <c r="C173" s="230" t="n">
        <v>16.944</v>
      </c>
      <c r="D173" s="202" t="n">
        <f aca="false">B173*C173</f>
        <v>167.322</v>
      </c>
      <c r="E173" s="202" t="n">
        <f aca="false">4*3.603</f>
        <v>14.412</v>
      </c>
      <c r="F173" s="202" t="n">
        <f aca="false">4*-11.248</f>
        <v>-44.992</v>
      </c>
      <c r="G173" s="202" t="n">
        <f aca="false">4*-11.207</f>
        <v>-44.828</v>
      </c>
      <c r="H173" s="153" t="n">
        <f aca="false">D173/E173</f>
        <v>11.6099084096586</v>
      </c>
      <c r="I173" s="154" t="str">
        <f aca="false">IF(F173&gt;0,D173/F173,"NM")</f>
        <v>NM</v>
      </c>
      <c r="J173" s="203" t="str">
        <f aca="false">IF(G173&gt;0,D173/G173,"nm")</f>
        <v>nm</v>
      </c>
    </row>
    <row r="174" customFormat="false" ht="14.4" hidden="false" customHeight="false" outlineLevel="0" collapsed="false">
      <c r="A174" s="223"/>
      <c r="B174" s="224"/>
      <c r="C174" s="224"/>
      <c r="D174" s="224"/>
      <c r="E174" s="224"/>
      <c r="F174" s="225" t="n">
        <f aca="false">SUM(F161:F173)/SUM(E161:E173)</f>
        <v>-8.62379929889629</v>
      </c>
      <c r="G174" s="225" t="n">
        <f aca="false">SUM(G161:G173)/SUM(E161:E173)</f>
        <v>-8.13266069671164</v>
      </c>
      <c r="H174" s="226" t="n">
        <f aca="false">AVERAGE(H161:H173)</f>
        <v>35.7022358924815</v>
      </c>
      <c r="I174" s="226" t="e">
        <f aca="false">AVERAGE(I161:I173)</f>
        <v>#DIV/0!</v>
      </c>
      <c r="J174" s="227" t="e">
        <f aca="false">AVERAGE(J161:J173)</f>
        <v>#DIV/0!</v>
      </c>
    </row>
    <row r="175" customFormat="false" ht="14.4" hidden="false" customHeight="false" outlineLevel="0" collapsed="false"/>
    <row r="176" customFormat="false" ht="18" hidden="false" customHeight="false" outlineLevel="0" collapsed="false">
      <c r="A176" s="8" t="s">
        <v>207</v>
      </c>
      <c r="B176" s="9"/>
      <c r="C176" s="198"/>
      <c r="D176" s="198"/>
      <c r="E176" s="198"/>
      <c r="F176" s="198"/>
      <c r="G176" s="198"/>
      <c r="H176" s="9"/>
      <c r="I176" s="9"/>
      <c r="J176" s="10"/>
    </row>
    <row r="177" customFormat="false" ht="13.8" hidden="false" customHeight="false" outlineLevel="0" collapsed="false">
      <c r="A177" s="199" t="s">
        <v>45</v>
      </c>
      <c r="B177" s="231" t="n">
        <v>33.5</v>
      </c>
      <c r="C177" s="230" t="n">
        <f aca="false">C178</f>
        <v>872</v>
      </c>
      <c r="D177" s="202" t="n">
        <f aca="false">B177*C177</f>
        <v>29212</v>
      </c>
      <c r="E177" s="202" t="n">
        <f aca="false">2*E178-E179</f>
        <v>302236</v>
      </c>
      <c r="F177" s="202" t="n">
        <f aca="false">E177*SUM(F178:F181)/SUM(E178:E181)</f>
        <v>4925.00532699658</v>
      </c>
      <c r="G177" s="202" t="n">
        <f aca="false">E177*SUM(G178:G181)/SUM(E178:E181)</f>
        <v>2033.19009039708</v>
      </c>
      <c r="H177" s="153" t="n">
        <f aca="false">D177/E177</f>
        <v>0.0966529467039003</v>
      </c>
      <c r="I177" s="154" t="n">
        <f aca="false">IF(F177&gt;0,D177/F177,"NM")</f>
        <v>5.93136414287177</v>
      </c>
      <c r="J177" s="203" t="n">
        <f aca="false">IF(G177&gt;0,D177/G177,"nm")</f>
        <v>14.367569534187</v>
      </c>
    </row>
    <row r="178" customFormat="false" ht="13.8" hidden="false" customHeight="false" outlineLevel="0" collapsed="false">
      <c r="A178" s="199" t="s">
        <v>44</v>
      </c>
      <c r="B178" s="231" t="n">
        <v>27.23</v>
      </c>
      <c r="C178" s="230" t="n">
        <f aca="false">C179</f>
        <v>872</v>
      </c>
      <c r="D178" s="202" t="n">
        <f aca="false">B178*C178</f>
        <v>23744.56</v>
      </c>
      <c r="E178" s="202" t="n">
        <f aca="false">2*E179-E180</f>
        <v>267428</v>
      </c>
      <c r="F178" s="202" t="n">
        <f aca="false">E178*SUM(F179:F182)/SUM(E179:E182)</f>
        <v>4404.72624052226</v>
      </c>
      <c r="G178" s="202" t="n">
        <f aca="false">E178*SUM(G179:G182)/SUM(E179:E182)</f>
        <v>1874.42965112292</v>
      </c>
      <c r="H178" s="153" t="n">
        <f aca="false">D178/E178</f>
        <v>0.0887886085226678</v>
      </c>
      <c r="I178" s="154" t="n">
        <f aca="false">IF(F178&gt;0,D178/F178,"NM")</f>
        <v>5.39070051199928</v>
      </c>
      <c r="J178" s="203" t="n">
        <f aca="false">IF(G178&gt;0,D178/G178,"nm")</f>
        <v>12.6676186464375</v>
      </c>
    </row>
    <row r="179" customFormat="false" ht="13.8" hidden="false" customHeight="false" outlineLevel="0" collapsed="false">
      <c r="A179" s="199" t="s">
        <v>43</v>
      </c>
      <c r="B179" s="231" t="n">
        <v>49.1</v>
      </c>
      <c r="C179" s="230" t="n">
        <f aca="false">C180</f>
        <v>872</v>
      </c>
      <c r="D179" s="202" t="n">
        <f aca="false">B179*C179</f>
        <v>42815.2</v>
      </c>
      <c r="E179" s="202" t="n">
        <f aca="false">2*E180-E181</f>
        <v>232620</v>
      </c>
      <c r="F179" s="202" t="n">
        <f aca="false">E179*SUM(F180:F183)/SUM(E180:E183)</f>
        <v>3999.25118711569</v>
      </c>
      <c r="G179" s="202" t="n">
        <f aca="false">E179*SUM(G180:G183)/SUM(E180:E183)</f>
        <v>1808.74067266242</v>
      </c>
      <c r="H179" s="153" t="n">
        <f aca="false">D179/E179</f>
        <v>0.184056400997335</v>
      </c>
      <c r="I179" s="154" t="n">
        <f aca="false">IF(F179&gt;0,D179/F179,"NM")</f>
        <v>10.7058041610232</v>
      </c>
      <c r="J179" s="203" t="n">
        <f aca="false">IF(G179&gt;0,D179/G179,"nm")</f>
        <v>23.6712761796732</v>
      </c>
    </row>
    <row r="180" customFormat="false" ht="13.8" hidden="false" customHeight="false" outlineLevel="0" collapsed="false">
      <c r="A180" s="199" t="s">
        <v>42</v>
      </c>
      <c r="B180" s="231" t="n">
        <v>58.1</v>
      </c>
      <c r="C180" s="230" t="n">
        <v>872</v>
      </c>
      <c r="D180" s="202" t="n">
        <f aca="false">B180*C180</f>
        <v>50663.2</v>
      </c>
      <c r="E180" s="202" t="n">
        <f aca="false">4*49453</f>
        <v>197812</v>
      </c>
      <c r="F180" s="202" t="n">
        <f aca="false">4*676</f>
        <v>2704</v>
      </c>
      <c r="G180" s="202" t="n">
        <f aca="false">4*405</f>
        <v>1620</v>
      </c>
      <c r="H180" s="153" t="n">
        <f aca="false">D180/E180</f>
        <v>0.256117930155906</v>
      </c>
      <c r="I180" s="154" t="n">
        <f aca="false">IF(F180&gt;0,D180/F180,"NM")</f>
        <v>18.7363905325444</v>
      </c>
      <c r="J180" s="203" t="n">
        <f aca="false">IF(G180&gt;0,D180/G180,"nm")</f>
        <v>31.2735802469136</v>
      </c>
    </row>
    <row r="181" customFormat="false" ht="13.8" hidden="false" customHeight="false" outlineLevel="0" collapsed="false">
      <c r="A181" s="199" t="s">
        <v>41</v>
      </c>
      <c r="B181" s="0" t="n">
        <v>82.9777</v>
      </c>
      <c r="C181" s="230" t="n">
        <f aca="false">(C180+C182)/2</f>
        <v>871</v>
      </c>
      <c r="D181" s="202" t="n">
        <f aca="false">B181*C181</f>
        <v>72273.5767</v>
      </c>
      <c r="E181" s="202" t="n">
        <f aca="false">4*100789-SUM(E182:E184)</f>
        <v>163004</v>
      </c>
      <c r="F181" s="202" t="n">
        <f aca="false">4*1953-SUM(F182:F184)</f>
        <v>2920</v>
      </c>
      <c r="G181" s="202" t="n">
        <f aca="false">4*979-SUM(G182:G184)</f>
        <v>488</v>
      </c>
      <c r="H181" s="153" t="n">
        <f aca="false">D181/E181</f>
        <v>0.443385295452872</v>
      </c>
      <c r="I181" s="154" t="n">
        <f aca="false">IF(F181&gt;0,D181/F181,"NM")</f>
        <v>24.7512248972603</v>
      </c>
      <c r="J181" s="203" t="n">
        <f aca="false">IF(G181&gt;0,D181/G181,"nm")</f>
        <v>148.101591598361</v>
      </c>
    </row>
    <row r="182" customFormat="false" ht="13.8" hidden="false" customHeight="false" outlineLevel="0" collapsed="false">
      <c r="A182" s="199" t="s">
        <v>40</v>
      </c>
      <c r="B182" s="0" t="n">
        <v>87.3459</v>
      </c>
      <c r="C182" s="230" t="n">
        <v>870</v>
      </c>
      <c r="D182" s="202" t="n">
        <f aca="false">B182*C182</f>
        <v>75990.933</v>
      </c>
      <c r="E182" s="202" t="n">
        <f aca="false">4*30007</f>
        <v>120028</v>
      </c>
      <c r="F182" s="202" t="n">
        <f aca="false">4*532</f>
        <v>2128</v>
      </c>
      <c r="G182" s="202" t="n">
        <f aca="false">4*271</f>
        <v>1084</v>
      </c>
      <c r="H182" s="153" t="n">
        <f aca="false">D182/E182</f>
        <v>0.633110049321825</v>
      </c>
      <c r="I182" s="154" t="n">
        <f aca="false">IF(F182&gt;0,D182/F182,"NM")</f>
        <v>35.710024906015</v>
      </c>
      <c r="J182" s="203" t="n">
        <f aca="false">IF(G182&gt;0,D182/G182,"nm")</f>
        <v>70.1023367158672</v>
      </c>
    </row>
    <row r="183" customFormat="false" ht="13.8" hidden="false" customHeight="false" outlineLevel="0" collapsed="false">
      <c r="A183" s="199" t="s">
        <v>39</v>
      </c>
      <c r="B183" s="0" t="n">
        <v>87.3459</v>
      </c>
      <c r="C183" s="230" t="n">
        <v>862</v>
      </c>
      <c r="D183" s="202" t="n">
        <f aca="false">B183*C183</f>
        <v>75292.1658</v>
      </c>
      <c r="E183" s="202" t="n">
        <f aca="false">4*16886</f>
        <v>67544</v>
      </c>
      <c r="F183" s="202" t="n">
        <f aca="false">4*419</f>
        <v>1676</v>
      </c>
      <c r="G183" s="202" t="n">
        <f aca="false">4*268</f>
        <v>1072</v>
      </c>
      <c r="H183" s="153" t="n">
        <f aca="false">D183/E183</f>
        <v>1.11471286568755</v>
      </c>
      <c r="I183" s="154" t="n">
        <f aca="false">IF(F183&gt;0,D183/F183,"NM")</f>
        <v>44.9237266109785</v>
      </c>
      <c r="J183" s="203" t="n">
        <f aca="false">IF(G183&gt;0,D183/G183,"nm")</f>
        <v>70.2352292910448</v>
      </c>
    </row>
    <row r="184" customFormat="false" ht="13.8" hidden="false" customHeight="false" outlineLevel="0" collapsed="false">
      <c r="A184" s="199" t="s">
        <v>190</v>
      </c>
      <c r="B184" s="0" t="n">
        <v>74.3803</v>
      </c>
      <c r="C184" s="230" t="n">
        <v>852</v>
      </c>
      <c r="D184" s="202" t="n">
        <f aca="false">B184*C184</f>
        <v>63372.0156</v>
      </c>
      <c r="E184" s="202" t="n">
        <f aca="false">4*13145</f>
        <v>52580</v>
      </c>
      <c r="F184" s="202" t="n">
        <f aca="false">4*272</f>
        <v>1088</v>
      </c>
      <c r="G184" s="202" t="n">
        <f aca="false">4*318</f>
        <v>1272</v>
      </c>
      <c r="H184" s="153" t="n">
        <f aca="false">D184/E184</f>
        <v>1.20524944085204</v>
      </c>
      <c r="I184" s="154" t="n">
        <f aca="false">IF(F184&gt;0,D184/F184,"NM")</f>
        <v>58.2463378676471</v>
      </c>
      <c r="J184" s="203" t="n">
        <f aca="false">IF(G184&gt;0,D184/G184,"nm")</f>
        <v>49.8207669811321</v>
      </c>
    </row>
    <row r="185" customFormat="false" ht="13.8" hidden="false" customHeight="false" outlineLevel="0" collapsed="false">
      <c r="A185" s="199" t="s">
        <v>191</v>
      </c>
      <c r="B185" s="0" t="n">
        <v>43.9979</v>
      </c>
      <c r="C185" s="230" t="n">
        <f aca="false">(C184+C186)/2</f>
        <v>816.5</v>
      </c>
      <c r="D185" s="202" t="n">
        <f aca="false">B185*C185</f>
        <v>35924.28535</v>
      </c>
      <c r="E185" s="202" t="n">
        <f aca="false">4*40112-SUM(E186:E188)</f>
        <v>42580</v>
      </c>
      <c r="F185" s="202" t="n">
        <f aca="false">4*802-SUM(F186:F188)</f>
        <v>880</v>
      </c>
      <c r="G185" s="202" t="n">
        <f aca="false">4*1378-SUM(G186:G188)</f>
        <v>3144</v>
      </c>
      <c r="H185" s="153" t="n">
        <f aca="false">D185/E185</f>
        <v>0.843689181540629</v>
      </c>
      <c r="I185" s="154" t="n">
        <f aca="false">IF(F185&gt;0,D185/F185,"NM")</f>
        <v>40.8230515340909</v>
      </c>
      <c r="J185" s="203" t="n">
        <f aca="false">IF(G185&gt;0,D185/G185,"nm")</f>
        <v>11.4262994115776</v>
      </c>
    </row>
    <row r="186" customFormat="false" ht="13.8" hidden="false" customHeight="false" outlineLevel="0" collapsed="false">
      <c r="A186" s="199" t="s">
        <v>192</v>
      </c>
      <c r="B186" s="0" t="n">
        <v>40.5787</v>
      </c>
      <c r="C186" s="230" t="n">
        <v>781</v>
      </c>
      <c r="D186" s="202" t="n">
        <f aca="false">B186*C186</f>
        <v>31691.9647</v>
      </c>
      <c r="E186" s="202" t="n">
        <f aca="false">4*11835</f>
        <v>47340</v>
      </c>
      <c r="F186" s="202" t="n">
        <f aca="false">4*-36</f>
        <v>-144</v>
      </c>
      <c r="G186" s="202" t="n">
        <f aca="false">4*271</f>
        <v>1084</v>
      </c>
      <c r="H186" s="153" t="n">
        <f aca="false">D186/E186</f>
        <v>0.669454260667512</v>
      </c>
      <c r="I186" s="154" t="str">
        <f aca="false">IF(F186&gt;0,D186/F186,"NM")</f>
        <v>NM</v>
      </c>
      <c r="J186" s="203" t="n">
        <f aca="false">IF(G186&gt;0,D186/G186,"nm")</f>
        <v>29.236129797048</v>
      </c>
    </row>
    <row r="187" customFormat="false" ht="13.8" hidden="false" customHeight="false" outlineLevel="0" collapsed="false">
      <c r="A187" s="199" t="s">
        <v>193</v>
      </c>
      <c r="B187" s="0" t="n">
        <v>40.2743</v>
      </c>
      <c r="C187" s="230" t="n">
        <v>771</v>
      </c>
      <c r="D187" s="202" t="n">
        <f aca="false">B187*C187</f>
        <v>31051.4853</v>
      </c>
      <c r="E187" s="202" t="n">
        <v>40000</v>
      </c>
      <c r="F187" s="202" t="n">
        <f aca="false">4*233</f>
        <v>932</v>
      </c>
      <c r="G187" s="202" t="n">
        <f aca="false">4*203</f>
        <v>812</v>
      </c>
      <c r="H187" s="153" t="n">
        <f aca="false">D187/E187</f>
        <v>0.7762871325</v>
      </c>
      <c r="I187" s="154" t="n">
        <f aca="false">IF(F187&gt;0,D187/F187,"NM")</f>
        <v>33.3170443133047</v>
      </c>
      <c r="J187" s="203" t="n">
        <f aca="false">IF(G187&gt;0,D187/G187,"nm")</f>
        <v>38.2407454433498</v>
      </c>
    </row>
    <row r="188" customFormat="false" ht="13.8" hidden="false" customHeight="false" outlineLevel="0" collapsed="false">
      <c r="A188" s="199" t="s">
        <v>194</v>
      </c>
      <c r="B188" s="0" t="n">
        <v>31.5445</v>
      </c>
      <c r="C188" s="230" t="n">
        <v>745</v>
      </c>
      <c r="D188" s="202" t="n">
        <f aca="false">B188*C188</f>
        <v>23500.6525</v>
      </c>
      <c r="E188" s="202" t="n">
        <f aca="false">4*7632</f>
        <v>30528</v>
      </c>
      <c r="F188" s="202" t="n">
        <f aca="false">4*385</f>
        <v>1540</v>
      </c>
      <c r="G188" s="202" t="n">
        <f aca="false">4*118</f>
        <v>472</v>
      </c>
      <c r="H188" s="153" t="n">
        <f aca="false">D188/E188</f>
        <v>0.769806489124738</v>
      </c>
      <c r="I188" s="154" t="n">
        <f aca="false">IF(F188&gt;0,D188/F188,"NM")</f>
        <v>15.260163961039</v>
      </c>
      <c r="J188" s="203" t="n">
        <f aca="false">IF(G188&gt;0,D188/G188,"nm")</f>
        <v>49.7895180084746</v>
      </c>
    </row>
    <row r="189" customFormat="false" ht="13.8" hidden="false" customHeight="false" outlineLevel="0" collapsed="false">
      <c r="A189" s="199" t="s">
        <v>195</v>
      </c>
      <c r="B189" s="0" t="n">
        <v>57.0625</v>
      </c>
      <c r="C189" s="230" t="n">
        <f aca="false">(C188+C190)/2</f>
        <v>729</v>
      </c>
      <c r="D189" s="202" t="n">
        <f aca="false">B189*C189</f>
        <v>41598.5625</v>
      </c>
      <c r="E189" s="202" t="n">
        <f aca="false">4*31260-SUM(E190:E192)</f>
        <v>30804</v>
      </c>
      <c r="F189" s="202" t="n">
        <f aca="false">4*1953-SUM(F190:F192)</f>
        <v>3812</v>
      </c>
      <c r="G189" s="202" t="n">
        <f aca="false">4*703-SUM(G190:G192)</f>
        <v>756</v>
      </c>
      <c r="H189" s="153" t="n">
        <f aca="false">D189/E189</f>
        <v>1.3504272984028</v>
      </c>
      <c r="I189" s="154" t="n">
        <f aca="false">IF(F189&gt;0,D189/F189,"NM")</f>
        <v>10.9125295120672</v>
      </c>
      <c r="J189" s="203" t="n">
        <f aca="false">IF(G189&gt;0,D189/G189,"nm")</f>
        <v>55.0245535714286</v>
      </c>
    </row>
    <row r="190" customFormat="false" ht="13.8" hidden="false" customHeight="false" outlineLevel="0" collapsed="false">
      <c r="A190" s="199" t="s">
        <v>196</v>
      </c>
      <c r="B190" s="231" t="n">
        <v>53.5</v>
      </c>
      <c r="C190" s="230" t="n">
        <v>713</v>
      </c>
      <c r="D190" s="202" t="n">
        <f aca="false">B190*C190</f>
        <v>38145.5</v>
      </c>
      <c r="E190" s="202" t="n">
        <f aca="false">4*11320</f>
        <v>45280</v>
      </c>
      <c r="F190" s="202" t="n">
        <f aca="false">4*390</f>
        <v>1560</v>
      </c>
      <c r="G190" s="202" t="n">
        <f aca="false">4*164</f>
        <v>656</v>
      </c>
      <c r="H190" s="153" t="n">
        <f aca="false">D190/E190</f>
        <v>0.842435954063604</v>
      </c>
      <c r="I190" s="154" t="n">
        <f aca="false">IF(F190&gt;0,D190/F190,"NM")</f>
        <v>24.4522435897436</v>
      </c>
      <c r="J190" s="203" t="n">
        <f aca="false">IF(G190&gt;0,D190/G190,"nm")</f>
        <v>58.1486280487805</v>
      </c>
    </row>
    <row r="191" customFormat="false" ht="13.8" hidden="false" customHeight="false" outlineLevel="0" collapsed="false">
      <c r="A191" s="199" t="s">
        <v>197</v>
      </c>
      <c r="B191" s="231" t="n">
        <v>54.0625</v>
      </c>
      <c r="C191" s="230" t="n">
        <f aca="false">2*346</f>
        <v>692</v>
      </c>
      <c r="D191" s="202" t="n">
        <f aca="false">B191*C191</f>
        <v>37411.25</v>
      </c>
      <c r="E191" s="202" t="n">
        <f aca="false">4*6557</f>
        <v>26228</v>
      </c>
      <c r="F191" s="202" t="n">
        <f aca="false">4*198</f>
        <v>792</v>
      </c>
      <c r="G191" s="202" t="n">
        <f aca="false">4*140</f>
        <v>560</v>
      </c>
      <c r="H191" s="153" t="n">
        <f aca="false">D191/E191</f>
        <v>1.4263859234406</v>
      </c>
      <c r="I191" s="154" t="n">
        <f aca="false">IF(F191&gt;0,D191/F191,"NM")</f>
        <v>47.2364267676768</v>
      </c>
      <c r="J191" s="203" t="n">
        <f aca="false">IF(G191&gt;0,D191/G191,"nm")</f>
        <v>66.8058035714286</v>
      </c>
    </row>
    <row r="192" customFormat="false" ht="14.4" hidden="false" customHeight="false" outlineLevel="0" collapsed="false">
      <c r="A192" s="199" t="s">
        <v>198</v>
      </c>
      <c r="B192" s="231" t="n">
        <v>46.375</v>
      </c>
      <c r="C192" s="230" t="n">
        <f aca="false">2*330</f>
        <v>660</v>
      </c>
      <c r="D192" s="202" t="n">
        <f aca="false">B192*C192</f>
        <v>30607.5</v>
      </c>
      <c r="E192" s="202" t="n">
        <f aca="false">4*5682</f>
        <v>22728</v>
      </c>
      <c r="F192" s="202" t="n">
        <f aca="false">4*412</f>
        <v>1648</v>
      </c>
      <c r="G192" s="202" t="n">
        <f aca="false">4*210</f>
        <v>840</v>
      </c>
      <c r="H192" s="153" t="n">
        <f aca="false">D192/E192</f>
        <v>1.34668690601901</v>
      </c>
      <c r="I192" s="154" t="n">
        <f aca="false">IF(F192&gt;0,D192/F192,"NM")</f>
        <v>18.5725121359223</v>
      </c>
      <c r="J192" s="203" t="n">
        <f aca="false">IF(G192&gt;0,D192/G192,"nm")</f>
        <v>36.4375</v>
      </c>
    </row>
    <row r="193" customFormat="false" ht="14.4" hidden="false" customHeight="false" outlineLevel="0" collapsed="false">
      <c r="A193" s="223"/>
      <c r="B193" s="224"/>
      <c r="C193" s="224"/>
      <c r="D193" s="224"/>
      <c r="E193" s="224"/>
      <c r="F193" s="225" t="n">
        <f aca="false">SUM(F180:F192)/SUM(E180:E192)</f>
        <v>0.0242944940301606</v>
      </c>
      <c r="G193" s="225" t="n">
        <f aca="false">SUM(G180:G192)/SUM(E180:E192)</f>
        <v>0.0156352937991282</v>
      </c>
      <c r="H193" s="226" t="n">
        <f aca="false">AVERAGE(H180:H192)</f>
        <v>0.898288363633007</v>
      </c>
      <c r="I193" s="226" t="n">
        <f aca="false">AVERAGE(I180:I192)</f>
        <v>31.0784730523575</v>
      </c>
      <c r="J193" s="227" t="n">
        <f aca="false">AVERAGE(J180:J192)</f>
        <v>54.9725140527235</v>
      </c>
    </row>
    <row r="194" customFormat="false" ht="6.75" hidden="false" customHeight="true" outlineLevel="0" collapsed="false">
      <c r="A194" s="4"/>
      <c r="B194" s="4"/>
      <c r="C194" s="4"/>
      <c r="D194" s="4"/>
      <c r="E194" s="4"/>
      <c r="F194" s="228"/>
      <c r="G194" s="228"/>
      <c r="H194" s="229"/>
      <c r="I194" s="229"/>
      <c r="J194" s="229"/>
    </row>
    <row r="195" customFormat="false" ht="18.6" hidden="false" customHeight="false" outlineLevel="0" collapsed="false">
      <c r="A195" s="8" t="s">
        <v>208</v>
      </c>
      <c r="B195" s="218"/>
      <c r="C195" s="219"/>
      <c r="D195" s="219"/>
      <c r="E195" s="219"/>
      <c r="F195" s="219"/>
      <c r="G195" s="219"/>
      <c r="H195" s="218"/>
      <c r="I195" s="218"/>
      <c r="J195" s="220"/>
    </row>
    <row r="196" customFormat="false" ht="13.8" hidden="false" customHeight="false" outlineLevel="0" collapsed="false">
      <c r="A196" s="199" t="s">
        <v>45</v>
      </c>
      <c r="B196" s="231" t="n">
        <v>24.78</v>
      </c>
      <c r="C196" s="230" t="n">
        <f aca="false">C197</f>
        <v>89.461981</v>
      </c>
      <c r="D196" s="202" t="n">
        <f aca="false">B196*C196</f>
        <v>2216.86788918</v>
      </c>
      <c r="E196" s="202" t="n">
        <f aca="false">AVERAGE(E197:E200)</f>
        <v>95.8556875</v>
      </c>
      <c r="F196" s="202" t="n">
        <f aca="false">AVERAGE(F197:F200)</f>
        <v>-91.6034375</v>
      </c>
      <c r="G196" s="202" t="n">
        <f aca="false">AVERAGE(G197:G200)</f>
        <v>-117.8936875</v>
      </c>
      <c r="H196" s="153" t="n">
        <f aca="false">D196/E196</f>
        <v>23.1271398390419</v>
      </c>
      <c r="I196" s="154" t="str">
        <f aca="false">IF(F196&gt;0,D196/F196,"NM")</f>
        <v>NM</v>
      </c>
      <c r="J196" s="203" t="str">
        <f aca="false">IF(G196&gt;0,D196/G196,"nm")</f>
        <v>nm</v>
      </c>
    </row>
    <row r="197" customFormat="false" ht="13.8" hidden="false" customHeight="false" outlineLevel="0" collapsed="false">
      <c r="A197" s="199" t="s">
        <v>44</v>
      </c>
      <c r="B197" s="231" t="n">
        <v>19.56</v>
      </c>
      <c r="C197" s="230" t="n">
        <f aca="false">C198</f>
        <v>89.461981</v>
      </c>
      <c r="D197" s="202" t="n">
        <f aca="false">B197*C197</f>
        <v>1749.87634836</v>
      </c>
      <c r="E197" s="202" t="n">
        <f aca="false">AVERAGE(E198:E201)</f>
        <v>91.30375</v>
      </c>
      <c r="F197" s="202" t="n">
        <f aca="false">AVERAGE(F198:F201)</f>
        <v>-88.45875</v>
      </c>
      <c r="G197" s="202" t="n">
        <f aca="false">AVERAGE(G198:G201)</f>
        <v>-101.98375</v>
      </c>
      <c r="H197" s="153" t="n">
        <f aca="false">D197/E197</f>
        <v>19.1654378747861</v>
      </c>
      <c r="I197" s="154" t="str">
        <f aca="false">IF(F197&gt;0,D197/F197,"NM")</f>
        <v>NM</v>
      </c>
      <c r="J197" s="203" t="str">
        <f aca="false">IF(G197&gt;0,D197/G197,"nm")</f>
        <v>nm</v>
      </c>
    </row>
    <row r="198" customFormat="false" ht="13.8" hidden="false" customHeight="false" outlineLevel="0" collapsed="false">
      <c r="A198" s="199" t="s">
        <v>43</v>
      </c>
      <c r="B198" s="231" t="n">
        <v>53.23</v>
      </c>
      <c r="C198" s="230" t="n">
        <f aca="false">C199</f>
        <v>89.461981</v>
      </c>
      <c r="D198" s="202" t="n">
        <f aca="false">B198*C198</f>
        <v>4762.06124863</v>
      </c>
      <c r="E198" s="202" t="n">
        <f aca="false">AVERAGE(E199:E202)</f>
        <v>88.043</v>
      </c>
      <c r="F198" s="202" t="n">
        <f aca="false">AVERAGE(F199:F202)</f>
        <v>-81.767</v>
      </c>
      <c r="G198" s="202" t="n">
        <f aca="false">AVERAGE(G199:G202)</f>
        <v>-93.387</v>
      </c>
      <c r="H198" s="153" t="n">
        <f aca="false">D198/E198</f>
        <v>54.0879030545302</v>
      </c>
      <c r="I198" s="154" t="str">
        <f aca="false">IF(F198&gt;0,D198/F198,"NM")</f>
        <v>NM</v>
      </c>
      <c r="J198" s="203" t="str">
        <f aca="false">IF(G198&gt;0,D198/G198,"nm")</f>
        <v>nm</v>
      </c>
    </row>
    <row r="199" customFormat="false" ht="13.8" hidden="false" customHeight="false" outlineLevel="0" collapsed="false">
      <c r="A199" s="199" t="s">
        <v>42</v>
      </c>
      <c r="B199" s="231" t="n">
        <v>39.9375</v>
      </c>
      <c r="C199" s="230" t="n">
        <v>89.461981</v>
      </c>
      <c r="D199" s="202" t="n">
        <f aca="false">B199*C199</f>
        <v>3572.8878661875</v>
      </c>
      <c r="E199" s="202" t="n">
        <f aca="false">4*20.022</f>
        <v>80.088</v>
      </c>
      <c r="F199" s="202" t="n">
        <f aca="false">4*-17.631</f>
        <v>-70.524</v>
      </c>
      <c r="G199" s="202" t="n">
        <f aca="false">4*-22.396</f>
        <v>-89.584</v>
      </c>
      <c r="H199" s="153" t="n">
        <f aca="false">D199/E199</f>
        <v>44.612025099734</v>
      </c>
      <c r="I199" s="154" t="str">
        <f aca="false">IF(F199&gt;0,D199/F199,"NM")</f>
        <v>NM</v>
      </c>
      <c r="J199" s="203" t="str">
        <f aca="false">IF(G199&gt;0,D199/G199,"nm")</f>
        <v>nm</v>
      </c>
    </row>
    <row r="200" customFormat="false" ht="13.8" hidden="false" customHeight="false" outlineLevel="0" collapsed="false">
      <c r="A200" s="199" t="s">
        <v>41</v>
      </c>
      <c r="B200" s="231" t="n">
        <v>63.1562</v>
      </c>
      <c r="C200" s="230" t="n">
        <f aca="false">88.820624</f>
        <v>88.820624</v>
      </c>
      <c r="D200" s="202" t="n">
        <f aca="false">B200*C200</f>
        <v>5609.5730934688</v>
      </c>
      <c r="E200" s="202" t="n">
        <f aca="false">4*30.997</f>
        <v>123.988</v>
      </c>
      <c r="F200" s="202" t="n">
        <f aca="false">4*-31.416</f>
        <v>-125.664</v>
      </c>
      <c r="G200" s="202" t="n">
        <f aca="false">4*-46.655</f>
        <v>-186.62</v>
      </c>
      <c r="H200" s="153" t="n">
        <f aca="false">D200/E200</f>
        <v>45.2428710316224</v>
      </c>
      <c r="I200" s="154" t="str">
        <f aca="false">IF(F200&gt;0,D200/F200,"NM")</f>
        <v>NM</v>
      </c>
      <c r="J200" s="203" t="str">
        <f aca="false">IF(G200&gt;0,D200/G200,"nm")</f>
        <v>nm</v>
      </c>
    </row>
    <row r="201" customFormat="false" ht="13.8" hidden="false" customHeight="false" outlineLevel="0" collapsed="false">
      <c r="A201" s="199" t="s">
        <v>40</v>
      </c>
      <c r="B201" s="231" t="n">
        <v>109.2656</v>
      </c>
      <c r="C201" s="230" t="n">
        <v>89.1</v>
      </c>
      <c r="D201" s="202" t="n">
        <f aca="false">B201*C201</f>
        <v>9735.56496</v>
      </c>
      <c r="E201" s="202" t="n">
        <f aca="false">4*85.521-(E200+E203+E202)</f>
        <v>73.096</v>
      </c>
      <c r="F201" s="202" t="n">
        <f aca="false">4*-78.193-(F200+F203+F202)</f>
        <v>-75.88</v>
      </c>
      <c r="G201" s="202" t="n">
        <f aca="false">4*-85.733-(G200+G203+G202)</f>
        <v>-38.344</v>
      </c>
      <c r="H201" s="153" t="n">
        <f aca="false">D201/E201</f>
        <v>133.188751231258</v>
      </c>
      <c r="I201" s="154" t="str">
        <f aca="false">IF(F201&gt;0,D201/F201,"NM")</f>
        <v>NM</v>
      </c>
      <c r="J201" s="203" t="str">
        <f aca="false">IF(G201&gt;0,D201/G201,"nm")</f>
        <v>nm</v>
      </c>
    </row>
    <row r="202" customFormat="false" ht="13.8" hidden="false" customHeight="false" outlineLevel="0" collapsed="false">
      <c r="A202" s="199" t="s">
        <v>39</v>
      </c>
      <c r="B202" s="231" t="n">
        <v>89.8125</v>
      </c>
      <c r="C202" s="230" t="n">
        <v>89.1</v>
      </c>
      <c r="D202" s="202" t="n">
        <f aca="false">B202*C202</f>
        <v>8002.29375</v>
      </c>
      <c r="E202" s="202" t="n">
        <v>75</v>
      </c>
      <c r="F202" s="202" t="n">
        <v>-55</v>
      </c>
      <c r="G202" s="202" t="n">
        <v>-59</v>
      </c>
      <c r="H202" s="153" t="n">
        <f aca="false">D202/E202</f>
        <v>106.69725</v>
      </c>
      <c r="I202" s="154" t="str">
        <f aca="false">IF(F202&gt;0,D202/F202,"NM")</f>
        <v>NM</v>
      </c>
      <c r="J202" s="203" t="str">
        <f aca="false">IF(G202&gt;0,D202/G202,"nm")</f>
        <v>nm</v>
      </c>
    </row>
    <row r="203" customFormat="false" ht="13.8" hidden="false" customHeight="false" outlineLevel="0" collapsed="false">
      <c r="A203" s="199" t="s">
        <v>190</v>
      </c>
      <c r="B203" s="231" t="n">
        <v>84.5</v>
      </c>
      <c r="C203" s="230" t="n">
        <f aca="false">85.476506</f>
        <v>85.476506</v>
      </c>
      <c r="D203" s="202" t="n">
        <f aca="false">B203*C203</f>
        <v>7222.764757</v>
      </c>
      <c r="E203" s="202" t="n">
        <v>70</v>
      </c>
      <c r="F203" s="202" t="n">
        <f aca="false">4*-14.057</f>
        <v>-56.228</v>
      </c>
      <c r="G203" s="202" t="n">
        <f aca="false">4*-14.742</f>
        <v>-58.968</v>
      </c>
      <c r="H203" s="153" t="n">
        <f aca="false">D203/E203</f>
        <v>103.182353671429</v>
      </c>
      <c r="I203" s="154" t="str">
        <f aca="false">IF(F203&gt;0,D203/F203,"NM")</f>
        <v>NM</v>
      </c>
      <c r="J203" s="203" t="str">
        <f aca="false">IF(G203&gt;0,D203/G203,"nm")</f>
        <v>nm</v>
      </c>
    </row>
    <row r="204" customFormat="false" ht="13.8" hidden="false" customHeight="false" outlineLevel="0" collapsed="false">
      <c r="A204" s="199" t="s">
        <v>191</v>
      </c>
      <c r="B204" s="231" t="n">
        <v>28.1875</v>
      </c>
      <c r="C204" s="230" t="n">
        <v>83.988423</v>
      </c>
      <c r="D204" s="202" t="n">
        <f aca="false">B204*C204</f>
        <v>2367.4236733125</v>
      </c>
      <c r="E204" s="202" t="n">
        <f aca="false">4*18.156</f>
        <v>72.624</v>
      </c>
      <c r="F204" s="202" t="n">
        <f aca="false">4*-22.127</f>
        <v>-88.508</v>
      </c>
      <c r="G204" s="202" t="n">
        <f aca="false">4*-25.809</f>
        <v>-103.236</v>
      </c>
      <c r="H204" s="153" t="n">
        <f aca="false">D204/E204</f>
        <v>32.5983651866119</v>
      </c>
      <c r="I204" s="154" t="str">
        <f aca="false">IF(F204&gt;0,D204/F204,"NM")</f>
        <v>NM</v>
      </c>
      <c r="J204" s="203" t="str">
        <f aca="false">IF(G204&gt;0,D204/G204,"nm")</f>
        <v>nm</v>
      </c>
    </row>
    <row r="205" customFormat="false" ht="13.8" hidden="false" customHeight="false" outlineLevel="0" collapsed="false">
      <c r="A205" s="199" t="s">
        <v>192</v>
      </c>
      <c r="B205" s="231" t="n">
        <v>28.875</v>
      </c>
      <c r="C205" s="230" t="n">
        <v>89.1</v>
      </c>
      <c r="D205" s="202" t="n">
        <f aca="false">B205*C205</f>
        <v>2572.7625</v>
      </c>
      <c r="E205" s="202" t="n">
        <v>65</v>
      </c>
      <c r="F205" s="202" t="n">
        <f aca="false">4*-2.247-SUM(F206:F208)</f>
        <v>-2.88</v>
      </c>
      <c r="G205" s="202" t="n">
        <f aca="false">4*-0.985-SUM(G206:G208)</f>
        <v>-0.356</v>
      </c>
      <c r="H205" s="153" t="n">
        <f aca="false">D205/E205</f>
        <v>39.5809615384615</v>
      </c>
      <c r="I205" s="154" t="str">
        <f aca="false">IF(F205&gt;0,D205/F205,"NM")</f>
        <v>NM</v>
      </c>
      <c r="J205" s="203" t="str">
        <f aca="false">IF(G205&gt;0,D205/G205,"nm")</f>
        <v>nm</v>
      </c>
    </row>
    <row r="206" customFormat="false" ht="13.8" hidden="false" customHeight="false" outlineLevel="0" collapsed="false">
      <c r="A206" s="199" t="s">
        <v>193</v>
      </c>
      <c r="B206" s="231" t="n">
        <v>32</v>
      </c>
      <c r="C206" s="230" t="n">
        <v>89.1</v>
      </c>
      <c r="D206" s="202" t="n">
        <f aca="false">B206*C206</f>
        <v>2851.2</v>
      </c>
      <c r="E206" s="202" t="n">
        <v>60</v>
      </c>
      <c r="F206" s="202" t="n">
        <f aca="false">4*-0.369</f>
        <v>-1.476</v>
      </c>
      <c r="G206" s="202" t="n">
        <f aca="false">4*-0.2</f>
        <v>-0.8</v>
      </c>
      <c r="H206" s="153" t="n">
        <f aca="false">D206/E206</f>
        <v>47.52</v>
      </c>
      <c r="I206" s="154" t="str">
        <f aca="false">IF(F206&gt;0,D206/F206,"NM")</f>
        <v>NM</v>
      </c>
      <c r="J206" s="203" t="str">
        <f aca="false">IF(G206&gt;0,D206/G206,"nm")</f>
        <v>nm</v>
      </c>
    </row>
    <row r="207" customFormat="false" ht="13.8" hidden="false" customHeight="false" outlineLevel="0" collapsed="false">
      <c r="A207" s="199" t="s">
        <v>194</v>
      </c>
      <c r="B207" s="231" t="n">
        <v>30.875</v>
      </c>
      <c r="C207" s="230" t="n">
        <v>89.1</v>
      </c>
      <c r="D207" s="202" t="n">
        <f aca="false">B207*C207</f>
        <v>2750.9625</v>
      </c>
      <c r="E207" s="202" t="n">
        <v>55</v>
      </c>
      <c r="F207" s="202" t="n">
        <f aca="false">4*-0.573</f>
        <v>-2.292</v>
      </c>
      <c r="G207" s="202" t="n">
        <f aca="false">4*-0.348</f>
        <v>-1.392</v>
      </c>
      <c r="H207" s="153" t="n">
        <f aca="false">D207/E207</f>
        <v>50.0175</v>
      </c>
      <c r="I207" s="154" t="str">
        <f aca="false">IF(F207&gt;0,D207/F207,"NM")</f>
        <v>NM</v>
      </c>
      <c r="J207" s="203" t="str">
        <f aca="false">IF(G207&gt;0,D207/G207,"nm")</f>
        <v>nm</v>
      </c>
    </row>
    <row r="208" customFormat="false" ht="13.8" hidden="false" customHeight="false" outlineLevel="0" collapsed="false">
      <c r="A208" s="199" t="s">
        <v>195</v>
      </c>
      <c r="B208" s="231" t="n">
        <v>27.5</v>
      </c>
      <c r="C208" s="230" t="n">
        <v>89.1</v>
      </c>
      <c r="D208" s="202" t="n">
        <f aca="false">B208*C208</f>
        <v>2450.25</v>
      </c>
      <c r="E208" s="202" t="n">
        <v>50</v>
      </c>
      <c r="F208" s="202" t="n">
        <f aca="false">4*-0.585</f>
        <v>-2.34</v>
      </c>
      <c r="G208" s="202" t="n">
        <f aca="false">4*-0.348</f>
        <v>-1.392</v>
      </c>
      <c r="H208" s="153" t="n">
        <f aca="false">D208/E208</f>
        <v>49.005</v>
      </c>
      <c r="I208" s="154" t="str">
        <f aca="false">IF(F208&gt;0,D208/F208,"NM")</f>
        <v>NM</v>
      </c>
      <c r="J208" s="203" t="str">
        <f aca="false">IF(G208&gt;0,D208/G208,"nm")</f>
        <v>nm</v>
      </c>
    </row>
    <row r="209" customFormat="false" ht="13.8" hidden="false" customHeight="false" outlineLevel="0" collapsed="false">
      <c r="A209" s="199" t="s">
        <v>196</v>
      </c>
      <c r="B209" s="231" t="n">
        <v>22.5</v>
      </c>
      <c r="C209" s="230" t="n">
        <v>89.1</v>
      </c>
      <c r="D209" s="202" t="n">
        <f aca="false">B209*C209</f>
        <v>2004.75</v>
      </c>
      <c r="E209" s="202" t="n">
        <v>45</v>
      </c>
      <c r="F209" s="202" t="n">
        <v>-0.1</v>
      </c>
      <c r="G209" s="202" t="n">
        <v>-0.1</v>
      </c>
      <c r="H209" s="153" t="n">
        <f aca="false">D209/E209</f>
        <v>44.55</v>
      </c>
      <c r="I209" s="154" t="str">
        <f aca="false">IF(F209&gt;0,D209/F209,"NM")</f>
        <v>NM</v>
      </c>
      <c r="J209" s="203" t="str">
        <f aca="false">IF(G209&gt;0,D209/G209,"nm")</f>
        <v>nm</v>
      </c>
    </row>
    <row r="210" customFormat="false" ht="13.8" hidden="false" customHeight="false" outlineLevel="0" collapsed="false">
      <c r="A210" s="199" t="s">
        <v>197</v>
      </c>
      <c r="B210" s="231" t="n">
        <v>32.5625</v>
      </c>
      <c r="C210" s="230" t="n">
        <v>89.1</v>
      </c>
      <c r="D210" s="202" t="n">
        <f aca="false">B210*C210</f>
        <v>2901.31875</v>
      </c>
      <c r="E210" s="202" t="n">
        <v>40</v>
      </c>
      <c r="F210" s="202" t="n">
        <v>-0.1</v>
      </c>
      <c r="G210" s="202" t="n">
        <v>-0.1</v>
      </c>
      <c r="H210" s="153" t="n">
        <f aca="false">D210/E210</f>
        <v>72.53296875</v>
      </c>
      <c r="I210" s="154" t="str">
        <f aca="false">IF(F210&gt;0,D210/F210,"NM")</f>
        <v>NM</v>
      </c>
      <c r="J210" s="203" t="str">
        <f aca="false">IF(G210&gt;0,D210/G210,"nm")</f>
        <v>nm</v>
      </c>
    </row>
    <row r="211" customFormat="false" ht="14.4" hidden="false" customHeight="false" outlineLevel="0" collapsed="false">
      <c r="A211" s="199" t="s">
        <v>198</v>
      </c>
      <c r="B211" s="231" t="n">
        <v>37.833</v>
      </c>
      <c r="C211" s="230" t="n">
        <v>89.1</v>
      </c>
      <c r="D211" s="202" t="n">
        <f aca="false">B211*C211</f>
        <v>3370.9203</v>
      </c>
      <c r="E211" s="202" t="n">
        <v>35</v>
      </c>
      <c r="F211" s="202" t="n">
        <v>-0.1</v>
      </c>
      <c r="G211" s="202" t="n">
        <v>-0.1</v>
      </c>
      <c r="H211" s="153" t="n">
        <f aca="false">D211/E211</f>
        <v>96.3120085714286</v>
      </c>
      <c r="I211" s="154" t="str">
        <f aca="false">IF(F211&gt;0,D211/F211,"NM")</f>
        <v>NM</v>
      </c>
      <c r="J211" s="203" t="str">
        <f aca="false">IF(G211&gt;0,D211/G211,"nm")</f>
        <v>nm</v>
      </c>
    </row>
    <row r="212" customFormat="false" ht="14.4" hidden="false" customHeight="false" outlineLevel="0" collapsed="false">
      <c r="A212" s="223"/>
      <c r="B212" s="224"/>
      <c r="C212" s="224"/>
      <c r="D212" s="224"/>
      <c r="E212" s="224"/>
      <c r="F212" s="225" t="n">
        <f aca="false">SUM(F199:F211)/SUM(E199:E211)</f>
        <v>-0.569477128206099</v>
      </c>
      <c r="G212" s="225" t="n">
        <f aca="false">SUM(G199:G211)/SUM(E199:E211)</f>
        <v>-0.639198102263742</v>
      </c>
      <c r="H212" s="226" t="n">
        <f aca="false">AVERAGE(H199:H211)</f>
        <v>66.5415426985034</v>
      </c>
      <c r="I212" s="226" t="e">
        <f aca="false">AVERAGE(I199:I211)</f>
        <v>#DIV/0!</v>
      </c>
      <c r="J212" s="227" t="e">
        <f aca="false">AVERAGE(J199:J211)</f>
        <v>#DIV/0!</v>
      </c>
    </row>
    <row r="213" customFormat="false" ht="6.75" hidden="false" customHeight="true" outlineLevel="0" collapsed="false">
      <c r="A213" s="4"/>
      <c r="B213" s="4"/>
      <c r="C213" s="4"/>
      <c r="D213" s="4"/>
      <c r="E213" s="4"/>
      <c r="F213" s="228"/>
      <c r="G213" s="228"/>
      <c r="H213" s="229"/>
      <c r="I213" s="229"/>
      <c r="J213" s="229"/>
    </row>
    <row r="214" customFormat="false" ht="18.6" hidden="false" customHeight="false" outlineLevel="0" collapsed="false">
      <c r="A214" s="8" t="s">
        <v>209</v>
      </c>
      <c r="B214" s="218"/>
      <c r="C214" s="219"/>
      <c r="D214" s="219"/>
      <c r="E214" s="219"/>
      <c r="F214" s="219"/>
      <c r="G214" s="219"/>
      <c r="H214" s="218"/>
      <c r="I214" s="218"/>
      <c r="J214" s="220"/>
    </row>
    <row r="215" customFormat="false" ht="13.8" hidden="false" customHeight="false" outlineLevel="0" collapsed="false">
      <c r="A215" s="199" t="s">
        <v>45</v>
      </c>
      <c r="B215" s="231" t="n">
        <v>22</v>
      </c>
      <c r="C215" s="230" t="n">
        <f aca="false">C216</f>
        <v>15.518</v>
      </c>
      <c r="D215" s="202" t="n">
        <f aca="false">B215*C215</f>
        <v>341.396</v>
      </c>
      <c r="E215" s="202" t="n">
        <f aca="false">AVERAGE(E216:E219)</f>
        <v>197.294</v>
      </c>
      <c r="F215" s="202" t="n">
        <f aca="false">AVERAGE(F216:F219)</f>
        <v>18.55425</v>
      </c>
      <c r="G215" s="202" t="n">
        <f aca="false">AVERAGE(G216:G219)</f>
        <v>7.22125</v>
      </c>
      <c r="H215" s="153" t="n">
        <f aca="false">D215/E215</f>
        <v>1.73039220655468</v>
      </c>
      <c r="I215" s="154" t="n">
        <f aca="false">IF(F215&gt;0,D215/F215,"NM")</f>
        <v>18.3998814287832</v>
      </c>
      <c r="J215" s="203" t="n">
        <f aca="false">IF(G215&gt;0,D215/G215,"nm")</f>
        <v>47.2765795395534</v>
      </c>
    </row>
    <row r="216" customFormat="false" ht="13.8" hidden="false" customHeight="false" outlineLevel="0" collapsed="false">
      <c r="A216" s="199" t="s">
        <v>44</v>
      </c>
      <c r="B216" s="231" t="n">
        <v>23.02</v>
      </c>
      <c r="C216" s="230" t="n">
        <f aca="false">C217</f>
        <v>15.518</v>
      </c>
      <c r="D216" s="202" t="n">
        <f aca="false">B216*C216</f>
        <v>357.22436</v>
      </c>
      <c r="E216" s="202" t="n">
        <f aca="false">AVERAGE(E217:E220)</f>
        <v>191.852</v>
      </c>
      <c r="F216" s="202" t="n">
        <f aca="false">AVERAGE(F217:F220)</f>
        <v>16.809</v>
      </c>
      <c r="G216" s="202" t="n">
        <f aca="false">AVERAGE(G217:G220)</f>
        <v>6.609</v>
      </c>
      <c r="H216" s="153" t="n">
        <f aca="false">D216/E216</f>
        <v>1.86197881700477</v>
      </c>
      <c r="I216" s="154" t="n">
        <f aca="false">IF(F216&gt;0,D216/F216,"NM")</f>
        <v>21.2519697780951</v>
      </c>
      <c r="J216" s="203" t="n">
        <f aca="false">IF(G216&gt;0,D216/G216,"nm")</f>
        <v>54.0511968527765</v>
      </c>
    </row>
    <row r="217" customFormat="false" ht="13.8" hidden="false" customHeight="false" outlineLevel="0" collapsed="false">
      <c r="A217" s="199" t="s">
        <v>43</v>
      </c>
      <c r="B217" s="231" t="n">
        <v>18.97</v>
      </c>
      <c r="C217" s="230" t="n">
        <v>15.518</v>
      </c>
      <c r="D217" s="202" t="n">
        <f aca="false">B217*C217</f>
        <v>294.37646</v>
      </c>
      <c r="E217" s="202" t="n">
        <f aca="false">4*52.874</f>
        <v>211.496</v>
      </c>
      <c r="F217" s="202" t="n">
        <f aca="false">4*5.807</f>
        <v>23.228</v>
      </c>
      <c r="G217" s="202" t="n">
        <f aca="false">4*3.13</f>
        <v>12.52</v>
      </c>
      <c r="H217" s="153" t="n">
        <f aca="false">D217/E217</f>
        <v>1.39187719862314</v>
      </c>
      <c r="I217" s="154" t="n">
        <f aca="false">IF(F217&gt;0,D217/F217,"NM")</f>
        <v>12.6733451007405</v>
      </c>
      <c r="J217" s="203" t="n">
        <f aca="false">IF(G217&gt;0,D217/G217,"nm")</f>
        <v>23.5124968051118</v>
      </c>
    </row>
    <row r="218" customFormat="false" ht="13.8" hidden="false" customHeight="false" outlineLevel="0" collapsed="false">
      <c r="A218" s="199" t="s">
        <v>42</v>
      </c>
      <c r="B218" s="231" t="n">
        <v>11.875</v>
      </c>
      <c r="C218" s="230" t="n">
        <v>15.69</v>
      </c>
      <c r="D218" s="202" t="n">
        <f aca="false">B218*C218</f>
        <v>186.31875</v>
      </c>
      <c r="E218" s="202" t="n">
        <f aca="false">4*47.478</f>
        <v>189.912</v>
      </c>
      <c r="F218" s="202" t="n">
        <f aca="false">4*3.798</f>
        <v>15.192</v>
      </c>
      <c r="G218" s="202" t="n">
        <f aca="false">4*1.54</f>
        <v>6.16</v>
      </c>
      <c r="H218" s="153" t="n">
        <f aca="false">D218/E218</f>
        <v>0.981079394667004</v>
      </c>
      <c r="I218" s="154" t="n">
        <f aca="false">IF(F218&gt;0,D218/F218,"NM")</f>
        <v>12.2642673775671</v>
      </c>
      <c r="J218" s="203" t="n">
        <f aca="false">IF(G218&gt;0,D218/G218,"nm")</f>
        <v>30.2465503246753</v>
      </c>
    </row>
    <row r="219" customFormat="false" ht="13.8" hidden="false" customHeight="false" outlineLevel="0" collapsed="false">
      <c r="A219" s="199" t="s">
        <v>41</v>
      </c>
      <c r="B219" s="231" t="n">
        <v>3.625</v>
      </c>
      <c r="C219" s="230" t="n">
        <f aca="false">(C218+C220)/2</f>
        <v>15.4635</v>
      </c>
      <c r="D219" s="202" t="n">
        <f aca="false">B219*C219</f>
        <v>56.0551875</v>
      </c>
      <c r="E219" s="202" t="n">
        <f aca="false">4*183.972-SUM(E220:E222)</f>
        <v>195.916</v>
      </c>
      <c r="F219" s="202" t="n">
        <f aca="false">4*11.319-SUM(F220:F222)</f>
        <v>18.988</v>
      </c>
      <c r="G219" s="202" t="n">
        <f aca="false">4*4.657-SUM(G220:G222)</f>
        <v>3.596</v>
      </c>
      <c r="H219" s="153" t="n">
        <f aca="false">D219/E219</f>
        <v>0.286118476796178</v>
      </c>
      <c r="I219" s="154" t="n">
        <f aca="false">IF(F219&gt;0,D219/F219,"NM")</f>
        <v>2.95213753423215</v>
      </c>
      <c r="J219" s="203" t="n">
        <f aca="false">IF(G219&gt;0,D219/G219,"nm")</f>
        <v>15.5882056451613</v>
      </c>
    </row>
    <row r="220" customFormat="false" ht="13.8" hidden="false" customHeight="false" outlineLevel="0" collapsed="false">
      <c r="A220" s="199" t="s">
        <v>40</v>
      </c>
      <c r="B220" s="231" t="n">
        <v>6.125</v>
      </c>
      <c r="C220" s="230" t="n">
        <v>15.237</v>
      </c>
      <c r="D220" s="202" t="n">
        <f aca="false">B220*C220</f>
        <v>93.326625</v>
      </c>
      <c r="E220" s="202" t="n">
        <f aca="false">4*42.521</f>
        <v>170.084</v>
      </c>
      <c r="F220" s="202" t="n">
        <f aca="false">4*2.457</f>
        <v>9.828</v>
      </c>
      <c r="G220" s="202" t="n">
        <f aca="false">4*1.04</f>
        <v>4.16</v>
      </c>
      <c r="H220" s="153" t="n">
        <f aca="false">D220/E220</f>
        <v>0.548709020248818</v>
      </c>
      <c r="I220" s="154" t="n">
        <f aca="false">IF(F220&gt;0,D220/F220,"NM")</f>
        <v>9.49599358974359</v>
      </c>
      <c r="J220" s="203" t="n">
        <f aca="false">IF(G220&gt;0,D220/G220,"nm")</f>
        <v>22.4342848557692</v>
      </c>
    </row>
    <row r="221" customFormat="false" ht="13.8" hidden="false" customHeight="false" outlineLevel="0" collapsed="false">
      <c r="A221" s="199" t="s">
        <v>39</v>
      </c>
      <c r="B221" s="231" t="n">
        <v>8.25</v>
      </c>
      <c r="C221" s="230" t="n">
        <v>15.5</v>
      </c>
      <c r="D221" s="202" t="n">
        <f aca="false">B221*C221</f>
        <v>127.875</v>
      </c>
      <c r="E221" s="202" t="n">
        <f aca="false">4*44.814</f>
        <v>179.256</v>
      </c>
      <c r="F221" s="202" t="n">
        <f aca="false">4*2.131</f>
        <v>8.524</v>
      </c>
      <c r="G221" s="202" t="n">
        <f aca="false">4*0.886</f>
        <v>3.544</v>
      </c>
      <c r="H221" s="153" t="n">
        <f aca="false">D221/E221</f>
        <v>0.713365243004418</v>
      </c>
      <c r="I221" s="154" t="n">
        <f aca="false">IF(F221&gt;0,D221/F221,"NM")</f>
        <v>15.0017597372126</v>
      </c>
      <c r="J221" s="203" t="n">
        <f aca="false">IF(G221&gt;0,D221/G221,"nm")</f>
        <v>36.0821106094808</v>
      </c>
    </row>
    <row r="222" customFormat="false" ht="13.8" hidden="false" customHeight="false" outlineLevel="0" collapsed="false">
      <c r="A222" s="199" t="s">
        <v>190</v>
      </c>
      <c r="B222" s="231" t="n">
        <v>6.9375</v>
      </c>
      <c r="C222" s="230" t="n">
        <v>15.378</v>
      </c>
      <c r="D222" s="202" t="n">
        <f aca="false">B222*C222</f>
        <v>106.684875</v>
      </c>
      <c r="E222" s="202" t="n">
        <f aca="false">4*47.658</f>
        <v>190.632</v>
      </c>
      <c r="F222" s="202" t="n">
        <f aca="false">4*1.984</f>
        <v>7.936</v>
      </c>
      <c r="G222" s="202" t="n">
        <f aca="false">4*1.832</f>
        <v>7.328</v>
      </c>
      <c r="H222" s="153" t="n">
        <f aca="false">D222/E222</f>
        <v>0.559637810021403</v>
      </c>
      <c r="I222" s="154" t="n">
        <f aca="false">IF(F222&gt;0,D222/F222,"NM")</f>
        <v>13.4431546118952</v>
      </c>
      <c r="J222" s="203" t="n">
        <f aca="false">IF(G222&gt;0,D222/G222,"nm")</f>
        <v>14.558525518559</v>
      </c>
    </row>
    <row r="223" customFormat="false" ht="13.8" hidden="false" customHeight="false" outlineLevel="0" collapsed="false">
      <c r="A223" s="199" t="s">
        <v>191</v>
      </c>
      <c r="B223" s="231" t="n">
        <v>6.125</v>
      </c>
      <c r="C223" s="230" t="n">
        <f aca="false">(C222+C224)/2</f>
        <v>15.1315</v>
      </c>
      <c r="D223" s="202" t="n">
        <f aca="false">B223*C223</f>
        <v>92.6804375</v>
      </c>
      <c r="E223" s="202" t="n">
        <f aca="false">4*193.412-SUM(E224:E226)</f>
        <v>166.812</v>
      </c>
      <c r="F223" s="202" t="n">
        <f aca="false">(4*-93.405)-SUM(F224:F226)</f>
        <v>-349.464</v>
      </c>
      <c r="G223" s="202" t="n">
        <f aca="false">(4*-68.596)-SUM(G224:G226)</f>
        <v>-258.3</v>
      </c>
      <c r="H223" s="153" t="n">
        <f aca="false">D223/E223</f>
        <v>0.555598143418939</v>
      </c>
      <c r="I223" s="154" t="str">
        <f aca="false">IF(F223&gt;0,D223/F223,"NM")</f>
        <v>NM</v>
      </c>
      <c r="J223" s="203" t="str">
        <f aca="false">IF(G223&gt;0,D223/G223,"nm")</f>
        <v>nm</v>
      </c>
    </row>
    <row r="224" customFormat="false" ht="13.8" hidden="false" customHeight="false" outlineLevel="0" collapsed="false">
      <c r="A224" s="199" t="s">
        <v>192</v>
      </c>
      <c r="B224" s="231" t="n">
        <v>5.875</v>
      </c>
      <c r="C224" s="230" t="n">
        <v>14.885</v>
      </c>
      <c r="D224" s="202" t="n">
        <f aca="false">B224*C224</f>
        <v>87.449375</v>
      </c>
      <c r="E224" s="202" t="n">
        <f aca="false">4*48.543</f>
        <v>194.172</v>
      </c>
      <c r="F224" s="202" t="n">
        <f aca="false">4*-7.004</f>
        <v>-28.016</v>
      </c>
      <c r="G224" s="202" t="n">
        <f aca="false">4*-5.868</f>
        <v>-23.472</v>
      </c>
      <c r="H224" s="153" t="n">
        <f aca="false">D224/E224</f>
        <v>0.450370676513607</v>
      </c>
      <c r="I224" s="154" t="str">
        <f aca="false">IF(F224&gt;0,D224/F224,"NM")</f>
        <v>NM</v>
      </c>
      <c r="J224" s="203" t="str">
        <f aca="false">IF(G224&gt;0,D224/G224,"nm")</f>
        <v>nm</v>
      </c>
    </row>
    <row r="225" customFormat="false" ht="13.8" hidden="false" customHeight="false" outlineLevel="0" collapsed="false">
      <c r="A225" s="199" t="s">
        <v>193</v>
      </c>
      <c r="B225" s="231" t="n">
        <v>8.5625</v>
      </c>
      <c r="C225" s="230" t="n">
        <v>14.806</v>
      </c>
      <c r="D225" s="202" t="n">
        <f aca="false">B225*C225</f>
        <v>126.776375</v>
      </c>
      <c r="E225" s="202" t="n">
        <f aca="false">4*51.221</f>
        <v>204.884</v>
      </c>
      <c r="F225" s="202" t="n">
        <f aca="false">4*-0.664</f>
        <v>-2.656</v>
      </c>
      <c r="G225" s="202" t="n">
        <f aca="false">4*-1.582</f>
        <v>-6.328</v>
      </c>
      <c r="H225" s="153" t="n">
        <f aca="false">D225/E225</f>
        <v>0.618771475566662</v>
      </c>
      <c r="I225" s="154" t="str">
        <f aca="false">IF(F225&gt;0,D225/F225,"NM")</f>
        <v>NM</v>
      </c>
      <c r="J225" s="203" t="str">
        <f aca="false">IF(G225&gt;0,D225/G225,"nm")</f>
        <v>nm</v>
      </c>
    </row>
    <row r="226" customFormat="false" ht="13.8" hidden="false" customHeight="false" outlineLevel="0" collapsed="false">
      <c r="A226" s="199" t="s">
        <v>194</v>
      </c>
      <c r="B226" s="231" t="n">
        <v>9.375</v>
      </c>
      <c r="C226" s="230" t="n">
        <v>15.312</v>
      </c>
      <c r="D226" s="202" t="n">
        <f aca="false">B226*C226</f>
        <v>143.55</v>
      </c>
      <c r="E226" s="202" t="n">
        <f aca="false">4*51.945</f>
        <v>207.78</v>
      </c>
      <c r="F226" s="202" t="n">
        <f aca="false">4*1.629</f>
        <v>6.516</v>
      </c>
      <c r="G226" s="202" t="n">
        <f aca="false">4*3.429</f>
        <v>13.716</v>
      </c>
      <c r="H226" s="153" t="n">
        <f aca="false">D226/E226</f>
        <v>0.690874963904129</v>
      </c>
      <c r="I226" s="154" t="n">
        <f aca="false">IF(F226&gt;0,D226/F226,"NM")</f>
        <v>22.0303867403315</v>
      </c>
      <c r="J226" s="203" t="n">
        <f aca="false">IF(G226&gt;0,D226/G226,"nm")</f>
        <v>10.4658792650919</v>
      </c>
    </row>
    <row r="227" customFormat="false" ht="13.8" hidden="false" customHeight="false" outlineLevel="0" collapsed="false">
      <c r="A227" s="199" t="s">
        <v>195</v>
      </c>
      <c r="B227" s="231" t="n">
        <v>7.1875</v>
      </c>
      <c r="C227" s="230" t="n">
        <f aca="false">(C226+C228)/2</f>
        <v>14.9875</v>
      </c>
      <c r="D227" s="202" t="n">
        <f aca="false">B227*C227</f>
        <v>107.72265625</v>
      </c>
      <c r="E227" s="202" t="n">
        <f aca="false">4*241.402-SUM(E228:E230)</f>
        <v>248.344</v>
      </c>
      <c r="F227" s="202" t="n">
        <f aca="false">4*-2.383-SUM(F228:F230)</f>
        <v>11.336</v>
      </c>
      <c r="G227" s="202" t="n">
        <f aca="false">4*-6.225-SUM(G228:G230)</f>
        <v>2.50800000000001</v>
      </c>
      <c r="H227" s="153" t="n">
        <f aca="false">D227/E227</f>
        <v>0.433763876920723</v>
      </c>
      <c r="I227" s="154" t="n">
        <f aca="false">IF(F227&gt;0,D227/F227,"NM")</f>
        <v>9.50270432692308</v>
      </c>
      <c r="J227" s="203" t="n">
        <f aca="false">IF(G227&gt;0,D227/G227,"nm")</f>
        <v>42.9516173245613</v>
      </c>
    </row>
    <row r="228" customFormat="false" ht="13.8" hidden="false" customHeight="false" outlineLevel="0" collapsed="false">
      <c r="A228" s="199" t="s">
        <v>196</v>
      </c>
      <c r="B228" s="231" t="n">
        <v>6.625</v>
      </c>
      <c r="C228" s="230" t="n">
        <v>14.663</v>
      </c>
      <c r="D228" s="202" t="n">
        <f aca="false">B228*C228</f>
        <v>97.142375</v>
      </c>
      <c r="E228" s="202" t="n">
        <f aca="false">4*54.839</f>
        <v>219.356</v>
      </c>
      <c r="F228" s="202" t="n">
        <f aca="false">4*-7.007</f>
        <v>-28.028</v>
      </c>
      <c r="G228" s="202" t="n">
        <f aca="false">4*-5.929</f>
        <v>-23.716</v>
      </c>
      <c r="H228" s="153" t="n">
        <f aca="false">D228/E228</f>
        <v>0.442852600339175</v>
      </c>
      <c r="I228" s="154" t="str">
        <f aca="false">IF(F228&gt;0,D228/F228,"NM")</f>
        <v>NM</v>
      </c>
      <c r="J228" s="203" t="str">
        <f aca="false">IF(G228&gt;0,D228/G228,"nm")</f>
        <v>nm</v>
      </c>
    </row>
    <row r="229" customFormat="false" ht="13.8" hidden="false" customHeight="false" outlineLevel="0" collapsed="false">
      <c r="A229" s="199" t="s">
        <v>197</v>
      </c>
      <c r="B229" s="231" t="n">
        <v>12.75</v>
      </c>
      <c r="C229" s="230" t="n">
        <v>14.686</v>
      </c>
      <c r="D229" s="202" t="n">
        <f aca="false">B229*C229</f>
        <v>187.2465</v>
      </c>
      <c r="E229" s="202" t="n">
        <f aca="false">4*60.769</f>
        <v>243.076</v>
      </c>
      <c r="F229" s="202" t="n">
        <f aca="false">4*0.12</f>
        <v>0.48</v>
      </c>
      <c r="G229" s="202" t="n">
        <f aca="false">4*-1.076</f>
        <v>-4.304</v>
      </c>
      <c r="H229" s="153" t="n">
        <f aca="false">D229/E229</f>
        <v>0.770320805015715</v>
      </c>
      <c r="I229" s="154" t="n">
        <f aca="false">IF(F229&gt;0,D229/F229,"NM")</f>
        <v>390.096875</v>
      </c>
      <c r="J229" s="203" t="str">
        <f aca="false">IF(G229&gt;0,D229/G229,"nm")</f>
        <v>nm</v>
      </c>
    </row>
    <row r="230" customFormat="false" ht="14.4" hidden="false" customHeight="false" outlineLevel="0" collapsed="false">
      <c r="A230" s="199" t="s">
        <v>198</v>
      </c>
      <c r="B230" s="231" t="n">
        <v>19.435</v>
      </c>
      <c r="C230" s="230" t="n">
        <v>14.852</v>
      </c>
      <c r="D230" s="202" t="n">
        <f aca="false">B230*C230</f>
        <v>288.64862</v>
      </c>
      <c r="E230" s="202" t="n">
        <f aca="false">4*63.708</f>
        <v>254.832</v>
      </c>
      <c r="F230" s="202" t="n">
        <f aca="false">4*1.67</f>
        <v>6.68</v>
      </c>
      <c r="G230" s="202" t="n">
        <f aca="false">4*0.153</f>
        <v>0.612</v>
      </c>
      <c r="H230" s="153" t="n">
        <f aca="false">D230/E230</f>
        <v>1.13270162303007</v>
      </c>
      <c r="I230" s="154" t="n">
        <f aca="false">IF(F230&gt;0,D230/F230,"NM")</f>
        <v>43.210871257485</v>
      </c>
      <c r="J230" s="203" t="n">
        <f aca="false">IF(G230&gt;0,D230/G230,"nm")</f>
        <v>471.648071895425</v>
      </c>
    </row>
    <row r="231" customFormat="false" ht="14.4" hidden="false" customHeight="false" outlineLevel="0" collapsed="false">
      <c r="A231" s="223"/>
      <c r="B231" s="224"/>
      <c r="C231" s="224"/>
      <c r="D231" s="224"/>
      <c r="E231" s="224"/>
      <c r="F231" s="225" t="n">
        <f aca="false">SUM(F218:F230)/SUM(E218:E230)</f>
        <v>-0.121079632097787</v>
      </c>
      <c r="G231" s="225" t="n">
        <f aca="false">SUM(G218:G230)/SUM(E218:E230)</f>
        <v>-0.102998210919395</v>
      </c>
      <c r="H231" s="226" t="n">
        <f aca="false">AVERAGE(H218:H230)</f>
        <v>0.629551085342065</v>
      </c>
      <c r="I231" s="226" t="n">
        <f aca="false">AVERAGE(I218:I230)</f>
        <v>57.5553500194878</v>
      </c>
      <c r="J231" s="227" t="n">
        <f aca="false">AVERAGE(J218:J230)</f>
        <v>80.4969056798405</v>
      </c>
    </row>
  </sheetData>
  <mergeCells count="1">
    <mergeCell ref="H1:J1"/>
  </mergeCells>
  <printOptions headings="false" gridLines="false" gridLinesSet="true" horizontalCentered="true" verticalCentered="false"/>
  <pageMargins left="0.5" right="0.5" top="0.75" bottom="0.65" header="0.5" footer="0.5"/>
  <pageSetup paperSize="1" scale="60" fitToWidth="1" fitToHeight="1" pageOrder="downThenOver" orientation="landscape" blackAndWhite="false" draft="false" cellComments="none" horizontalDpi="300" verticalDpi="300" copies="1"/>
  <headerFooter differentFirst="false" differentOddEven="false">
    <oddHeader>&amp;C&amp;"Times New Roman,Bold"&amp;24PUBLIC COMPANY COMPARABLES</oddHeader>
    <oddFooter>&amp;CPage &amp;P of &amp;N&amp;R&amp;D</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1" activeCellId="0" sqref="H11:J11"/>
    </sheetView>
  </sheetViews>
  <sheetFormatPr defaultColWidth="8.96484375" defaultRowHeight="13.8" customHeight="true" zeroHeight="false" outlineLevelRow="0" outlineLevelCol="0"/>
  <cols>
    <col collapsed="false" customWidth="true" hidden="false" outlineLevel="0" max="4" min="4" style="0" width="11.99"/>
  </cols>
  <sheetData>
    <row r="1" customFormat="false" ht="13.8" hidden="false" customHeight="false" outlineLevel="0" collapsed="false">
      <c r="B1" s="106" t="s">
        <v>180</v>
      </c>
      <c r="C1" s="106" t="s">
        <v>181</v>
      </c>
      <c r="D1" s="106" t="s">
        <v>78</v>
      </c>
      <c r="E1" s="106" t="s">
        <v>9</v>
      </c>
      <c r="F1" s="106" t="s">
        <v>12</v>
      </c>
      <c r="G1" s="106" t="s">
        <v>15</v>
      </c>
      <c r="H1" s="232" t="s">
        <v>182</v>
      </c>
      <c r="I1" s="232"/>
      <c r="J1" s="232"/>
    </row>
    <row r="2" customFormat="false" ht="13.8" hidden="false" customHeight="false" outlineLevel="0" collapsed="false">
      <c r="B2" s="106" t="s">
        <v>184</v>
      </c>
      <c r="C2" s="106" t="s">
        <v>185</v>
      </c>
      <c r="D2" s="106" t="s">
        <v>83</v>
      </c>
      <c r="E2" s="106" t="s">
        <v>186</v>
      </c>
      <c r="F2" s="106" t="s">
        <v>186</v>
      </c>
      <c r="G2" s="106" t="s">
        <v>186</v>
      </c>
      <c r="H2" s="106" t="s">
        <v>187</v>
      </c>
      <c r="I2" s="106" t="s">
        <v>12</v>
      </c>
      <c r="J2" s="106" t="s">
        <v>134</v>
      </c>
    </row>
    <row r="3" customFormat="false" ht="14.4" hidden="false" customHeight="false" outlineLevel="0" collapsed="false">
      <c r="B3" s="106"/>
      <c r="C3" s="106" t="s">
        <v>188</v>
      </c>
      <c r="D3" s="106" t="s">
        <v>88</v>
      </c>
      <c r="E3" s="106" t="s">
        <v>88</v>
      </c>
      <c r="F3" s="106" t="s">
        <v>88</v>
      </c>
      <c r="G3" s="106" t="s">
        <v>88</v>
      </c>
      <c r="H3" s="137"/>
      <c r="I3" s="137"/>
      <c r="J3" s="137"/>
    </row>
    <row r="4" customFormat="false" ht="16.2" hidden="false" customHeight="false" outlineLevel="0" collapsed="false">
      <c r="A4" s="233" t="s">
        <v>210</v>
      </c>
      <c r="B4" s="9"/>
      <c r="C4" s="198"/>
      <c r="D4" s="198"/>
      <c r="E4" s="198"/>
      <c r="F4" s="198"/>
      <c r="G4" s="198"/>
      <c r="H4" s="9"/>
      <c r="I4" s="9"/>
      <c r="J4" s="10"/>
    </row>
    <row r="5" customFormat="false" ht="13.8" hidden="false" customHeight="false" outlineLevel="0" collapsed="false">
      <c r="A5" s="199" t="s">
        <v>42</v>
      </c>
      <c r="B5" s="200" t="n">
        <v>0.09375</v>
      </c>
      <c r="C5" s="201" t="n">
        <v>16</v>
      </c>
      <c r="D5" s="202" t="n">
        <f aca="false">B5*C5</f>
        <v>1.5</v>
      </c>
      <c r="E5" s="202"/>
      <c r="F5" s="202"/>
      <c r="G5" s="202"/>
      <c r="H5" s="153"/>
      <c r="I5" s="153"/>
      <c r="J5" s="204"/>
    </row>
    <row r="6" customFormat="false" ht="13.8" hidden="false" customHeight="false" outlineLevel="0" collapsed="false">
      <c r="A6" s="199" t="s">
        <v>41</v>
      </c>
      <c r="B6" s="200" t="n">
        <v>0.1875</v>
      </c>
      <c r="C6" s="201" t="n">
        <v>16</v>
      </c>
      <c r="D6" s="202" t="n">
        <f aca="false">B6*C6</f>
        <v>3</v>
      </c>
      <c r="E6" s="202" t="n">
        <f aca="false">4*6.391782</f>
        <v>25.567128</v>
      </c>
      <c r="F6" s="202" t="n">
        <f aca="false">4*-21.31701</f>
        <v>-85.26804</v>
      </c>
      <c r="G6" s="202" t="n">
        <f aca="false">4*-22.802932</f>
        <v>-91.211728</v>
      </c>
      <c r="H6" s="153" t="n">
        <f aca="false">D6/E6</f>
        <v>0.117338169543329</v>
      </c>
      <c r="I6" s="154" t="str">
        <f aca="false">IF(F6&gt;0,D6/F6,"N/A")</f>
        <v>N/A</v>
      </c>
      <c r="J6" s="203" t="str">
        <f aca="false">IF(G6&gt;0,D6/G6,"N/A")</f>
        <v>N/A</v>
      </c>
    </row>
    <row r="7" customFormat="false" ht="13.8" hidden="false" customHeight="false" outlineLevel="0" collapsed="false">
      <c r="A7" s="199" t="s">
        <v>40</v>
      </c>
      <c r="B7" s="200" t="n">
        <v>1</v>
      </c>
      <c r="C7" s="201" t="n">
        <v>16</v>
      </c>
      <c r="D7" s="202" t="n">
        <f aca="false">B7*C7</f>
        <v>16</v>
      </c>
      <c r="E7" s="202" t="n">
        <f aca="false">4*6.391782</f>
        <v>25.567128</v>
      </c>
      <c r="F7" s="202" t="n">
        <f aca="false">4*-21.31701</f>
        <v>-85.26804</v>
      </c>
      <c r="G7" s="202" t="n">
        <f aca="false">4*-22.802932</f>
        <v>-91.211728</v>
      </c>
      <c r="H7" s="153" t="n">
        <f aca="false">D7/E7</f>
        <v>0.625803570897756</v>
      </c>
      <c r="I7" s="154" t="str">
        <f aca="false">IF(F7&gt;0,D7/F7,"N/A")</f>
        <v>N/A</v>
      </c>
      <c r="J7" s="203" t="str">
        <f aca="false">IF(G7&gt;0,D7/G7,"N/A")</f>
        <v>N/A</v>
      </c>
    </row>
    <row r="8" customFormat="false" ht="13.8" hidden="false" customHeight="false" outlineLevel="0" collapsed="false">
      <c r="A8" s="199" t="s">
        <v>39</v>
      </c>
      <c r="B8" s="200" t="n">
        <v>1.375</v>
      </c>
      <c r="C8" s="201" t="n">
        <v>16</v>
      </c>
      <c r="D8" s="202" t="n">
        <f aca="false">B8*C8</f>
        <v>22</v>
      </c>
      <c r="E8" s="202" t="n">
        <f aca="false">4*5.557039</f>
        <v>22.228156</v>
      </c>
      <c r="F8" s="202" t="n">
        <f aca="false">4*-18.533088</f>
        <v>-74.132352</v>
      </c>
      <c r="G8" s="202" t="n">
        <f aca="false">4*-20.01901</f>
        <v>-80.07604</v>
      </c>
      <c r="H8" s="153" t="n">
        <f aca="false">D8/E8</f>
        <v>0.989735720767841</v>
      </c>
      <c r="I8" s="154" t="str">
        <f aca="false">IF(F8&gt;0,D8/F8,"N/A")</f>
        <v>N/A</v>
      </c>
      <c r="J8" s="203" t="str">
        <f aca="false">IF(G8&gt;0,D8/G8,"N/A")</f>
        <v>N/A</v>
      </c>
    </row>
    <row r="9" customFormat="false" ht="13.8" hidden="false" customHeight="false" outlineLevel="0" collapsed="false">
      <c r="A9" s="199" t="s">
        <v>190</v>
      </c>
      <c r="B9" s="200" t="n">
        <v>4.5</v>
      </c>
      <c r="C9" s="201" t="n">
        <v>16</v>
      </c>
      <c r="D9" s="202" t="n">
        <f aca="false">B9*C9</f>
        <v>72</v>
      </c>
      <c r="E9" s="202" t="n">
        <f aca="false">4*4.722296</f>
        <v>18.889184</v>
      </c>
      <c r="F9" s="202" t="n">
        <f aca="false">4*-16.205097</f>
        <v>-64.820388</v>
      </c>
      <c r="G9" s="202" t="n">
        <f aca="false">4*-18.078589</f>
        <v>-72.314356</v>
      </c>
      <c r="H9" s="153" t="n">
        <f aca="false">D9/E9</f>
        <v>3.81170515359478</v>
      </c>
      <c r="I9" s="154" t="str">
        <f aca="false">IF(F9&gt;0,D9/F9,"N/A")</f>
        <v>N/A</v>
      </c>
      <c r="J9" s="203" t="str">
        <f aca="false">IF(G9&gt;0,D9/G9,"N/A")</f>
        <v>N/A</v>
      </c>
    </row>
    <row r="10" customFormat="false" ht="13.8" hidden="false" customHeight="false" outlineLevel="0" collapsed="false">
      <c r="A10" s="199" t="s">
        <v>191</v>
      </c>
      <c r="B10" s="200" t="n">
        <v>8.1875</v>
      </c>
      <c r="C10" s="201" t="n">
        <v>16</v>
      </c>
      <c r="D10" s="202" t="n">
        <f aca="false">B10*C10</f>
        <v>131</v>
      </c>
      <c r="E10" s="202" t="n">
        <f aca="false">4*3.829295</f>
        <v>15.31718</v>
      </c>
      <c r="F10" s="202" t="n">
        <f aca="false">4*-13.410671</f>
        <v>-53.642684</v>
      </c>
      <c r="G10" s="202" t="n">
        <f aca="false">4*-15.389417</f>
        <v>-61.557668</v>
      </c>
      <c r="H10" s="153" t="n">
        <f aca="false">D10/E10</f>
        <v>8.55248812118158</v>
      </c>
      <c r="I10" s="154" t="str">
        <f aca="false">IF(F10&gt;0,D10/F10,"N/A")</f>
        <v>N/A</v>
      </c>
      <c r="J10" s="203" t="str">
        <f aca="false">IF(G10&gt;0,D10/G10,"N/A")</f>
        <v>N/A</v>
      </c>
    </row>
    <row r="11" customFormat="false" ht="13.8" hidden="false" customHeight="false" outlineLevel="0" collapsed="false">
      <c r="A11" s="199" t="s">
        <v>137</v>
      </c>
      <c r="B11" s="200" t="n">
        <v>18</v>
      </c>
      <c r="C11" s="201" t="n">
        <v>16</v>
      </c>
      <c r="D11" s="202" t="n">
        <f aca="false">B11*C11</f>
        <v>288</v>
      </c>
      <c r="E11" s="202" t="n">
        <f aca="false">4*3.380691</f>
        <v>13.522764</v>
      </c>
      <c r="F11" s="202" t="n">
        <f aca="false">4*-11.854727</f>
        <v>-47.418908</v>
      </c>
      <c r="G11" s="202" t="n">
        <f aca="false">4*-14.322956</f>
        <v>-57.291824</v>
      </c>
      <c r="H11" s="153" t="n">
        <f aca="false">D11/E11</f>
        <v>21.2974211485167</v>
      </c>
      <c r="I11" s="154" t="str">
        <f aca="false">IF(F11&gt;0,D11/F11,"N/A")</f>
        <v>N/A</v>
      </c>
      <c r="J11" s="203" t="str">
        <f aca="false">IF(G11&gt;0,D11/G11,"N/A")</f>
        <v>N/A</v>
      </c>
    </row>
    <row r="12" customFormat="false" ht="13.8" hidden="false" customHeight="false" outlineLevel="0" collapsed="false">
      <c r="A12" s="199" t="s">
        <v>192</v>
      </c>
      <c r="B12" s="200"/>
      <c r="C12" s="201"/>
      <c r="D12" s="202"/>
      <c r="E12" s="202" t="n">
        <f aca="false">4*3.380691</f>
        <v>13.522764</v>
      </c>
      <c r="F12" s="202" t="n">
        <f aca="false">4*-11.854727</f>
        <v>-47.418908</v>
      </c>
      <c r="G12" s="202" t="n">
        <f aca="false">4*-14.322956</f>
        <v>-57.291824</v>
      </c>
      <c r="H12" s="153" t="n">
        <f aca="false">D12/E12</f>
        <v>0</v>
      </c>
      <c r="I12" s="154" t="str">
        <f aca="false">IF(F12&gt;0,D12/F12,"N/A")</f>
        <v>N/A</v>
      </c>
      <c r="J12" s="203" t="str">
        <f aca="false">IF(G12&gt;0,D12/G12,"N/A")</f>
        <v>N/A</v>
      </c>
    </row>
    <row r="13" customFormat="false" ht="13.8" hidden="false" customHeight="false" outlineLevel="0" collapsed="false">
      <c r="A13" s="199" t="s">
        <v>193</v>
      </c>
      <c r="B13" s="200"/>
      <c r="C13" s="201"/>
      <c r="D13" s="202"/>
      <c r="E13" s="202" t="n">
        <f aca="false">4*2.455917</f>
        <v>9.823668</v>
      </c>
      <c r="F13" s="202" t="n">
        <f aca="false">4*-12.982575</f>
        <v>-51.9303</v>
      </c>
      <c r="G13" s="202" t="n">
        <f aca="false">4*-14.996354</f>
        <v>-59.985416</v>
      </c>
      <c r="H13" s="153" t="n">
        <f aca="false">D13/E13</f>
        <v>0</v>
      </c>
      <c r="I13" s="154" t="str">
        <f aca="false">IF(F13&gt;0,D13/F13,"N/A")</f>
        <v>N/A</v>
      </c>
      <c r="J13" s="203" t="str">
        <f aca="false">IF(G13&gt;0,D13/G13,"N/A")</f>
        <v>N/A</v>
      </c>
    </row>
    <row r="14" customFormat="false" ht="13.8" hidden="false" customHeight="false" outlineLevel="0" collapsed="false">
      <c r="A14" s="199" t="s">
        <v>194</v>
      </c>
      <c r="B14" s="200"/>
      <c r="C14" s="201"/>
      <c r="D14" s="202"/>
      <c r="E14" s="202" t="n">
        <f aca="false">4*2.287604</f>
        <v>9.150416</v>
      </c>
      <c r="F14" s="202" t="n">
        <f aca="false">4*-6.985124</f>
        <v>-27.940496</v>
      </c>
      <c r="G14" s="202" t="n">
        <f aca="false">-4*9.202242</f>
        <v>-36.808968</v>
      </c>
      <c r="H14" s="153" t="n">
        <f aca="false">D14/E14</f>
        <v>0</v>
      </c>
      <c r="I14" s="154" t="str">
        <f aca="false">IF(F14&gt;0,D14/F14,"N/A")</f>
        <v>N/A</v>
      </c>
      <c r="J14" s="203" t="str">
        <f aca="false">IF(G14&gt;0,D14/G14,"N/A")</f>
        <v>N/A</v>
      </c>
    </row>
    <row r="15" customFormat="false" ht="13.8" hidden="false" customHeight="false" outlineLevel="0" collapsed="false">
      <c r="A15" s="199" t="s">
        <v>195</v>
      </c>
      <c r="B15" s="200"/>
      <c r="C15" s="201"/>
      <c r="D15" s="202"/>
      <c r="E15" s="202" t="n">
        <v>7.6</v>
      </c>
      <c r="F15" s="202" t="n">
        <v>-26</v>
      </c>
      <c r="G15" s="202" t="n">
        <v>-32</v>
      </c>
      <c r="H15" s="153" t="n">
        <f aca="false">D15/E15</f>
        <v>0</v>
      </c>
      <c r="I15" s="154" t="str">
        <f aca="false">IF(F15&gt;0,D15/F15,"N/A")</f>
        <v>N/A</v>
      </c>
      <c r="J15" s="203" t="str">
        <f aca="false">IF(G15&gt;0,D15/G15,"N/A")</f>
        <v>N/A</v>
      </c>
    </row>
    <row r="16" customFormat="false" ht="13.8" hidden="false" customHeight="false" outlineLevel="0" collapsed="false">
      <c r="A16" s="199" t="s">
        <v>196</v>
      </c>
      <c r="B16" s="200"/>
      <c r="C16" s="201"/>
      <c r="D16" s="202"/>
      <c r="E16" s="202" t="n">
        <v>5.6</v>
      </c>
      <c r="F16" s="202" t="n">
        <v>-21.5</v>
      </c>
      <c r="G16" s="202" t="n">
        <v>-30.3</v>
      </c>
      <c r="H16" s="153" t="n">
        <f aca="false">D16/E16</f>
        <v>0</v>
      </c>
      <c r="I16" s="154" t="str">
        <f aca="false">IF(F16&gt;0,D16/F16,"N/A")</f>
        <v>N/A</v>
      </c>
      <c r="J16" s="203" t="str">
        <f aca="false">IF(G16&gt;0,D16/G16,"N/A")</f>
        <v>N/A</v>
      </c>
    </row>
    <row r="17" customFormat="false" ht="13.8" hidden="false" customHeight="false" outlineLevel="0" collapsed="false">
      <c r="A17" s="199" t="s">
        <v>197</v>
      </c>
      <c r="B17" s="200"/>
      <c r="C17" s="201"/>
      <c r="D17" s="202"/>
      <c r="E17" s="202" t="n">
        <v>3.2</v>
      </c>
      <c r="F17" s="202" t="n">
        <v>-20</v>
      </c>
      <c r="G17" s="202" t="n">
        <v>-16</v>
      </c>
      <c r="H17" s="153" t="n">
        <f aca="false">D17/E17</f>
        <v>0</v>
      </c>
      <c r="I17" s="154" t="str">
        <f aca="false">IF(F17&gt;0,D17/F17,"N/A")</f>
        <v>N/A</v>
      </c>
      <c r="J17" s="203" t="str">
        <f aca="false">IF(G17&gt;0,D17/G17,"N/A")</f>
        <v>N/A</v>
      </c>
    </row>
    <row r="18" customFormat="false" ht="14.4" hidden="false" customHeight="false" outlineLevel="0" collapsed="false">
      <c r="A18" s="205" t="s">
        <v>198</v>
      </c>
      <c r="B18" s="206"/>
      <c r="C18" s="207"/>
      <c r="D18" s="208"/>
      <c r="E18" s="208" t="n">
        <v>2.8</v>
      </c>
      <c r="F18" s="208" t="n">
        <v>-16</v>
      </c>
      <c r="G18" s="208" t="n">
        <v>-14</v>
      </c>
      <c r="H18" s="209" t="n">
        <f aca="false">D18/E18</f>
        <v>0</v>
      </c>
      <c r="I18" s="221" t="str">
        <f aca="false">IF(F18&gt;0,D18/F18,"N/A")</f>
        <v>N/A</v>
      </c>
      <c r="J18" s="222" t="str">
        <f aca="false">IF(G18&gt;0,D18/G18,"N/A")</f>
        <v>N/A</v>
      </c>
    </row>
  </sheetData>
  <mergeCells count="1">
    <mergeCell ref="H1:J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0" activeCellId="0" sqref="C20"/>
    </sheetView>
  </sheetViews>
  <sheetFormatPr defaultColWidth="8.96484375" defaultRowHeight="13.8" customHeight="true" zeroHeight="false" outlineLevelRow="0" outlineLevelCol="0"/>
  <cols>
    <col collapsed="false" customWidth="true" hidden="false" outlineLevel="0" max="1" min="1" style="0" width="3.1"/>
    <col collapsed="false" customWidth="true" hidden="false" outlineLevel="0" max="2" min="2" style="0" width="43.1"/>
    <col collapsed="false" customWidth="true" hidden="false" outlineLevel="0" max="3" min="3" style="0" width="15.44"/>
    <col collapsed="false" customWidth="true" hidden="false" outlineLevel="0" max="4" min="4" style="0" width="9.33"/>
    <col collapsed="false" customWidth="true" hidden="false" outlineLevel="0" max="5" min="5" style="0" width="2.55"/>
    <col collapsed="false" customWidth="true" hidden="false" outlineLevel="0" max="6" min="6" style="0" width="14.33"/>
  </cols>
  <sheetData>
    <row r="2" customFormat="false" ht="22.8" hidden="false" customHeight="false" outlineLevel="0" collapsed="false">
      <c r="A2" s="234" t="s">
        <v>211</v>
      </c>
      <c r="B2" s="234"/>
      <c r="C2" s="234"/>
      <c r="D2" s="234"/>
      <c r="E2" s="234"/>
      <c r="F2" s="234"/>
      <c r="G2" s="234"/>
    </row>
    <row r="4" customFormat="false" ht="15.6" hidden="false" customHeight="false" outlineLevel="0" collapsed="false">
      <c r="C4" s="235" t="s">
        <v>212</v>
      </c>
      <c r="D4" s="235"/>
      <c r="E4" s="236"/>
      <c r="F4" s="235" t="s">
        <v>213</v>
      </c>
      <c r="G4" s="235"/>
    </row>
    <row r="5" customFormat="false" ht="15.6" hidden="false" customHeight="false" outlineLevel="0" collapsed="false">
      <c r="A5" s="137" t="s">
        <v>214</v>
      </c>
      <c r="C5" s="237"/>
      <c r="D5" s="237"/>
      <c r="E5" s="236"/>
      <c r="F5" s="237"/>
      <c r="G5" s="237"/>
    </row>
    <row r="6" customFormat="false" ht="15.6" hidden="false" customHeight="false" outlineLevel="0" collapsed="false">
      <c r="B6" s="238" t="s">
        <v>215</v>
      </c>
      <c r="C6" s="239" t="n">
        <f aca="false">AVERAGE(Overview!E36:E38)*1000000</f>
        <v>1789419921.03233</v>
      </c>
      <c r="D6" s="240"/>
      <c r="E6" s="240"/>
    </row>
    <row r="7" customFormat="false" ht="15.6" hidden="false" customHeight="false" outlineLevel="0" collapsed="false">
      <c r="B7" s="238" t="s">
        <v>216</v>
      </c>
      <c r="C7" s="239"/>
      <c r="D7" s="240"/>
      <c r="E7" s="240"/>
    </row>
    <row r="8" customFormat="false" ht="15.6" hidden="false" customHeight="false" outlineLevel="0" collapsed="false">
      <c r="B8" s="238" t="s">
        <v>217</v>
      </c>
      <c r="C8" s="241"/>
      <c r="D8" s="242"/>
      <c r="E8" s="242"/>
    </row>
    <row r="9" customFormat="false" ht="15.6" hidden="false" customHeight="false" outlineLevel="0" collapsed="false">
      <c r="B9" s="243" t="s">
        <v>218</v>
      </c>
      <c r="C9" s="244" t="n">
        <v>120000000</v>
      </c>
      <c r="D9" s="240"/>
      <c r="E9" s="240"/>
    </row>
    <row r="10" customFormat="false" ht="15.6" hidden="false" customHeight="false" outlineLevel="0" collapsed="false">
      <c r="B10" s="238"/>
      <c r="C10" s="239"/>
      <c r="D10" s="240"/>
      <c r="E10" s="240"/>
    </row>
    <row r="11" customFormat="false" ht="15.6" hidden="false" customHeight="false" outlineLevel="0" collapsed="false">
      <c r="B11" s="238" t="s">
        <v>219</v>
      </c>
      <c r="C11" s="245" t="n">
        <v>0.25</v>
      </c>
      <c r="D11" s="246"/>
      <c r="E11" s="246"/>
    </row>
    <row r="12" customFormat="false" ht="15.6" hidden="false" customHeight="false" outlineLevel="0" collapsed="false">
      <c r="B12" s="238" t="s">
        <v>220</v>
      </c>
      <c r="F12" s="241" t="n">
        <v>2500000</v>
      </c>
    </row>
    <row r="13" customFormat="false" ht="15.6" hidden="false" customHeight="false" outlineLevel="0" collapsed="false">
      <c r="B13" s="238" t="s">
        <v>221</v>
      </c>
      <c r="C13" s="244" t="n">
        <f aca="false">C9*(1-C11)</f>
        <v>90000000</v>
      </c>
      <c r="D13" s="247"/>
      <c r="E13" s="247"/>
      <c r="F13" s="244" t="n">
        <f aca="false">F12+C13</f>
        <v>92500000</v>
      </c>
    </row>
    <row r="14" customFormat="false" ht="15.6" hidden="false" customHeight="false" outlineLevel="0" collapsed="false">
      <c r="B14" s="238"/>
      <c r="C14" s="244"/>
      <c r="D14" s="247"/>
      <c r="E14" s="247"/>
      <c r="F14" s="244"/>
    </row>
    <row r="15" customFormat="false" ht="15.6" hidden="false" customHeight="false" outlineLevel="0" collapsed="false">
      <c r="A15" s="137" t="s">
        <v>222</v>
      </c>
      <c r="B15" s="238"/>
      <c r="C15" s="247"/>
      <c r="D15" s="247"/>
      <c r="E15" s="247"/>
      <c r="F15" s="247"/>
    </row>
    <row r="16" customFormat="false" ht="15.6" hidden="false" customHeight="false" outlineLevel="0" collapsed="false">
      <c r="B16" s="238" t="s">
        <v>223</v>
      </c>
      <c r="C16" s="248" t="n">
        <v>36000000</v>
      </c>
      <c r="D16" s="249" t="n">
        <f aca="false">C16/$C$25</f>
        <v>0.760896674458812</v>
      </c>
      <c r="E16" s="247"/>
      <c r="F16" s="248" t="n">
        <f aca="false">C16</f>
        <v>36000000</v>
      </c>
      <c r="G16" s="249" t="n">
        <f aca="false">F16/$F$25</f>
        <v>0.740331899473439</v>
      </c>
    </row>
    <row r="17" customFormat="false" ht="15.6" hidden="false" customHeight="false" outlineLevel="0" collapsed="false">
      <c r="B17" s="238" t="s">
        <v>224</v>
      </c>
      <c r="C17" s="248" t="n">
        <v>3410000</v>
      </c>
      <c r="D17" s="249" t="n">
        <f aca="false">C17/$C$25</f>
        <v>0.0720738238862375</v>
      </c>
      <c r="E17" s="247"/>
      <c r="F17" s="248" t="n">
        <f aca="false">C17</f>
        <v>3410000</v>
      </c>
      <c r="G17" s="249" t="n">
        <f aca="false">F17/$F$25</f>
        <v>0.070125882700123</v>
      </c>
    </row>
    <row r="18" customFormat="false" ht="15.6" hidden="false" customHeight="false" outlineLevel="0" collapsed="false">
      <c r="B18" s="238" t="s">
        <v>225</v>
      </c>
      <c r="C18" s="248" t="n">
        <v>1110000</v>
      </c>
      <c r="D18" s="249" t="n">
        <f aca="false">C18/$C$25</f>
        <v>0.0234609807958134</v>
      </c>
      <c r="E18" s="247"/>
      <c r="F18" s="248" t="n">
        <f aca="false">C18</f>
        <v>1110000</v>
      </c>
      <c r="G18" s="249" t="n">
        <f aca="false">F18/$F$25</f>
        <v>0.0228269002337644</v>
      </c>
    </row>
    <row r="19" customFormat="false" ht="15.6" hidden="false" customHeight="false" outlineLevel="0" collapsed="false">
      <c r="B19" s="238" t="s">
        <v>226</v>
      </c>
      <c r="C19" s="248" t="n">
        <v>4527600</v>
      </c>
      <c r="D19" s="249" t="n">
        <f aca="false">C19/$C$25</f>
        <v>0.0956954384244366</v>
      </c>
      <c r="E19" s="247"/>
      <c r="F19" s="248" t="n">
        <f aca="false">C19</f>
        <v>4527600</v>
      </c>
      <c r="G19" s="249" t="n">
        <f aca="false">F19/$F$25</f>
        <v>0.0931090752237762</v>
      </c>
    </row>
    <row r="20" customFormat="false" ht="15.6" hidden="false" customHeight="false" outlineLevel="0" collapsed="false">
      <c r="B20" s="238" t="s">
        <v>227</v>
      </c>
      <c r="C20" s="248"/>
      <c r="D20" s="249" t="n">
        <f aca="false">C20/$C$25</f>
        <v>0</v>
      </c>
      <c r="E20" s="247"/>
      <c r="F20" s="248" t="n">
        <f aca="false">F12/C26</f>
        <v>1314238.88888889</v>
      </c>
      <c r="G20" s="249" t="n">
        <f aca="false">F20/$F$25</f>
        <v>0.027027027027027</v>
      </c>
    </row>
    <row r="21" customFormat="false" ht="15.6" hidden="false" customHeight="false" outlineLevel="0" collapsed="false">
      <c r="B21" s="238" t="s">
        <v>228</v>
      </c>
      <c r="C21" s="248"/>
      <c r="D21" s="249" t="n">
        <f aca="false">C21/$C$25</f>
        <v>0</v>
      </c>
      <c r="E21" s="247"/>
      <c r="F21" s="248"/>
      <c r="G21" s="249" t="n">
        <f aca="false">F21/$F$25</f>
        <v>0</v>
      </c>
    </row>
    <row r="22" customFormat="false" ht="15.6" hidden="false" customHeight="false" outlineLevel="0" collapsed="false">
      <c r="B22" s="243" t="s">
        <v>229</v>
      </c>
      <c r="C22" s="250" t="n">
        <f aca="false">SUM(C16:C21)</f>
        <v>45047600</v>
      </c>
      <c r="D22" s="249" t="n">
        <f aca="false">C22/$C$25</f>
        <v>0.9521269175653</v>
      </c>
      <c r="E22" s="251"/>
      <c r="F22" s="250" t="n">
        <f aca="false">SUM(F16:F21)</f>
        <v>46361838.8888889</v>
      </c>
      <c r="G22" s="249" t="n">
        <f aca="false">F22/$F$25</f>
        <v>0.95342078465813</v>
      </c>
    </row>
    <row r="23" customFormat="false" ht="15.6" hidden="false" customHeight="false" outlineLevel="0" collapsed="false">
      <c r="B23" s="243" t="s">
        <v>230</v>
      </c>
      <c r="C23" s="250" t="n">
        <v>0</v>
      </c>
      <c r="D23" s="249" t="n">
        <f aca="false">C23/$C$25</f>
        <v>0</v>
      </c>
      <c r="E23" s="251"/>
      <c r="F23" s="250"/>
      <c r="G23" s="249" t="n">
        <f aca="false">F23/$F$25</f>
        <v>0</v>
      </c>
    </row>
    <row r="24" customFormat="false" ht="15.6" hidden="false" customHeight="false" outlineLevel="0" collapsed="false">
      <c r="B24" s="238" t="s">
        <v>231</v>
      </c>
      <c r="C24" s="252" t="n">
        <f aca="false">120000+2145000</f>
        <v>2265000</v>
      </c>
      <c r="D24" s="253" t="n">
        <f aca="false">C24/$C$25</f>
        <v>0.0478730824347003</v>
      </c>
      <c r="E24" s="254"/>
      <c r="F24" s="252" t="n">
        <f aca="false">C24</f>
        <v>2265000</v>
      </c>
      <c r="G24" s="253" t="n">
        <f aca="false">F24/$F$25</f>
        <v>0.0465792153418705</v>
      </c>
    </row>
    <row r="25" customFormat="false" ht="15.6" hidden="false" customHeight="false" outlineLevel="0" collapsed="false">
      <c r="B25" s="238" t="s">
        <v>232</v>
      </c>
      <c r="C25" s="250" t="n">
        <f aca="false">SUM(C22:C24)</f>
        <v>47312600</v>
      </c>
      <c r="D25" s="255" t="n">
        <f aca="false">C25/$C$25</f>
        <v>1</v>
      </c>
      <c r="E25" s="256"/>
      <c r="F25" s="250" t="n">
        <f aca="false">SUM(F22:F24)</f>
        <v>48626838.8888889</v>
      </c>
      <c r="G25" s="255" t="n">
        <f aca="false">F25/$F$25</f>
        <v>1</v>
      </c>
    </row>
    <row r="26" customFormat="false" ht="15.6" hidden="false" customHeight="false" outlineLevel="0" collapsed="false">
      <c r="B26" s="5" t="s">
        <v>233</v>
      </c>
      <c r="C26" s="257" t="n">
        <f aca="false">C13/C25</f>
        <v>1.90224168614703</v>
      </c>
      <c r="D26" s="257"/>
      <c r="E26" s="257"/>
      <c r="F26" s="257" t="n">
        <f aca="false">F13/F25</f>
        <v>1.90224168614703</v>
      </c>
    </row>
  </sheetData>
  <mergeCells count="3">
    <mergeCell ref="A2:G2"/>
    <mergeCell ref="C4:D4"/>
    <mergeCell ref="F4:G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6" activeCellId="0" sqref="B26"/>
    </sheetView>
  </sheetViews>
  <sheetFormatPr defaultColWidth="8.96484375" defaultRowHeight="13.8" customHeight="true" zeroHeight="false" outlineLevelRow="0" outlineLevelCol="0"/>
  <cols>
    <col collapsed="false" customWidth="true" hidden="false" outlineLevel="0" max="1" min="1" style="0" width="3.1"/>
    <col collapsed="false" customWidth="true" hidden="false" outlineLevel="0" max="2" min="2" style="0" width="43.1"/>
    <col collapsed="false" customWidth="true" hidden="false" outlineLevel="0" max="3" min="3" style="0" width="15.44"/>
    <col collapsed="false" customWidth="true" hidden="false" outlineLevel="0" max="4" min="4" style="0" width="9.33"/>
    <col collapsed="false" customWidth="true" hidden="false" outlineLevel="0" max="5" min="5" style="0" width="2.55"/>
    <col collapsed="false" customWidth="true" hidden="false" outlineLevel="0" max="6" min="6" style="0" width="14.33"/>
  </cols>
  <sheetData>
    <row r="2" customFormat="false" ht="22.8" hidden="false" customHeight="false" outlineLevel="0" collapsed="false">
      <c r="A2" s="234" t="s">
        <v>234</v>
      </c>
      <c r="B2" s="234"/>
      <c r="C2" s="234"/>
      <c r="D2" s="234"/>
      <c r="E2" s="234"/>
      <c r="F2" s="234"/>
      <c r="G2" s="234"/>
    </row>
    <row r="4" customFormat="false" ht="15.6" hidden="false" customHeight="false" outlineLevel="0" collapsed="false">
      <c r="C4" s="235" t="s">
        <v>212</v>
      </c>
      <c r="D4" s="235"/>
      <c r="E4" s="236"/>
      <c r="F4" s="235" t="s">
        <v>213</v>
      </c>
      <c r="G4" s="235"/>
    </row>
    <row r="5" customFormat="false" ht="15.6" hidden="false" customHeight="false" outlineLevel="0" collapsed="false">
      <c r="A5" s="137" t="s">
        <v>214</v>
      </c>
      <c r="C5" s="237"/>
      <c r="D5" s="237"/>
      <c r="E5" s="236"/>
      <c r="F5" s="237"/>
      <c r="G5" s="237"/>
    </row>
    <row r="6" customFormat="false" ht="15.6" hidden="false" customHeight="false" outlineLevel="0" collapsed="false">
      <c r="B6" s="238" t="s">
        <v>215</v>
      </c>
      <c r="C6" s="239"/>
      <c r="D6" s="240"/>
      <c r="E6" s="240"/>
    </row>
    <row r="7" customFormat="false" ht="15.6" hidden="false" customHeight="false" outlineLevel="0" collapsed="false">
      <c r="B7" s="238" t="s">
        <v>216</v>
      </c>
      <c r="C7" s="239"/>
      <c r="D7" s="240"/>
      <c r="E7" s="240"/>
    </row>
    <row r="8" customFormat="false" ht="15.6" hidden="false" customHeight="false" outlineLevel="0" collapsed="false">
      <c r="B8" s="238" t="s">
        <v>217</v>
      </c>
      <c r="C8" s="241"/>
      <c r="D8" s="242"/>
      <c r="E8" s="242"/>
    </row>
    <row r="9" customFormat="false" ht="15.6" hidden="false" customHeight="false" outlineLevel="0" collapsed="false">
      <c r="B9" s="243" t="s">
        <v>218</v>
      </c>
      <c r="C9" s="244"/>
      <c r="D9" s="240"/>
      <c r="E9" s="240"/>
    </row>
    <row r="10" customFormat="false" ht="15.6" hidden="false" customHeight="false" outlineLevel="0" collapsed="false">
      <c r="B10" s="238"/>
      <c r="C10" s="239"/>
      <c r="D10" s="240"/>
      <c r="E10" s="240"/>
    </row>
    <row r="11" customFormat="false" ht="15.6" hidden="false" customHeight="false" outlineLevel="0" collapsed="false">
      <c r="B11" s="238" t="s">
        <v>219</v>
      </c>
      <c r="C11" s="245"/>
      <c r="D11" s="246"/>
      <c r="E11" s="246"/>
    </row>
    <row r="12" customFormat="false" ht="15.6" hidden="false" customHeight="false" outlineLevel="0" collapsed="false">
      <c r="B12" s="238" t="s">
        <v>220</v>
      </c>
      <c r="C12" s="239"/>
      <c r="F12" s="241" t="n">
        <v>5000000</v>
      </c>
    </row>
    <row r="13" customFormat="false" ht="15.6" hidden="false" customHeight="false" outlineLevel="0" collapsed="false">
      <c r="B13" s="238" t="s">
        <v>221</v>
      </c>
      <c r="C13" s="244" t="n">
        <f aca="false">42485000*0.8333</f>
        <v>35402750.5</v>
      </c>
      <c r="D13" s="247"/>
      <c r="E13" s="247"/>
      <c r="F13" s="244" t="n">
        <f aca="false">F12+C13</f>
        <v>40402750.5</v>
      </c>
    </row>
    <row r="14" customFormat="false" ht="15.6" hidden="false" customHeight="false" outlineLevel="0" collapsed="false">
      <c r="B14" s="238"/>
      <c r="C14" s="244"/>
      <c r="D14" s="247"/>
      <c r="E14" s="247"/>
      <c r="F14" s="244"/>
    </row>
    <row r="15" customFormat="false" ht="15.6" hidden="false" customHeight="false" outlineLevel="0" collapsed="false">
      <c r="A15" s="137" t="s">
        <v>222</v>
      </c>
      <c r="B15" s="238"/>
      <c r="C15" s="247"/>
      <c r="D15" s="247"/>
      <c r="E15" s="247"/>
      <c r="F15" s="247"/>
    </row>
    <row r="16" customFormat="false" ht="15.6" hidden="false" customHeight="false" outlineLevel="0" collapsed="false">
      <c r="B16" s="238" t="s">
        <v>223</v>
      </c>
      <c r="C16" s="248" t="n">
        <v>36000000</v>
      </c>
      <c r="D16" s="249" t="n">
        <f aca="false">C16/$C$25</f>
        <v>0.84735789102036</v>
      </c>
      <c r="E16" s="247"/>
      <c r="F16" s="248" t="n">
        <f aca="false">C16</f>
        <v>36000000</v>
      </c>
      <c r="G16" s="249" t="n">
        <f aca="false">F16/$F$25</f>
        <v>0.742494004213896</v>
      </c>
    </row>
    <row r="17" customFormat="false" ht="15.6" hidden="false" customHeight="false" outlineLevel="0" collapsed="false">
      <c r="B17" s="238" t="s">
        <v>224</v>
      </c>
      <c r="C17" s="248" t="n">
        <v>3410000</v>
      </c>
      <c r="D17" s="249" t="n">
        <f aca="false">C17/$C$25</f>
        <v>0.0802636224549841</v>
      </c>
      <c r="E17" s="247"/>
      <c r="F17" s="248" t="n">
        <f aca="false">C17</f>
        <v>3410000</v>
      </c>
      <c r="G17" s="249" t="n">
        <f aca="false">F17/$F$25</f>
        <v>0.0703306820658163</v>
      </c>
    </row>
    <row r="18" customFormat="false" ht="15.6" hidden="false" customHeight="false" outlineLevel="0" collapsed="false">
      <c r="B18" s="238" t="s">
        <v>225</v>
      </c>
      <c r="C18" s="248" t="n">
        <v>1110000</v>
      </c>
      <c r="D18" s="249" t="n">
        <f aca="false">C18/$C$25</f>
        <v>0.0261268683064611</v>
      </c>
      <c r="E18" s="247"/>
      <c r="F18" s="248" t="n">
        <f aca="false">C18</f>
        <v>1110000</v>
      </c>
      <c r="G18" s="249" t="n">
        <f aca="false">F18/$F$25</f>
        <v>0.0228935651299285</v>
      </c>
    </row>
    <row r="19" customFormat="false" ht="15.6" hidden="false" customHeight="false" outlineLevel="0" collapsed="false">
      <c r="B19" s="238" t="s">
        <v>226</v>
      </c>
      <c r="C19" s="248"/>
      <c r="D19" s="249" t="n">
        <f aca="false">C19/$C$25</f>
        <v>0</v>
      </c>
      <c r="E19" s="247"/>
      <c r="F19" s="248" t="n">
        <f aca="false">F12/C26</f>
        <v>6000240.00960038</v>
      </c>
      <c r="G19" s="249" t="n">
        <f aca="false">F19/$F$25</f>
        <v>0.12375395086035</v>
      </c>
    </row>
    <row r="20" customFormat="false" ht="15.6" hidden="false" customHeight="false" outlineLevel="0" collapsed="false">
      <c r="B20" s="238" t="s">
        <v>227</v>
      </c>
      <c r="C20" s="248"/>
      <c r="D20" s="249" t="n">
        <f aca="false">C20/$C$25</f>
        <v>0</v>
      </c>
      <c r="E20" s="247"/>
      <c r="F20" s="248"/>
      <c r="G20" s="249" t="n">
        <f aca="false">F20/$F$25</f>
        <v>0</v>
      </c>
    </row>
    <row r="21" customFormat="false" ht="15.6" hidden="false" customHeight="false" outlineLevel="0" collapsed="false">
      <c r="B21" s="238" t="s">
        <v>228</v>
      </c>
      <c r="C21" s="248"/>
      <c r="D21" s="249" t="n">
        <f aca="false">C21/$C$25</f>
        <v>0</v>
      </c>
      <c r="E21" s="247"/>
      <c r="F21" s="248"/>
      <c r="G21" s="249" t="n">
        <f aca="false">F21/$F$25</f>
        <v>0</v>
      </c>
    </row>
    <row r="22" customFormat="false" ht="15.6" hidden="false" customHeight="false" outlineLevel="0" collapsed="false">
      <c r="B22" s="243" t="s">
        <v>229</v>
      </c>
      <c r="C22" s="250" t="n">
        <f aca="false">SUM(C16:C21)</f>
        <v>40520000</v>
      </c>
      <c r="D22" s="249" t="n">
        <f aca="false">C22/$C$25</f>
        <v>0.953748381781805</v>
      </c>
      <c r="E22" s="251"/>
      <c r="F22" s="250" t="n">
        <f aca="false">SUM(F16:F21)</f>
        <v>46520240.0096004</v>
      </c>
      <c r="G22" s="249" t="n">
        <f aca="false">F22/$F$25</f>
        <v>0.959472202269992</v>
      </c>
    </row>
    <row r="23" customFormat="false" ht="15.6" hidden="false" customHeight="false" outlineLevel="0" collapsed="false">
      <c r="B23" s="243" t="s">
        <v>230</v>
      </c>
      <c r="C23" s="250" t="n">
        <v>0</v>
      </c>
      <c r="D23" s="249" t="n">
        <f aca="false">C23/$C$25</f>
        <v>0</v>
      </c>
      <c r="E23" s="251"/>
      <c r="F23" s="250"/>
      <c r="G23" s="249" t="n">
        <f aca="false">F23/$F$25</f>
        <v>0</v>
      </c>
    </row>
    <row r="24" customFormat="false" ht="15.6" hidden="false" customHeight="false" outlineLevel="0" collapsed="false">
      <c r="B24" s="238" t="s">
        <v>231</v>
      </c>
      <c r="C24" s="252" t="n">
        <f aca="false">1845000+120000</f>
        <v>1965000</v>
      </c>
      <c r="D24" s="253" t="n">
        <f aca="false">C24/$C$25</f>
        <v>0.0462516182181947</v>
      </c>
      <c r="E24" s="254"/>
      <c r="F24" s="252" t="n">
        <f aca="false">C24</f>
        <v>1965000</v>
      </c>
      <c r="G24" s="253" t="n">
        <f aca="false">F24/$F$25</f>
        <v>0.0405277977300085</v>
      </c>
    </row>
    <row r="25" customFormat="false" ht="15.6" hidden="false" customHeight="false" outlineLevel="0" collapsed="false">
      <c r="B25" s="238" t="s">
        <v>232</v>
      </c>
      <c r="C25" s="250" t="n">
        <f aca="false">SUM(C22:C24)</f>
        <v>42485000</v>
      </c>
      <c r="D25" s="255" t="n">
        <f aca="false">C25/$C$25</f>
        <v>1</v>
      </c>
      <c r="E25" s="256"/>
      <c r="F25" s="250" t="n">
        <f aca="false">SUM(F22:F24)</f>
        <v>48485240.0096004</v>
      </c>
      <c r="G25" s="255" t="n">
        <f aca="false">F25/$F$25</f>
        <v>1</v>
      </c>
    </row>
    <row r="26" customFormat="false" ht="15.6" hidden="false" customHeight="false" outlineLevel="0" collapsed="false">
      <c r="B26" s="5" t="s">
        <v>233</v>
      </c>
      <c r="C26" s="257" t="n">
        <f aca="false">C13/C25</f>
        <v>0.8333</v>
      </c>
      <c r="D26" s="257"/>
      <c r="E26" s="257"/>
      <c r="F26" s="257" t="n">
        <f aca="false">F13/F25</f>
        <v>0.8333</v>
      </c>
    </row>
  </sheetData>
  <mergeCells count="3">
    <mergeCell ref="A2:G2"/>
    <mergeCell ref="C4:D4"/>
    <mergeCell ref="F4:G4"/>
  </mergeCells>
  <printOptions headings="false" gridLines="false" gridLinesSet="true" horizontalCentered="true" verticalCentered="false"/>
  <pageMargins left="0.5" right="0.5"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2001-01-28T11:37:18Z</dcterms:created>
  <dc:creator>Michael C. Crabtree</dc:creator>
  <dc:description/>
  <dc:language>en-US</dc:language>
  <cp:lastModifiedBy>mcrabtree</cp:lastModifiedBy>
  <cp:lastPrinted>2001-10-04T14:53:34Z</cp:lastPrinted>
  <dcterms:modified xsi:type="dcterms:W3CDTF">2001-10-04T15:00:54Z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r8>-715264762</vt:r8>
  </property>
  <property fmtid="{D5CDD505-2E9C-101B-9397-08002B2CF9AE}" pid="3" name="_AuthorEmail">
    <vt:lpwstr>mikecrabtree@earthlink.net</vt:lpwstr>
  </property>
  <property fmtid="{D5CDD505-2E9C-101B-9397-08002B2CF9AE}" pid="4" name="_AuthorEmailDisplayName">
    <vt:lpwstr>Mike Crabtree</vt:lpwstr>
  </property>
  <property fmtid="{D5CDD505-2E9C-101B-9397-08002B2CF9AE}" pid="5" name="_EmailSubject">
    <vt:lpwstr>IdleAire Valuation</vt:lpwstr>
  </property>
</Properties>
</file>