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Page 1" sheetId="1" state="visible" r:id="rId3"/>
    <sheet name="Summary Page 2" sheetId="2" state="visible" r:id="rId4"/>
    <sheet name="Rate Case Assumptions" sheetId="3" state="visible" r:id="rId5"/>
    <sheet name="New Load Forecasts" sheetId="4" state="visible" r:id="rId6"/>
    <sheet name="1500 Sheet" sheetId="5" state="visible" r:id="rId7"/>
    <sheet name="1900 Sheet" sheetId="6" state="visible" r:id="rId8"/>
    <sheet name="125 CRAC" sheetId="7" state="visible" r:id="rId9"/>
    <sheet name="400 CRAC" sheetId="8" state="visible" r:id="rId10"/>
    <sheet name="Current Market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<sst xmlns="http://schemas.openxmlformats.org/spreadsheetml/2006/main" count="313" uniqueCount="104">
  <si>
    <t xml:space="preserve">Benefits distribution (in millions) among customer's</t>
  </si>
  <si>
    <t xml:space="preserve">Benefit $s are the savings the customer gets assuming that the alternative cost is the market price.</t>
  </si>
  <si>
    <t xml:space="preserve">Using rate case base assumptions  (See note 1.)</t>
  </si>
  <si>
    <t xml:space="preserve">IOU Benefits</t>
  </si>
  <si>
    <t xml:space="preserve">%</t>
  </si>
  <si>
    <t xml:space="preserve">Public Benefits</t>
  </si>
  <si>
    <t xml:space="preserve">DSI Benefits</t>
  </si>
  <si>
    <t xml:space="preserve">Total Benefits</t>
  </si>
  <si>
    <t xml:space="preserve">#1</t>
  </si>
  <si>
    <t xml:space="preserve">Using rate case market forecast and new load forecasts </t>
  </si>
  <si>
    <t xml:space="preserve">#2</t>
  </si>
  <si>
    <t xml:space="preserve">Using $42 market forecast and new load forecasts </t>
  </si>
  <si>
    <t xml:space="preserve">#3</t>
  </si>
  <si>
    <t xml:space="preserve">Using $42 market forecast and new load forecasts with a $400 million CRAC (Note 2)</t>
  </si>
  <si>
    <t xml:space="preserve">#4</t>
  </si>
  <si>
    <t xml:space="preserve">Using $42 market forecast and new load forecasts with 1500 aMW power for IOUs &amp; no CRAC</t>
  </si>
  <si>
    <t xml:space="preserve">#5</t>
  </si>
  <si>
    <t xml:space="preserve">Using $42 market forecast new load forecasts 1500 aMW IOU and a $461 million CRAC (Note 2 &amp; 3)</t>
  </si>
  <si>
    <t xml:space="preserve">#6</t>
  </si>
  <si>
    <t xml:space="preserve">Using $42 market forecast new load forecasts 1900 aMW IOU and no CRAC </t>
  </si>
  <si>
    <t xml:space="preserve">#7</t>
  </si>
  <si>
    <t xml:space="preserve">Using $42 market forecast new load forecasts 1900 aMW IOU and a $511 million CRAC </t>
  </si>
  <si>
    <t xml:space="preserve">Note 1  </t>
  </si>
  <si>
    <t xml:space="preserve">The following three items apply to all scenarios above.</t>
  </si>
  <si>
    <t xml:space="preserve">DSI loads are 1490 instead of 1440. </t>
  </si>
  <si>
    <t xml:space="preserve">Irrigation and Seasonal (I &amp; S) rate mitigation is valued at $5/MWh rather than $4/MWh</t>
  </si>
  <si>
    <t xml:space="preserve">I &amp; S is an FPS sale not subject to CRAC.</t>
  </si>
  <si>
    <t xml:space="preserve">Note 2</t>
  </si>
  <si>
    <t xml:space="preserve">The CRAC was not applied to the financial portion of the IOU settlement.</t>
  </si>
  <si>
    <t xml:space="preserve">Note 3</t>
  </si>
  <si>
    <t xml:space="preserve">Increase CRAC by $61 million to capture net cost of change of 500 aMW from ResX to Purchase.</t>
  </si>
  <si>
    <t xml:space="preserve">Note 4</t>
  </si>
  <si>
    <t xml:space="preserve">900aMW of pre-subscription load is not included in the analysis.  If this load were included, the</t>
  </si>
  <si>
    <t xml:space="preserve">results would be more dramatic.</t>
  </si>
  <si>
    <t xml:space="preserve">Conclusions:</t>
  </si>
  <si>
    <t xml:space="preserve">The share of the benefits of the IOUs as a percentage of the </t>
  </si>
  <si>
    <t xml:space="preserve">total benefits is eroding from rate case assumptions.</t>
  </si>
  <si>
    <t xml:space="preserve">The actual $ value of the benefits of the IOUs is increasing.</t>
  </si>
  <si>
    <t xml:space="preserve">Lens 1:  Impact of a higher CRAC by customer class.</t>
  </si>
  <si>
    <t xml:space="preserve">$125 million CRAC *1</t>
  </si>
  <si>
    <t xml:space="preserve">$400 million CRAC *2</t>
  </si>
  <si>
    <t xml:space="preserve">$/MWh</t>
  </si>
  <si>
    <t xml:space="preserve">CRAC $</t>
  </si>
  <si>
    <t xml:space="preserve">% of CRAC $</t>
  </si>
  <si>
    <t xml:space="preserve">IOU</t>
  </si>
  <si>
    <t xml:space="preserve">Public</t>
  </si>
  <si>
    <t xml:space="preserve">DSI</t>
  </si>
  <si>
    <t xml:space="preserve">Lens 2:  With the change in market how much more value is each customer group getting?</t>
  </si>
  <si>
    <t xml:space="preserve">Alternative # 1 1000 aMW real power to IOUs</t>
  </si>
  <si>
    <t xml:space="preserve">Alternative # 2 1900 aMW real power to the IOUs</t>
  </si>
  <si>
    <t xml:space="preserve">$28.1 column contains rate case load assumptions</t>
  </si>
  <si>
    <t xml:space="preserve">$28.1 contains New Load Forecasts</t>
  </si>
  <si>
    <t xml:space="preserve">$42 column contains New Load Forecasts</t>
  </si>
  <si>
    <t xml:space="preserve">$42 column contains New Load Forecasts </t>
  </si>
  <si>
    <t xml:space="preserve">Value - $ millions</t>
  </si>
  <si>
    <t xml:space="preserve">Increase in Value</t>
  </si>
  <si>
    <t xml:space="preserve">in $</t>
  </si>
  <si>
    <t xml:space="preserve">as a %</t>
  </si>
  <si>
    <t xml:space="preserve">Public </t>
  </si>
  <si>
    <t xml:space="preserve">NOTE:  The value of shaped public load service is understated to the extent that the market value of </t>
  </si>
  <si>
    <t xml:space="preserve">shaping exceeds the PF rate charge for shaping</t>
  </si>
  <si>
    <t xml:space="preserve">Assumes CRAC does not trigger.</t>
  </si>
  <si>
    <t xml:space="preserve">Lens 3: Settlement Value versus Residential Exchange Benefits</t>
  </si>
  <si>
    <t xml:space="preserve">Exchange Value</t>
  </si>
  <si>
    <t xml:space="preserve">Settlement Value</t>
  </si>
  <si>
    <t xml:space="preserve">$ in millions</t>
  </si>
  <si>
    <t xml:space="preserve">42-mill market no CRAC *3</t>
  </si>
  <si>
    <t xml:space="preserve">42-mill market, $125 million CRAC *1 *3</t>
  </si>
  <si>
    <t xml:space="preserve">46-mill market no CRAC *4</t>
  </si>
  <si>
    <t xml:space="preserve">46-mill Market, $400 million CRAC *2 *4</t>
  </si>
  <si>
    <t xml:space="preserve">NOTE:</t>
  </si>
  <si>
    <t xml:space="preserve">Public Utility rate testimony would suggest that exchange benefits should be at or near zero.</t>
  </si>
  <si>
    <t xml:space="preserve">IOU rate testimony would suggest much higher exchange benefits.</t>
  </si>
  <si>
    <t xml:space="preserve">*1  All 1900 aMW of IOU load is subject to the CRAC.</t>
  </si>
  <si>
    <t xml:space="preserve">*2  Only 1000 aMW of IOU load is subject to the CRAC.</t>
  </si>
  <si>
    <t xml:space="preserve">*3 Uses a $42 /MWh market</t>
  </si>
  <si>
    <t xml:space="preserve">*4 Uses a $46 /MWh market</t>
  </si>
  <si>
    <t xml:space="preserve">How the rate case assumed loads and market forcast distributed the benefits.</t>
  </si>
  <si>
    <t xml:space="preserve">Load</t>
  </si>
  <si>
    <t xml:space="preserve">Price</t>
  </si>
  <si>
    <t xml:space="preserve">Market</t>
  </si>
  <si>
    <t xml:space="preserve">Benefit in Millions</t>
  </si>
  <si>
    <t xml:space="preserve">Exchange</t>
  </si>
  <si>
    <t xml:space="preserve">RL</t>
  </si>
  <si>
    <t xml:space="preserve">PF</t>
  </si>
  <si>
    <t xml:space="preserve">FPS I&amp;S</t>
  </si>
  <si>
    <t xml:space="preserve">IPTAC</t>
  </si>
  <si>
    <t xml:space="preserve">Using Rate Case Market Estimate</t>
  </si>
  <si>
    <t xml:space="preserve">Using 42$/MWh</t>
  </si>
  <si>
    <t xml:space="preserve">Using $42 and 400 million CRAC</t>
  </si>
  <si>
    <t xml:space="preserve">Price w/CRAC</t>
  </si>
  <si>
    <t xml:space="preserve">m/kwh Incr</t>
  </si>
  <si>
    <t xml:space="preserve">Revenue Subject to CRAC:</t>
  </si>
  <si>
    <t xml:space="preserve">million</t>
  </si>
  <si>
    <t xml:space="preserve">Benefits</t>
  </si>
  <si>
    <t xml:space="preserve">Rate multiplier</t>
  </si>
  <si>
    <t xml:space="preserve">Using $42 and 461 million CRAC</t>
  </si>
  <si>
    <t xml:space="preserve">Using 42 $/MWh</t>
  </si>
  <si>
    <t xml:space="preserve">Using $42 and 125 million CRAC</t>
  </si>
  <si>
    <t xml:space="preserve">CRAC share in $</t>
  </si>
  <si>
    <t xml:space="preserve">% share of CRAC</t>
  </si>
  <si>
    <t xml:space="preserve">Using $42 and $400 million CRAC</t>
  </si>
  <si>
    <t xml:space="preserve">Using 46 $/MWh</t>
  </si>
  <si>
    <t xml:space="preserve">Using $46 and $400 million CRAC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</si>
</sst>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"/>
    <numFmt numFmtId="166" formatCode="0%"/>
    <numFmt numFmtId="167" formatCode="_(\$* #,##0.00_);_(\$* \(#,##0.00\);_(\$* \-??_);_(@_)"/>
    <numFmt numFmtId="168" formatCode="_(\$* #,##0.0_);_(\$* \(#,##0.0\);_(\$* \-??_);_(@_)"/>
    <numFmt numFmtId="169" formatCode="0.00%"/>
    <numFmt numFmtId="170" formatCode="\$#,##0.00_);[RED]&quot;($&quot;#,##0.00\)"/>
    <numFmt numFmtId="171" formatCode="\$#,##0_);[RED]&quot;($&quot;#,##0\)"/>
    <numFmt numFmtId="172" formatCode="0.000"/>
    <numFmt numFmtId="173" formatCode="0.0%"/>
    <numFmt numFmtId="174" formatCode="0.00"/>
    <numFmt numFmtId="175" formatCode="_(\$* #,##0_);_(\$* \(#,##0\);_(\$* \-??_);_(@_)"/>
    <numFmt numFmtId="176" formatCode="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10.99"/>
    <col collapsed="false" customWidth="true" hidden="false" outlineLevel="0" max="3" min="3" style="0" width="7.56"/>
    <col collapsed="false" customWidth="true" hidden="false" outlineLevel="0" max="4" min="4" style="0" width="12.99"/>
    <col collapsed="false" customWidth="true" hidden="false" outlineLevel="0" max="5" min="5" style="0" width="6.41"/>
    <col collapsed="false" customWidth="true" hidden="false" outlineLevel="0" max="6" min="6" style="0" width="11.42"/>
    <col collapsed="false" customWidth="true" hidden="false" outlineLevel="0" max="7" min="7" style="0" width="6.7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</row>
    <row r="4" customFormat="false" ht="12.75" hidden="false" customHeight="false" outlineLevel="0" collapsed="false">
      <c r="B4" s="0" t="s">
        <v>2</v>
      </c>
    </row>
    <row r="5" customFormat="false" ht="12.75" hidden="false" customHeight="false" outlineLevel="0" collapsed="false">
      <c r="B5" s="0" t="s">
        <v>3</v>
      </c>
      <c r="C5" s="2" t="s">
        <v>4</v>
      </c>
      <c r="D5" s="0" t="s">
        <v>5</v>
      </c>
      <c r="E5" s="2" t="s">
        <v>4</v>
      </c>
      <c r="F5" s="0" t="s">
        <v>6</v>
      </c>
      <c r="G5" s="2" t="s">
        <v>4</v>
      </c>
      <c r="H5" s="0" t="s">
        <v>7</v>
      </c>
    </row>
    <row r="6" customFormat="false" ht="12.75" hidden="false" customHeight="false" outlineLevel="0" collapsed="false">
      <c r="B6" s="3" t="n">
        <f aca="false">'Rate Case Assumptions'!F6</f>
        <v>147.299</v>
      </c>
      <c r="C6" s="4" t="n">
        <f aca="false">'Rate Case Assumptions'!E6</f>
        <v>0.264650498884849</v>
      </c>
      <c r="D6" s="3" t="n">
        <f aca="false">'Rate Case Assumptions'!F10</f>
        <v>342.7131</v>
      </c>
      <c r="E6" s="4" t="n">
        <f aca="false">'Rate Case Assumptions'!E10</f>
        <v>0.615748870592286</v>
      </c>
      <c r="F6" s="3" t="n">
        <f aca="false">'Rate Case Assumptions'!F13</f>
        <v>66.56724</v>
      </c>
      <c r="G6" s="4" t="n">
        <f aca="false">'Rate Case Assumptions'!E13</f>
        <v>0.119600630522865</v>
      </c>
      <c r="H6" s="3" t="n">
        <f aca="false">SUM(B6,D6,F6)</f>
        <v>556.57934</v>
      </c>
    </row>
    <row r="8" customFormat="false" ht="12.75" hidden="false" customHeight="false" outlineLevel="0" collapsed="false">
      <c r="A8" s="0" t="s">
        <v>8</v>
      </c>
      <c r="B8" s="0" t="s">
        <v>9</v>
      </c>
    </row>
    <row r="9" customFormat="false" ht="12.75" hidden="false" customHeight="false" outlineLevel="0" collapsed="false">
      <c r="B9" s="0" t="s">
        <v>3</v>
      </c>
      <c r="C9" s="2" t="s">
        <v>4</v>
      </c>
      <c r="D9" s="0" t="s">
        <v>5</v>
      </c>
      <c r="E9" s="2" t="s">
        <v>4</v>
      </c>
      <c r="F9" s="0" t="s">
        <v>6</v>
      </c>
      <c r="G9" s="2" t="s">
        <v>4</v>
      </c>
      <c r="H9" s="0" t="s">
        <v>7</v>
      </c>
    </row>
    <row r="10" customFormat="false" ht="12.75" hidden="false" customHeight="false" outlineLevel="0" collapsed="false">
      <c r="B10" s="5" t="n">
        <f aca="false">'New Load Forecasts'!F6</f>
        <v>147.299</v>
      </c>
      <c r="C10" s="4" t="n">
        <f aca="false">'New Load Forecasts'!E6</f>
        <v>0.222761969552209</v>
      </c>
      <c r="D10" s="5" t="n">
        <f aca="false">'New Load Forecasts'!F10</f>
        <v>447.3732</v>
      </c>
      <c r="E10" s="4" t="n">
        <f aca="false">'New Load Forecasts'!E10</f>
        <v>0.676567628815365</v>
      </c>
      <c r="F10" s="6" t="n">
        <f aca="false">'New Load Forecasts'!F13</f>
        <v>66.56724</v>
      </c>
      <c r="G10" s="4" t="n">
        <f aca="false">'New Load Forecasts'!E13</f>
        <v>0.100670401632425</v>
      </c>
      <c r="H10" s="5" t="n">
        <f aca="false">SUM(B10,D10,F10)</f>
        <v>661.23944</v>
      </c>
    </row>
    <row r="12" customFormat="false" ht="12.75" hidden="false" customHeight="false" outlineLevel="0" collapsed="false">
      <c r="A12" s="0" t="s">
        <v>10</v>
      </c>
      <c r="B12" s="0" t="s">
        <v>11</v>
      </c>
    </row>
    <row r="13" customFormat="false" ht="12.75" hidden="false" customHeight="false" outlineLevel="0" collapsed="false">
      <c r="A13" s="7"/>
      <c r="B13" s="0" t="s">
        <v>3</v>
      </c>
      <c r="C13" s="2" t="s">
        <v>4</v>
      </c>
      <c r="D13" s="0" t="s">
        <v>5</v>
      </c>
      <c r="E13" s="2" t="s">
        <v>4</v>
      </c>
      <c r="F13" s="0" t="s">
        <v>6</v>
      </c>
      <c r="G13" s="2" t="s">
        <v>4</v>
      </c>
      <c r="H13" s="0" t="s">
        <v>7</v>
      </c>
    </row>
    <row r="14" customFormat="false" ht="12.75" hidden="false" customHeight="false" outlineLevel="0" collapsed="false">
      <c r="B14" s="3" t="n">
        <f aca="false">'New Load Forecasts'!H6</f>
        <v>269.063</v>
      </c>
      <c r="C14" s="4" t="n">
        <f aca="false">'New Load Forecasts'!G6</f>
        <v>0.162234051212714</v>
      </c>
      <c r="D14" s="3" t="n">
        <f aca="false">'New Load Forecasts'!H10</f>
        <v>1141.428</v>
      </c>
      <c r="E14" s="4" t="n">
        <f aca="false">'New Load Forecasts'!G10</f>
        <v>0.688234683355295</v>
      </c>
      <c r="F14" s="3" t="n">
        <f aca="false">'New Load Forecasts'!H13</f>
        <v>247.9956</v>
      </c>
      <c r="G14" s="4" t="n">
        <f aca="false">'New Load Forecasts'!G13</f>
        <v>0.149531265431991</v>
      </c>
      <c r="H14" s="3" t="n">
        <f aca="false">SUM(B14,D14,F14)</f>
        <v>1658.4866</v>
      </c>
    </row>
    <row r="16" customFormat="false" ht="12.75" hidden="false" customHeight="false" outlineLevel="0" collapsed="false">
      <c r="A16" s="0" t="s">
        <v>12</v>
      </c>
      <c r="B16" s="0" t="s">
        <v>13</v>
      </c>
    </row>
    <row r="17" customFormat="false" ht="12.75" hidden="false" customHeight="false" outlineLevel="0" collapsed="false">
      <c r="B17" s="0" t="s">
        <v>3</v>
      </c>
      <c r="C17" s="2" t="s">
        <v>4</v>
      </c>
      <c r="D17" s="0" t="s">
        <v>5</v>
      </c>
      <c r="E17" s="2" t="s">
        <v>4</v>
      </c>
      <c r="F17" s="0" t="s">
        <v>6</v>
      </c>
      <c r="G17" s="2" t="s">
        <v>4</v>
      </c>
      <c r="H17" s="0" t="s">
        <v>7</v>
      </c>
    </row>
    <row r="18" customFormat="false" ht="12.75" hidden="false" customHeight="false" outlineLevel="0" collapsed="false">
      <c r="B18" s="3" t="n">
        <f aca="false">'New Load Forecasts'!K6</f>
        <v>222.3722</v>
      </c>
      <c r="C18" s="4" t="n">
        <f aca="false">'New Load Forecasts'!J6</f>
        <v>0.17532389276638</v>
      </c>
      <c r="D18" s="3" t="n">
        <f aca="false">'New Load Forecasts'!K10</f>
        <v>881.12679</v>
      </c>
      <c r="E18" s="4" t="n">
        <f aca="false">'New Load Forecasts'!J10</f>
        <v>0.694702749910036</v>
      </c>
      <c r="F18" s="3" t="n">
        <f aca="false">'New Load Forecasts'!K13</f>
        <v>164.851812</v>
      </c>
      <c r="G18" s="4" t="n">
        <f aca="false">'New Load Forecasts'!J13</f>
        <v>0.129973357323584</v>
      </c>
      <c r="H18" s="3" t="n">
        <f aca="false">SUM(B18,D18,F18)</f>
        <v>1268.350802</v>
      </c>
    </row>
    <row r="20" customFormat="false" ht="12.75" hidden="false" customHeight="false" outlineLevel="0" collapsed="false">
      <c r="A20" s="0" t="s">
        <v>14</v>
      </c>
      <c r="B20" s="0" t="s">
        <v>15</v>
      </c>
    </row>
    <row r="21" customFormat="false" ht="12.75" hidden="false" customHeight="false" outlineLevel="0" collapsed="false">
      <c r="B21" s="0" t="s">
        <v>3</v>
      </c>
      <c r="C21" s="2" t="s">
        <v>4</v>
      </c>
      <c r="D21" s="0" t="s">
        <v>5</v>
      </c>
      <c r="E21" s="2" t="s">
        <v>4</v>
      </c>
      <c r="F21" s="0" t="s">
        <v>6</v>
      </c>
      <c r="G21" s="2" t="s">
        <v>4</v>
      </c>
      <c r="H21" s="0" t="s">
        <v>7</v>
      </c>
    </row>
    <row r="22" customFormat="false" ht="12.75" hidden="false" customHeight="false" outlineLevel="0" collapsed="false">
      <c r="B22" s="3" t="n">
        <f aca="false">'1500 Sheet'!H6</f>
        <v>329.945</v>
      </c>
      <c r="C22" s="4" t="n">
        <f aca="false">'1500 Sheet'!G6</f>
        <v>0.191898933131616</v>
      </c>
      <c r="D22" s="3" t="n">
        <f aca="false">'1500 Sheet'!H10</f>
        <v>1141.428</v>
      </c>
      <c r="E22" s="4" t="n">
        <f aca="false">'1500 Sheet'!G10</f>
        <v>0.66386463030673</v>
      </c>
      <c r="F22" s="3" t="n">
        <f aca="false">'1500 Sheet'!H13</f>
        <v>247.9956</v>
      </c>
      <c r="G22" s="4" t="n">
        <f aca="false">'1500 Sheet'!G13</f>
        <v>0.144236436561654</v>
      </c>
      <c r="H22" s="3" t="n">
        <f aca="false">SUM(B22,D22,F22)</f>
        <v>1719.3686</v>
      </c>
    </row>
    <row r="24" customFormat="false" ht="12.75" hidden="false" customHeight="false" outlineLevel="0" collapsed="false">
      <c r="A24" s="0" t="s">
        <v>16</v>
      </c>
      <c r="B24" s="0" t="s">
        <v>17</v>
      </c>
    </row>
    <row r="25" customFormat="false" ht="12.75" hidden="false" customHeight="false" outlineLevel="0" collapsed="false">
      <c r="B25" s="0" t="s">
        <v>3</v>
      </c>
      <c r="C25" s="2" t="s">
        <v>4</v>
      </c>
      <c r="D25" s="0" t="s">
        <v>5</v>
      </c>
      <c r="E25" s="2" t="s">
        <v>4</v>
      </c>
      <c r="F25" s="0" t="s">
        <v>6</v>
      </c>
      <c r="G25" s="2" t="s">
        <v>4</v>
      </c>
      <c r="H25" s="0" t="s">
        <v>7</v>
      </c>
    </row>
    <row r="26" customFormat="false" ht="12.75" hidden="false" customHeight="false" outlineLevel="0" collapsed="false">
      <c r="A26" s="7"/>
      <c r="B26" s="5" t="n">
        <f aca="false">'1500 Sheet'!K6</f>
        <v>253.733</v>
      </c>
      <c r="C26" s="4" t="n">
        <f aca="false">'1500 Sheet'!J6</f>
        <v>0.19987650262728</v>
      </c>
      <c r="D26" s="5" t="n">
        <f aca="false">'1500 Sheet'!K10</f>
        <v>858.1734</v>
      </c>
      <c r="E26" s="4" t="n">
        <f aca="false">'1500 Sheet'!J10</f>
        <v>0.676020453940804</v>
      </c>
      <c r="F26" s="5" t="n">
        <f aca="false">'1500 Sheet'!K13</f>
        <v>157.542468</v>
      </c>
      <c r="G26" s="4" t="n">
        <f aca="false">'1500 Sheet'!J13</f>
        <v>0.124103043431916</v>
      </c>
      <c r="H26" s="5" t="n">
        <f aca="false">SUM(B26,D26,F26)</f>
        <v>1269.448868</v>
      </c>
    </row>
    <row r="27" customFormat="false" ht="12.75" hidden="false" customHeight="false" outlineLevel="0" collapsed="false">
      <c r="A27" s="7"/>
      <c r="B27" s="5"/>
      <c r="C27" s="4"/>
      <c r="D27" s="5"/>
      <c r="E27" s="4"/>
      <c r="F27" s="5"/>
      <c r="G27" s="4"/>
      <c r="H27" s="5"/>
    </row>
    <row r="28" customFormat="false" ht="12.75" hidden="false" customHeight="false" outlineLevel="0" collapsed="false">
      <c r="A28" s="0" t="s">
        <v>18</v>
      </c>
      <c r="B28" s="0" t="s">
        <v>19</v>
      </c>
    </row>
    <row r="29" customFormat="false" ht="12.75" hidden="false" customHeight="false" outlineLevel="0" collapsed="false">
      <c r="B29" s="0" t="s">
        <v>3</v>
      </c>
      <c r="C29" s="2" t="s">
        <v>4</v>
      </c>
      <c r="D29" s="0" t="s">
        <v>5</v>
      </c>
      <c r="E29" s="2" t="s">
        <v>4</v>
      </c>
      <c r="F29" s="0" t="s">
        <v>6</v>
      </c>
      <c r="G29" s="2" t="s">
        <v>4</v>
      </c>
      <c r="H29" s="0" t="s">
        <v>7</v>
      </c>
    </row>
    <row r="30" customFormat="false" ht="12.75" hidden="false" customHeight="false" outlineLevel="0" collapsed="false">
      <c r="A30" s="7"/>
      <c r="B30" s="5" t="n">
        <f aca="false">'1900 Sheet'!H6</f>
        <v>378.651</v>
      </c>
      <c r="C30" s="4" t="n">
        <f aca="false">'1900 Sheet'!G6</f>
        <v>0.21416008125449</v>
      </c>
      <c r="D30" s="5" t="n">
        <f aca="false">'1900 Sheet'!H10</f>
        <v>1141.428</v>
      </c>
      <c r="E30" s="4" t="n">
        <f aca="false">'1900 Sheet'!G10</f>
        <v>0.645576832561251</v>
      </c>
      <c r="F30" s="5" t="n">
        <f aca="false">'1900 Sheet'!H13</f>
        <v>247.9956</v>
      </c>
      <c r="G30" s="4" t="n">
        <f aca="false">'1900 Sheet'!G13</f>
        <v>0.140263086184259</v>
      </c>
      <c r="H30" s="5" t="n">
        <f aca="false">SUM(B30,D30,F30)</f>
        <v>1768.0746</v>
      </c>
    </row>
    <row r="31" customFormat="false" ht="12.75" hidden="false" customHeight="false" outlineLevel="0" collapsed="false">
      <c r="G31" s="8"/>
    </row>
    <row r="32" customFormat="false" ht="12.75" hidden="false" customHeight="false" outlineLevel="0" collapsed="false">
      <c r="A32" s="0" t="s">
        <v>20</v>
      </c>
      <c r="B32" s="0" t="s">
        <v>21</v>
      </c>
    </row>
    <row r="33" customFormat="false" ht="12.75" hidden="false" customHeight="false" outlineLevel="0" collapsed="false">
      <c r="B33" s="0" t="s">
        <v>3</v>
      </c>
      <c r="C33" s="2" t="s">
        <v>4</v>
      </c>
      <c r="D33" s="0" t="s">
        <v>5</v>
      </c>
      <c r="E33" s="2" t="s">
        <v>4</v>
      </c>
      <c r="F33" s="0" t="s">
        <v>6</v>
      </c>
      <c r="G33" s="2" t="s">
        <v>4</v>
      </c>
      <c r="H33" s="0" t="s">
        <v>7</v>
      </c>
    </row>
    <row r="34" customFormat="false" ht="12.75" hidden="false" customHeight="false" outlineLevel="0" collapsed="false">
      <c r="A34" s="7"/>
      <c r="B34" s="5" t="n">
        <f aca="false">'1900 Sheet'!K6</f>
        <v>276.2904</v>
      </c>
      <c r="C34" s="4" t="n">
        <f aca="false">'1900 Sheet'!J6</f>
        <v>0.217648956523689</v>
      </c>
      <c r="D34" s="5" t="n">
        <f aca="false">'1900 Sheet'!K10</f>
        <v>841.08045</v>
      </c>
      <c r="E34" s="4" t="n">
        <f aca="false">'1900 Sheet'!J10</f>
        <v>0.662564759017957</v>
      </c>
      <c r="F34" s="5" t="n">
        <f aca="false">'1900 Sheet'!K13</f>
        <v>152.06046</v>
      </c>
      <c r="G34" s="4" t="n">
        <f aca="false">'1900 Sheet'!J13</f>
        <v>0.119786284458353</v>
      </c>
      <c r="H34" s="5" t="n">
        <f aca="false">SUM(B34,D34,F34)</f>
        <v>1269.43131</v>
      </c>
    </row>
    <row r="35" customFormat="false" ht="12.75" hidden="false" customHeight="false" outlineLevel="0" collapsed="false">
      <c r="G35" s="8"/>
    </row>
    <row r="36" customFormat="false" ht="12.75" hidden="false" customHeight="false" outlineLevel="0" collapsed="false">
      <c r="A36" s="0" t="s">
        <v>22</v>
      </c>
      <c r="B36" s="0" t="s">
        <v>23</v>
      </c>
    </row>
    <row r="37" customFormat="false" ht="12.75" hidden="false" customHeight="false" outlineLevel="0" collapsed="false">
      <c r="B37" s="0" t="s">
        <v>24</v>
      </c>
    </row>
    <row r="38" customFormat="false" ht="12.75" hidden="false" customHeight="false" outlineLevel="0" collapsed="false">
      <c r="B38" s="0" t="s">
        <v>25</v>
      </c>
    </row>
    <row r="39" customFormat="false" ht="12.75" hidden="false" customHeight="false" outlineLevel="0" collapsed="false">
      <c r="B39" s="0" t="s">
        <v>26</v>
      </c>
    </row>
    <row r="41" customFormat="false" ht="12.75" hidden="false" customHeight="false" outlineLevel="0" collapsed="false">
      <c r="A41" s="0" t="s">
        <v>27</v>
      </c>
      <c r="B41" s="0" t="s">
        <v>28</v>
      </c>
    </row>
    <row r="43" customFormat="false" ht="12.75" hidden="false" customHeight="false" outlineLevel="0" collapsed="false">
      <c r="A43" s="0" t="s">
        <v>29</v>
      </c>
      <c r="B43" s="0" t="s">
        <v>30</v>
      </c>
    </row>
    <row r="45" customFormat="false" ht="12.75" hidden="false" customHeight="false" outlineLevel="0" collapsed="false">
      <c r="A45" s="0" t="s">
        <v>31</v>
      </c>
      <c r="B45" s="0" t="s">
        <v>32</v>
      </c>
    </row>
    <row r="46" customFormat="false" ht="12.75" hidden="false" customHeight="false" outlineLevel="0" collapsed="false">
      <c r="B46" s="0" t="s">
        <v>33</v>
      </c>
    </row>
    <row r="48" customFormat="false" ht="12.75" hidden="false" customHeight="false" outlineLevel="0" collapsed="false">
      <c r="A48" s="9" t="s">
        <v>34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v>1</v>
      </c>
      <c r="B49" s="9" t="s">
        <v>35</v>
      </c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/>
      <c r="B50" s="9" t="s">
        <v>36</v>
      </c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v>2</v>
      </c>
      <c r="B51" s="9" t="s">
        <v>37</v>
      </c>
      <c r="C51" s="7"/>
      <c r="D51" s="7"/>
      <c r="E51" s="7"/>
      <c r="F51" s="7"/>
      <c r="G51" s="7"/>
    </row>
    <row r="52" customFormat="false" ht="12.75" hidden="false" customHeight="false" outlineLevel="0" collapsed="false">
      <c r="A52" s="7"/>
      <c r="B52" s="7"/>
      <c r="C52" s="7"/>
      <c r="D52" s="7"/>
      <c r="E52" s="7"/>
      <c r="F52" s="7"/>
      <c r="G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85"/>
    <col collapsed="false" customWidth="true" hidden="false" outlineLevel="0" max="3" min="3" style="0" width="13.14"/>
    <col collapsed="false" customWidth="true" hidden="false" outlineLevel="0" max="4" min="4" style="0" width="12.56"/>
    <col collapsed="false" customWidth="true" hidden="false" outlineLevel="0" max="5" min="5" style="0" width="12.14"/>
    <col collapsed="false" customWidth="true" hidden="false" outlineLevel="0" max="8" min="8" style="0" width="13.41"/>
    <col collapsed="false" customWidth="true" hidden="false" outlineLevel="0" max="9" min="9" style="0" width="10.41"/>
  </cols>
  <sheetData>
    <row r="1" customFormat="false" ht="12.75" hidden="false" customHeight="false" outlineLevel="0" collapsed="false">
      <c r="A1" s="9" t="s">
        <v>38</v>
      </c>
    </row>
    <row r="3" customFormat="false" ht="12.75" hidden="false" customHeight="false" outlineLevel="0" collapsed="false">
      <c r="C3" s="0" t="s">
        <v>39</v>
      </c>
      <c r="F3" s="0" t="s">
        <v>40</v>
      </c>
    </row>
    <row r="4" customFormat="false" ht="12.75" hidden="false" customHeight="false" outlineLevel="0" collapsed="false">
      <c r="B4" s="0" t="s">
        <v>41</v>
      </c>
      <c r="C4" s="0" t="s">
        <v>42</v>
      </c>
      <c r="D4" s="0" t="s">
        <v>43</v>
      </c>
      <c r="F4" s="0" t="s">
        <v>41</v>
      </c>
      <c r="G4" s="0" t="s">
        <v>42</v>
      </c>
      <c r="H4" s="0" t="s">
        <v>43</v>
      </c>
    </row>
    <row r="5" customFormat="false" ht="12.75" hidden="false" customHeight="false" outlineLevel="0" collapsed="false">
      <c r="A5" s="0" t="s">
        <v>44</v>
      </c>
      <c r="B5" s="11" t="n">
        <f aca="false">'125 CRAC'!L6</f>
        <v>1.5</v>
      </c>
      <c r="C5" s="3" t="n">
        <f aca="false">'125 CRAC'!M6</f>
        <v>-24.966</v>
      </c>
      <c r="D5" s="12" t="n">
        <f aca="false">'125 CRAC'!N6</f>
        <v>0.205117132678398</v>
      </c>
      <c r="E5" s="13"/>
      <c r="F5" s="11" t="n">
        <f aca="false">'400 CRAC'!L6</f>
        <v>2.80526315789474</v>
      </c>
      <c r="G5" s="3" t="n">
        <f aca="false">'400 CRAC'!M6</f>
        <v>-46.6908</v>
      </c>
      <c r="H5" s="12" t="n">
        <f aca="false">'400 CRAC'!N6</f>
        <v>0.119678328006188</v>
      </c>
    </row>
    <row r="6" customFormat="false" ht="12.75" hidden="false" customHeight="false" outlineLevel="0" collapsed="false">
      <c r="B6" s="11"/>
      <c r="C6" s="3"/>
      <c r="D6" s="12"/>
      <c r="F6" s="11"/>
      <c r="G6" s="3"/>
      <c r="H6" s="12"/>
    </row>
    <row r="7" customFormat="false" ht="12.75" hidden="false" customHeight="false" outlineLevel="0" collapsed="false">
      <c r="A7" s="0" t="s">
        <v>45</v>
      </c>
      <c r="B7" s="11" t="n">
        <f aca="false">'125 CRAC'!L10</f>
        <v>1.47</v>
      </c>
      <c r="C7" s="3" t="n">
        <f aca="false">'125 CRAC'!M10</f>
        <v>-73.2555</v>
      </c>
      <c r="D7" s="12" t="n">
        <f aca="false">'125 CRAC'!N10</f>
        <v>0.601856849832668</v>
      </c>
      <c r="E7" s="13"/>
      <c r="F7" s="11" t="n">
        <f aca="false">'400 CRAC'!L10</f>
        <v>5.21</v>
      </c>
      <c r="G7" s="3" t="n">
        <f aca="false">'400 CRAC'!M10</f>
        <v>-260.30121</v>
      </c>
      <c r="H7" s="12" t="n">
        <f aca="false">'400 CRAC'!N10</f>
        <v>0.667206678634499</v>
      </c>
    </row>
    <row r="8" customFormat="false" ht="12.75" hidden="false" customHeight="false" outlineLevel="0" collapsed="false">
      <c r="B8" s="11"/>
      <c r="C8" s="3"/>
      <c r="D8" s="12"/>
      <c r="F8" s="11"/>
      <c r="G8" s="3"/>
      <c r="H8" s="12"/>
    </row>
    <row r="9" customFormat="false" ht="12.75" hidden="false" customHeight="false" outlineLevel="0" collapsed="false">
      <c r="A9" s="0" t="s">
        <v>46</v>
      </c>
      <c r="B9" s="11" t="n">
        <f aca="false">'125 CRAC'!L12</f>
        <v>1.8</v>
      </c>
      <c r="C9" s="3" t="n">
        <f aca="false">'125 CRAC'!M13</f>
        <v>-23.49432</v>
      </c>
      <c r="D9" s="12" t="n">
        <f aca="false">'125 CRAC'!N13</f>
        <v>0.193026017488934</v>
      </c>
      <c r="E9" s="13"/>
      <c r="F9" s="11" t="n">
        <f aca="false">'400 CRAC'!L12</f>
        <v>6.37</v>
      </c>
      <c r="G9" s="3" t="n">
        <f aca="false">'400 CRAC'!M13</f>
        <v>-83.143788</v>
      </c>
      <c r="H9" s="12" t="n">
        <f aca="false">'400 CRAC'!N13</f>
        <v>0.213114993359312</v>
      </c>
    </row>
    <row r="14" customFormat="false" ht="12.75" hidden="false" customHeight="false" outlineLevel="0" collapsed="false">
      <c r="A14" s="9" t="s">
        <v>47</v>
      </c>
    </row>
    <row r="15" customFormat="false" ht="12.75" hidden="false" customHeight="false" outlineLevel="0" collapsed="false">
      <c r="B15" s="0" t="s">
        <v>48</v>
      </c>
      <c r="F15" s="0" t="s">
        <v>49</v>
      </c>
    </row>
    <row r="16" customFormat="false" ht="12.75" hidden="false" customHeight="false" outlineLevel="0" collapsed="false">
      <c r="B16" s="0" t="s">
        <v>50</v>
      </c>
      <c r="F16" s="0" t="s">
        <v>51</v>
      </c>
    </row>
    <row r="17" customFormat="false" ht="12.75" hidden="false" customHeight="false" outlineLevel="0" collapsed="false">
      <c r="B17" s="0" t="s">
        <v>52</v>
      </c>
      <c r="F17" s="0" t="s">
        <v>53</v>
      </c>
    </row>
    <row r="18" customFormat="false" ht="12.75" hidden="false" customHeight="false" outlineLevel="0" collapsed="false">
      <c r="B18" s="0" t="s">
        <v>54</v>
      </c>
      <c r="D18" s="0" t="s">
        <v>55</v>
      </c>
      <c r="F18" s="0" t="s">
        <v>54</v>
      </c>
      <c r="H18" s="0" t="s">
        <v>55</v>
      </c>
    </row>
    <row r="19" customFormat="false" ht="12.75" hidden="false" customHeight="false" outlineLevel="0" collapsed="false">
      <c r="B19" s="14" t="n">
        <v>28.1</v>
      </c>
      <c r="C19" s="15" t="n">
        <v>42</v>
      </c>
      <c r="D19" s="2" t="s">
        <v>56</v>
      </c>
      <c r="E19" s="2" t="s">
        <v>57</v>
      </c>
      <c r="F19" s="14" t="n">
        <v>28.1</v>
      </c>
      <c r="G19" s="15" t="n">
        <v>42</v>
      </c>
      <c r="H19" s="2" t="s">
        <v>56</v>
      </c>
      <c r="I19" s="2" t="s">
        <v>57</v>
      </c>
    </row>
    <row r="20" customFormat="false" ht="12.75" hidden="false" customHeight="false" outlineLevel="0" collapsed="false">
      <c r="A20" s="0" t="s">
        <v>44</v>
      </c>
      <c r="B20" s="16" t="n">
        <f aca="false">'Rate Case Assumptions'!F6</f>
        <v>147.299</v>
      </c>
      <c r="C20" s="16" t="n">
        <f aca="false">'New Load Forecasts'!H6</f>
        <v>269.063</v>
      </c>
      <c r="D20" s="16" t="n">
        <f aca="false">C20-B20</f>
        <v>121.764</v>
      </c>
      <c r="E20" s="17" t="n">
        <f aca="false">D20/B20</f>
        <v>0.826645123184815</v>
      </c>
      <c r="F20" s="16" t="n">
        <f aca="false">'New Load Forecasts'!F6</f>
        <v>147.299</v>
      </c>
      <c r="G20" s="16" t="n">
        <f aca="false">'1900 Sheet'!H6</f>
        <v>378.651</v>
      </c>
      <c r="H20" s="16" t="n">
        <f aca="false">G20-F20</f>
        <v>231.352</v>
      </c>
      <c r="I20" s="17" t="n">
        <f aca="false">H20/F20</f>
        <v>1.57062844961609</v>
      </c>
    </row>
    <row r="21" customFormat="false" ht="12.75" hidden="false" customHeight="false" outlineLevel="0" collapsed="false">
      <c r="B21" s="16"/>
      <c r="C21" s="16"/>
      <c r="D21" s="16"/>
      <c r="E21" s="2"/>
      <c r="F21" s="16"/>
      <c r="G21" s="16"/>
      <c r="H21" s="2"/>
      <c r="I21" s="2"/>
    </row>
    <row r="22" customFormat="false" ht="12.75" hidden="false" customHeight="false" outlineLevel="0" collapsed="false">
      <c r="A22" s="0" t="s">
        <v>58</v>
      </c>
      <c r="B22" s="16" t="n">
        <f aca="false">'Rate Case Assumptions'!F10</f>
        <v>342.7131</v>
      </c>
      <c r="C22" s="16" t="n">
        <f aca="false">'New Load Forecasts'!H10</f>
        <v>1141.428</v>
      </c>
      <c r="D22" s="16" t="n">
        <f aca="false">C22-B22</f>
        <v>798.7149</v>
      </c>
      <c r="E22" s="17" t="n">
        <f aca="false">D22/B22</f>
        <v>2.33056425330692</v>
      </c>
      <c r="F22" s="16" t="n">
        <f aca="false">'New Load Forecasts'!F10</f>
        <v>447.3732</v>
      </c>
      <c r="G22" s="16" t="n">
        <f aca="false">'1900 Sheet'!H10</f>
        <v>1141.428</v>
      </c>
      <c r="H22" s="16" t="n">
        <f aca="false">G22-F22</f>
        <v>694.0548</v>
      </c>
      <c r="I22" s="17" t="n">
        <f aca="false">H22/F22</f>
        <v>1.55140003916193</v>
      </c>
    </row>
    <row r="23" customFormat="false" ht="12.75" hidden="false" customHeight="false" outlineLevel="0" collapsed="false">
      <c r="B23" s="16"/>
      <c r="C23" s="16"/>
      <c r="D23" s="16"/>
      <c r="E23" s="2"/>
      <c r="F23" s="16"/>
      <c r="G23" s="16"/>
      <c r="H23" s="2"/>
      <c r="I23" s="2"/>
    </row>
    <row r="24" customFormat="false" ht="12.75" hidden="false" customHeight="false" outlineLevel="0" collapsed="false">
      <c r="A24" s="0" t="s">
        <v>46</v>
      </c>
      <c r="B24" s="16" t="n">
        <f aca="false">'Rate Case Assumptions'!F13</f>
        <v>66.56724</v>
      </c>
      <c r="C24" s="16" t="n">
        <f aca="false">'New Load Forecasts'!H13</f>
        <v>247.9956</v>
      </c>
      <c r="D24" s="16" t="n">
        <f aca="false">C24-B24</f>
        <v>181.42836</v>
      </c>
      <c r="E24" s="17" t="n">
        <f aca="false">D24/B24</f>
        <v>2.72549019607843</v>
      </c>
      <c r="F24" s="16" t="n">
        <f aca="false">'New Load Forecasts'!F13</f>
        <v>66.56724</v>
      </c>
      <c r="G24" s="16" t="n">
        <f aca="false">'1900 Sheet'!H13</f>
        <v>247.9956</v>
      </c>
      <c r="H24" s="16" t="n">
        <f aca="false">G24-F24</f>
        <v>181.42836</v>
      </c>
      <c r="I24" s="17" t="n">
        <f aca="false">H24/F24</f>
        <v>2.72549019607843</v>
      </c>
    </row>
    <row r="25" customFormat="false" ht="12.75" hidden="false" customHeight="false" outlineLevel="0" collapsed="false">
      <c r="A25" s="0" t="s">
        <v>59</v>
      </c>
      <c r="B25" s="16"/>
      <c r="C25" s="16"/>
      <c r="D25" s="16"/>
      <c r="E25" s="17"/>
      <c r="F25" s="16"/>
      <c r="G25" s="16"/>
      <c r="H25" s="16"/>
      <c r="I25" s="17"/>
    </row>
    <row r="26" customFormat="false" ht="12.75" hidden="false" customHeight="false" outlineLevel="0" collapsed="false">
      <c r="A26" s="0" t="s">
        <v>60</v>
      </c>
    </row>
    <row r="27" customFormat="false" ht="12.75" hidden="false" customHeight="false" outlineLevel="0" collapsed="false">
      <c r="A27" s="0" t="s">
        <v>61</v>
      </c>
    </row>
    <row r="30" customFormat="false" ht="12.75" hidden="false" customHeight="false" outlineLevel="0" collapsed="false">
      <c r="A30" s="9" t="s">
        <v>62</v>
      </c>
    </row>
    <row r="32" customFormat="false" ht="12.75" hidden="false" customHeight="false" outlineLevel="0" collapsed="false">
      <c r="D32" s="0" t="s">
        <v>63</v>
      </c>
      <c r="F32" s="0" t="s">
        <v>64</v>
      </c>
    </row>
    <row r="33" customFormat="false" ht="12.75" hidden="false" customHeight="false" outlineLevel="0" collapsed="false">
      <c r="D33" s="0" t="s">
        <v>65</v>
      </c>
      <c r="F33" s="0" t="s">
        <v>65</v>
      </c>
    </row>
    <row r="34" customFormat="false" ht="12.75" hidden="false" customHeight="false" outlineLevel="0" collapsed="false">
      <c r="A34" s="0" t="s">
        <v>66</v>
      </c>
      <c r="D34" s="0" t="n">
        <v>169</v>
      </c>
      <c r="F34" s="3" t="n">
        <f aca="false">'New Load Forecasts'!H6</f>
        <v>269.063</v>
      </c>
    </row>
    <row r="36" customFormat="false" ht="12.75" hidden="false" customHeight="false" outlineLevel="0" collapsed="false">
      <c r="A36" s="0" t="s">
        <v>67</v>
      </c>
      <c r="D36" s="0" t="n">
        <v>102</v>
      </c>
      <c r="F36" s="0" t="n">
        <v>246</v>
      </c>
    </row>
    <row r="38" customFormat="false" ht="12.75" hidden="false" customHeight="false" outlineLevel="0" collapsed="false">
      <c r="A38" s="0" t="s">
        <v>68</v>
      </c>
      <c r="D38" s="0" t="n">
        <v>172</v>
      </c>
      <c r="F38" s="0" t="n">
        <v>304</v>
      </c>
    </row>
    <row r="40" customFormat="false" ht="12.75" hidden="false" customHeight="false" outlineLevel="0" collapsed="false">
      <c r="A40" s="0" t="s">
        <v>69</v>
      </c>
      <c r="D40" s="0" t="n">
        <v>40</v>
      </c>
      <c r="F40" s="0" t="n">
        <v>261</v>
      </c>
    </row>
    <row r="42" customFormat="false" ht="12.75" hidden="false" customHeight="false" outlineLevel="0" collapsed="false">
      <c r="A42" s="0" t="s">
        <v>70</v>
      </c>
      <c r="B42" s="0" t="s">
        <v>71</v>
      </c>
    </row>
    <row r="43" customFormat="false" ht="12.75" hidden="false" customHeight="false" outlineLevel="0" collapsed="false">
      <c r="B43" s="0" t="s">
        <v>72</v>
      </c>
    </row>
    <row r="44" customFormat="false" ht="12.75" hidden="false" customHeight="false" outlineLevel="0" collapsed="false">
      <c r="A44" s="0" t="s">
        <v>73</v>
      </c>
    </row>
    <row r="45" customFormat="false" ht="12.75" hidden="false" customHeight="false" outlineLevel="0" collapsed="false">
      <c r="A45" s="0" t="s">
        <v>74</v>
      </c>
    </row>
    <row r="46" customFormat="false" ht="12.75" hidden="false" customHeight="false" outlineLevel="0" collapsed="false">
      <c r="A46" s="0" t="s">
        <v>75</v>
      </c>
    </row>
    <row r="47" customFormat="false" ht="12.75" hidden="false" customHeight="false" outlineLevel="0" collapsed="false">
      <c r="A47" s="0" t="s">
        <v>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6.28"/>
    <col collapsed="false" customWidth="true" hidden="false" outlineLevel="0" max="4" min="4" style="0" width="10.56"/>
    <col collapsed="false" customWidth="true" hidden="false" outlineLevel="0" max="7" min="7" style="0" width="7.7"/>
    <col collapsed="false" customWidth="true" hidden="false" outlineLevel="0" max="8" min="8" style="0" width="10.28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0" t="s">
        <v>77</v>
      </c>
    </row>
    <row r="2" customFormat="false" ht="25.5" hidden="false" customHeight="false" outlineLevel="0" collapsed="false">
      <c r="A2" s="18"/>
      <c r="B2" s="18"/>
      <c r="C2" s="18" t="s">
        <v>78</v>
      </c>
      <c r="D2" s="18" t="s">
        <v>79</v>
      </c>
      <c r="E2" s="18" t="s">
        <v>80</v>
      </c>
      <c r="F2" s="18" t="s">
        <v>81</v>
      </c>
      <c r="G2" s="19"/>
      <c r="H2" s="19"/>
      <c r="I2" s="19"/>
      <c r="J2" s="19"/>
      <c r="K2" s="19"/>
      <c r="L2" s="19"/>
    </row>
    <row r="3" customFormat="false" ht="12.75" hidden="false" customHeight="false" outlineLevel="0" collapsed="false">
      <c r="A3" s="0" t="s">
        <v>44</v>
      </c>
      <c r="G3" s="20"/>
      <c r="H3" s="20"/>
      <c r="I3" s="20"/>
      <c r="J3" s="20"/>
      <c r="K3" s="20"/>
      <c r="L3" s="20"/>
    </row>
    <row r="4" customFormat="false" ht="12.75" hidden="false" customHeight="false" outlineLevel="0" collapsed="false">
      <c r="B4" s="0" t="s">
        <v>82</v>
      </c>
      <c r="C4" s="0" t="n">
        <v>900</v>
      </c>
      <c r="D4" s="0" t="n">
        <f aca="false">(28.1-19.25)</f>
        <v>8.85</v>
      </c>
      <c r="F4" s="21" t="n">
        <f aca="false">ROUND(C4*D4*8760/1000000,3)</f>
        <v>69.773</v>
      </c>
      <c r="G4" s="20"/>
      <c r="H4" s="20"/>
      <c r="I4" s="20"/>
      <c r="J4" s="20"/>
      <c r="K4" s="20"/>
      <c r="L4" s="20"/>
    </row>
    <row r="5" customFormat="false" ht="12.75" hidden="false" customHeight="false" outlineLevel="0" collapsed="false">
      <c r="B5" s="0" t="s">
        <v>83</v>
      </c>
      <c r="C5" s="0" t="n">
        <v>1000</v>
      </c>
      <c r="D5" s="0" t="n">
        <v>19.25</v>
      </c>
      <c r="E5" s="0" t="n">
        <v>28.1</v>
      </c>
      <c r="F5" s="21" t="n">
        <f aca="false">ROUND((E5-D5)*C5*8760/1000000,3)</f>
        <v>77.526</v>
      </c>
      <c r="G5" s="20"/>
      <c r="H5" s="20"/>
      <c r="I5" s="20"/>
      <c r="J5" s="20"/>
      <c r="K5" s="20"/>
      <c r="L5" s="20"/>
    </row>
    <row r="6" customFormat="false" ht="13.5" hidden="false" customHeight="false" outlineLevel="0" collapsed="false">
      <c r="E6" s="22" t="n">
        <f aca="false">F6/(F$6+F$10+F$13)</f>
        <v>0.264650498884849</v>
      </c>
      <c r="F6" s="23" t="n">
        <f aca="false">SUM(F4:F5)</f>
        <v>147.299</v>
      </c>
      <c r="G6" s="22"/>
      <c r="H6" s="24"/>
      <c r="I6" s="20"/>
      <c r="J6" s="22"/>
      <c r="K6" s="24"/>
      <c r="L6" s="25"/>
    </row>
    <row r="7" customFormat="false" ht="13.5" hidden="false" customHeight="false" outlineLevel="0" collapsed="false">
      <c r="A7" s="0" t="s">
        <v>45</v>
      </c>
      <c r="G7" s="20"/>
      <c r="H7" s="20"/>
      <c r="I7" s="20"/>
      <c r="J7" s="20"/>
      <c r="K7" s="20"/>
      <c r="L7" s="20"/>
    </row>
    <row r="8" customFormat="false" ht="12.75" hidden="false" customHeight="false" outlineLevel="0" collapsed="false">
      <c r="B8" s="0" t="s">
        <v>84</v>
      </c>
      <c r="C8" s="0" t="n">
        <v>4225</v>
      </c>
      <c r="D8" s="0" t="n">
        <v>19.25</v>
      </c>
      <c r="E8" s="0" t="n">
        <v>28.1</v>
      </c>
      <c r="F8" s="21" t="n">
        <f aca="false">(E8-D8)*C8*8760/1000000</f>
        <v>327.54735</v>
      </c>
      <c r="G8" s="20"/>
      <c r="H8" s="24"/>
      <c r="I8" s="20"/>
      <c r="J8" s="20"/>
      <c r="K8" s="24"/>
      <c r="L8" s="20"/>
    </row>
    <row r="9" customFormat="false" ht="12.75" hidden="false" customHeight="false" outlineLevel="0" collapsed="false">
      <c r="B9" s="0" t="s">
        <v>85</v>
      </c>
      <c r="C9" s="0" t="n">
        <v>125</v>
      </c>
      <c r="D9" s="0" t="n">
        <v>14.25</v>
      </c>
      <c r="E9" s="0" t="n">
        <v>28.1</v>
      </c>
      <c r="F9" s="21" t="n">
        <f aca="false">(E9-D9)*C9*8760/1000000</f>
        <v>15.16575</v>
      </c>
      <c r="G9" s="20"/>
      <c r="H9" s="24"/>
      <c r="I9" s="20"/>
      <c r="J9" s="20"/>
      <c r="K9" s="24"/>
      <c r="L9" s="20"/>
    </row>
    <row r="10" customFormat="false" ht="13.5" hidden="false" customHeight="false" outlineLevel="0" collapsed="false">
      <c r="E10" s="22" t="n">
        <f aca="false">F10/(F$6+F$10+F$13)</f>
        <v>0.615748870592286</v>
      </c>
      <c r="F10" s="23" t="n">
        <f aca="false">SUM(F8:F9)</f>
        <v>342.7131</v>
      </c>
      <c r="G10" s="22"/>
      <c r="H10" s="24"/>
      <c r="I10" s="20"/>
      <c r="J10" s="22"/>
      <c r="K10" s="24"/>
      <c r="L10" s="20"/>
    </row>
    <row r="11" customFormat="false" ht="13.5" hidden="false" customHeight="false" outlineLevel="0" collapsed="false">
      <c r="A11" s="0" t="s">
        <v>46</v>
      </c>
      <c r="G11" s="20"/>
      <c r="H11" s="20"/>
      <c r="I11" s="20"/>
      <c r="J11" s="20"/>
      <c r="K11" s="20"/>
      <c r="L11" s="20"/>
    </row>
    <row r="12" customFormat="false" ht="12.75" hidden="false" customHeight="false" outlineLevel="0" collapsed="false">
      <c r="B12" s="0" t="s">
        <v>86</v>
      </c>
      <c r="C12" s="0" t="n">
        <v>1490</v>
      </c>
      <c r="D12" s="0" t="n">
        <v>23</v>
      </c>
      <c r="E12" s="0" t="n">
        <v>28.1</v>
      </c>
      <c r="G12" s="20"/>
      <c r="H12" s="20"/>
      <c r="I12" s="20"/>
      <c r="J12" s="20"/>
      <c r="K12" s="20"/>
      <c r="L12" s="20"/>
    </row>
    <row r="13" customFormat="false" ht="13.5" hidden="false" customHeight="false" outlineLevel="0" collapsed="false">
      <c r="E13" s="22" t="n">
        <f aca="false">F13/(F$6+F$10+F$13)</f>
        <v>0.119600630522865</v>
      </c>
      <c r="F13" s="23" t="n">
        <f aca="false">(E12-D12)*C12*8760/1000000</f>
        <v>66.56724</v>
      </c>
      <c r="G13" s="22"/>
      <c r="H13" s="20"/>
      <c r="I13" s="20"/>
      <c r="J13" s="22"/>
      <c r="K13" s="24"/>
      <c r="L13" s="20"/>
    </row>
    <row r="14" customFormat="false" ht="13.5" hidden="false" customHeight="false" outlineLevel="0" collapsed="false"/>
    <row r="15" customFormat="false" ht="12.75" hidden="false" customHeight="false" outlineLevel="0" collapsed="false">
      <c r="H15" s="26"/>
      <c r="K15" s="21"/>
    </row>
    <row r="16" customFormat="false" ht="12.75" hidden="false" customHeight="false" outlineLevel="0" collapsed="false">
      <c r="H16" s="27"/>
    </row>
    <row r="19" customFormat="false" ht="12.75" hidden="false" customHeight="false" outlineLevel="0" collapsed="false">
      <c r="F19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6.28"/>
    <col collapsed="false" customWidth="true" hidden="false" outlineLevel="0" max="4" min="4" style="0" width="10.56"/>
    <col collapsed="false" customWidth="true" hidden="false" outlineLevel="0" max="7" min="7" style="0" width="7.7"/>
    <col collapsed="false" customWidth="true" hidden="false" outlineLevel="0" max="8" min="8" style="0" width="10.28"/>
    <col collapsed="false" customWidth="true" hidden="false" outlineLevel="0" max="9" min="9" style="0" width="12.7"/>
  </cols>
  <sheetData>
    <row r="1" customFormat="false" ht="13.5" hidden="false" customHeight="false" outlineLevel="0" collapsed="false">
      <c r="D1" s="28" t="s">
        <v>87</v>
      </c>
      <c r="E1" s="29"/>
      <c r="F1" s="30"/>
      <c r="G1" s="28" t="s">
        <v>88</v>
      </c>
      <c r="H1" s="30"/>
      <c r="I1" s="28" t="s">
        <v>89</v>
      </c>
      <c r="J1" s="29"/>
      <c r="K1" s="30"/>
    </row>
    <row r="2" customFormat="false" ht="25.5" hidden="false" customHeight="false" outlineLevel="0" collapsed="false">
      <c r="A2" s="18"/>
      <c r="B2" s="18"/>
      <c r="C2" s="18" t="s">
        <v>78</v>
      </c>
      <c r="D2" s="18" t="s">
        <v>79</v>
      </c>
      <c r="E2" s="18" t="s">
        <v>80</v>
      </c>
      <c r="F2" s="18" t="s">
        <v>81</v>
      </c>
      <c r="G2" s="18" t="s">
        <v>80</v>
      </c>
      <c r="H2" s="18" t="s">
        <v>81</v>
      </c>
      <c r="I2" s="18" t="s">
        <v>90</v>
      </c>
      <c r="J2" s="18" t="s">
        <v>80</v>
      </c>
      <c r="K2" s="18" t="s">
        <v>81</v>
      </c>
      <c r="L2" s="18" t="s">
        <v>91</v>
      </c>
    </row>
    <row r="3" customFormat="false" ht="12.75" hidden="false" customHeight="false" outlineLevel="0" collapsed="false">
      <c r="A3" s="0" t="s">
        <v>44</v>
      </c>
    </row>
    <row r="4" customFormat="false" ht="12.75" hidden="false" customHeight="false" outlineLevel="0" collapsed="false">
      <c r="B4" s="0" t="s">
        <v>82</v>
      </c>
      <c r="C4" s="0" t="n">
        <v>900</v>
      </c>
      <c r="D4" s="0" t="n">
        <f aca="false">(28.1-19.25)</f>
        <v>8.85</v>
      </c>
      <c r="F4" s="21" t="n">
        <f aca="false">ROUND(C4*D4*8760/1000000,3)</f>
        <v>69.773</v>
      </c>
      <c r="H4" s="0" t="n">
        <f aca="false">F4</f>
        <v>69.773</v>
      </c>
      <c r="K4" s="0" t="n">
        <f aca="false">H4</f>
        <v>69.773</v>
      </c>
    </row>
    <row r="5" customFormat="false" ht="12.75" hidden="false" customHeight="false" outlineLevel="0" collapsed="false">
      <c r="B5" s="0" t="s">
        <v>83</v>
      </c>
      <c r="C5" s="0" t="n">
        <v>1000</v>
      </c>
      <c r="D5" s="0" t="n">
        <v>19.25</v>
      </c>
      <c r="E5" s="0" t="n">
        <v>28.1</v>
      </c>
      <c r="F5" s="21" t="n">
        <f aca="false">ROUND((E5-D5)*C5*8760/1000000,3)</f>
        <v>77.526</v>
      </c>
      <c r="G5" s="0" t="n">
        <v>42</v>
      </c>
      <c r="H5" s="0" t="n">
        <f aca="false">(G5-D5)*C5*8760/1000000</f>
        <v>199.29</v>
      </c>
      <c r="I5" s="0" t="n">
        <f aca="false">ROUND(D5*$H$16,2)</f>
        <v>24.58</v>
      </c>
      <c r="J5" s="0" t="n">
        <f aca="false">G5</f>
        <v>42</v>
      </c>
      <c r="K5" s="0" t="n">
        <f aca="false">(J5-I5)*C5*8760/1000000</f>
        <v>152.5992</v>
      </c>
      <c r="L5" s="0" t="n">
        <f aca="false">I5-D5</f>
        <v>5.33</v>
      </c>
    </row>
    <row r="6" customFormat="false" ht="13.5" hidden="false" customHeight="false" outlineLevel="0" collapsed="false">
      <c r="E6" s="22" t="n">
        <f aca="false">F6/(F$6+F$10+F$13)</f>
        <v>0.222761969552209</v>
      </c>
      <c r="F6" s="23" t="n">
        <f aca="false">SUM(F4:F5)</f>
        <v>147.299</v>
      </c>
      <c r="G6" s="22" t="n">
        <f aca="false">H6/(H$6+H$10+H$13)</f>
        <v>0.162234051212714</v>
      </c>
      <c r="H6" s="23" t="n">
        <f aca="false">SUM(H4:H5)</f>
        <v>269.063</v>
      </c>
      <c r="J6" s="22" t="n">
        <f aca="false">K6/(K$6+K$10+K$13)</f>
        <v>0.17532389276638</v>
      </c>
      <c r="K6" s="23" t="n">
        <f aca="false">SUM(K4:K5)</f>
        <v>222.3722</v>
      </c>
      <c r="L6" s="31" t="n">
        <f aca="false">(I5-D5)*C5/(C5+C4)</f>
        <v>2.80526315789474</v>
      </c>
    </row>
    <row r="7" customFormat="false" ht="13.5" hidden="false" customHeight="false" outlineLevel="0" collapsed="false">
      <c r="A7" s="0" t="s">
        <v>45</v>
      </c>
    </row>
    <row r="8" customFormat="false" ht="12.75" hidden="false" customHeight="false" outlineLevel="0" collapsed="false">
      <c r="B8" s="0" t="s">
        <v>84</v>
      </c>
      <c r="C8" s="0" t="n">
        <v>5575</v>
      </c>
      <c r="D8" s="0" t="n">
        <v>19.25</v>
      </c>
      <c r="E8" s="0" t="n">
        <v>28.1</v>
      </c>
      <c r="F8" s="21" t="n">
        <f aca="false">(E8-D8)*C8*8760/1000000</f>
        <v>432.20745</v>
      </c>
      <c r="G8" s="0" t="n">
        <f aca="false">G5</f>
        <v>42</v>
      </c>
      <c r="H8" s="21" t="n">
        <f aca="false">(G8-D8)*C8*8760/1000000</f>
        <v>1111.04175</v>
      </c>
      <c r="I8" s="0" t="n">
        <f aca="false">ROUND(D8*$H$16,2)</f>
        <v>24.58</v>
      </c>
      <c r="J8" s="0" t="n">
        <f aca="false">G5</f>
        <v>42</v>
      </c>
      <c r="K8" s="21" t="n">
        <f aca="false">(J8-I8)*C8*8760/1000000</f>
        <v>850.74054</v>
      </c>
      <c r="L8" s="0" t="n">
        <f aca="false">I8-D8</f>
        <v>5.33</v>
      </c>
    </row>
    <row r="9" customFormat="false" ht="12.75" hidden="false" customHeight="false" outlineLevel="0" collapsed="false">
      <c r="B9" s="0" t="s">
        <v>85</v>
      </c>
      <c r="C9" s="0" t="n">
        <v>125</v>
      </c>
      <c r="D9" s="0" t="n">
        <v>14.25</v>
      </c>
      <c r="E9" s="0" t="n">
        <v>28.1</v>
      </c>
      <c r="F9" s="21" t="n">
        <f aca="false">(E9-D9)*C9*8760/1000000</f>
        <v>15.16575</v>
      </c>
      <c r="G9" s="0" t="n">
        <f aca="false">G5</f>
        <v>42</v>
      </c>
      <c r="H9" s="21" t="n">
        <f aca="false">(G9-D9)*C9*8760/1000000</f>
        <v>30.38625</v>
      </c>
      <c r="I9" s="0" t="n">
        <f aca="false">D9</f>
        <v>14.25</v>
      </c>
      <c r="J9" s="0" t="n">
        <f aca="false">G5</f>
        <v>42</v>
      </c>
      <c r="K9" s="21" t="n">
        <f aca="false">(J9-I9)*C9*8760/1000000</f>
        <v>30.38625</v>
      </c>
    </row>
    <row r="10" customFormat="false" ht="13.5" hidden="false" customHeight="false" outlineLevel="0" collapsed="false">
      <c r="E10" s="22" t="n">
        <f aca="false">F10/(F$6+F$10+F$13)</f>
        <v>0.676567628815365</v>
      </c>
      <c r="F10" s="23" t="n">
        <f aca="false">SUM(F8:F9)</f>
        <v>447.3732</v>
      </c>
      <c r="G10" s="22" t="n">
        <f aca="false">H10/(H$6+H$10+H$13)</f>
        <v>0.688234683355295</v>
      </c>
      <c r="H10" s="23" t="n">
        <f aca="false">SUM(H8:H9)</f>
        <v>1141.428</v>
      </c>
      <c r="J10" s="22" t="n">
        <f aca="false">K10/(K$6+K$10+K$13)</f>
        <v>0.694702749910036</v>
      </c>
      <c r="K10" s="23" t="n">
        <f aca="false">SUM(K8:K9)</f>
        <v>881.12679</v>
      </c>
      <c r="L10" s="0" t="n">
        <f aca="false">(I8-D8)*C8/(C8+C9)</f>
        <v>5.21311403508772</v>
      </c>
    </row>
    <row r="11" customFormat="false" ht="13.5" hidden="false" customHeight="false" outlineLevel="0" collapsed="false">
      <c r="A11" s="0" t="s">
        <v>46</v>
      </c>
    </row>
    <row r="12" customFormat="false" ht="12.75" hidden="false" customHeight="false" outlineLevel="0" collapsed="false">
      <c r="B12" s="0" t="s">
        <v>86</v>
      </c>
      <c r="C12" s="0" t="n">
        <v>1490</v>
      </c>
      <c r="D12" s="0" t="n">
        <v>23</v>
      </c>
      <c r="E12" s="0" t="n">
        <v>28.1</v>
      </c>
      <c r="G12" s="0" t="n">
        <f aca="false">G5</f>
        <v>42</v>
      </c>
      <c r="I12" s="0" t="n">
        <f aca="false">ROUND(D12*$H$16,2)</f>
        <v>29.37</v>
      </c>
      <c r="J12" s="0" t="n">
        <f aca="false">G5</f>
        <v>42</v>
      </c>
      <c r="L12" s="0" t="n">
        <f aca="false">I12-D12</f>
        <v>6.37</v>
      </c>
    </row>
    <row r="13" customFormat="false" ht="13.5" hidden="false" customHeight="false" outlineLevel="0" collapsed="false">
      <c r="E13" s="22" t="n">
        <f aca="false">F13/(F$6+F$10+F$13)</f>
        <v>0.100670401632425</v>
      </c>
      <c r="F13" s="23" t="n">
        <f aca="false">(E12-D12)*C12*8760/1000000</f>
        <v>66.56724</v>
      </c>
      <c r="G13" s="22" t="n">
        <f aca="false">H13/(H$6+H$10+H$13)</f>
        <v>0.149531265431991</v>
      </c>
      <c r="H13" s="32" t="n">
        <f aca="false">(G12-D12)*C12*8760/1000000</f>
        <v>247.9956</v>
      </c>
      <c r="J13" s="22" t="n">
        <f aca="false">K13/(K$6+K$10+K$13)</f>
        <v>0.129973357323584</v>
      </c>
      <c r="K13" s="23" t="n">
        <f aca="false">(J12-I12)*C12*8760/1000000</f>
        <v>164.851812</v>
      </c>
    </row>
    <row r="14" customFormat="false" ht="13.5" hidden="false" customHeight="false" outlineLevel="0" collapsed="false"/>
    <row r="15" customFormat="false" ht="12.75" hidden="false" customHeight="false" outlineLevel="0" collapsed="false">
      <c r="E15" s="0" t="s">
        <v>92</v>
      </c>
      <c r="H15" s="26" t="n">
        <f aca="false">SUM(C5*(D5+0.5)*8760/1000000,C8*(D8+0.5)*8760/1000000,C12*(D12+0.5)*8760/1000000)</f>
        <v>1444.27215</v>
      </c>
      <c r="I15" s="0" t="s">
        <v>93</v>
      </c>
      <c r="J15" s="0" t="s">
        <v>94</v>
      </c>
      <c r="K15" s="21" t="n">
        <f aca="false">SUM(K13,K10,K6)</f>
        <v>1268.350802</v>
      </c>
    </row>
    <row r="16" customFormat="false" ht="12.75" hidden="false" customHeight="false" outlineLevel="0" collapsed="false">
      <c r="F16" s="0" t="s">
        <v>95</v>
      </c>
      <c r="H16" s="27" t="n">
        <f aca="false">1+H17/H15</f>
        <v>1.27695611246121</v>
      </c>
    </row>
    <row r="17" customFormat="false" ht="12.75" hidden="false" customHeight="false" outlineLevel="0" collapsed="false">
      <c r="G17" s="0" t="s">
        <v>42</v>
      </c>
      <c r="H17" s="0" t="n">
        <v>400</v>
      </c>
    </row>
    <row r="19" customFormat="false" ht="12.75" hidden="false" customHeight="false" outlineLevel="0" collapsed="false">
      <c r="F19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6.28"/>
    <col collapsed="false" customWidth="true" hidden="false" outlineLevel="0" max="4" min="4" style="0" width="10.56"/>
    <col collapsed="false" customWidth="true" hidden="false" outlineLevel="0" max="7" min="7" style="0" width="7.7"/>
    <col collapsed="false" customWidth="true" hidden="false" outlineLevel="0" max="8" min="8" style="0" width="10.28"/>
    <col collapsed="false" customWidth="true" hidden="false" outlineLevel="0" max="9" min="9" style="0" width="12.7"/>
    <col collapsed="false" customWidth="true" hidden="false" outlineLevel="0" max="12" min="12" style="0" width="8.28"/>
  </cols>
  <sheetData>
    <row r="1" customFormat="false" ht="13.5" hidden="false" customHeight="false" outlineLevel="0" collapsed="false">
      <c r="D1" s="28" t="s">
        <v>87</v>
      </c>
      <c r="E1" s="29"/>
      <c r="F1" s="30"/>
      <c r="G1" s="28" t="s">
        <v>88</v>
      </c>
      <c r="H1" s="30"/>
      <c r="I1" s="28" t="s">
        <v>96</v>
      </c>
      <c r="J1" s="29"/>
      <c r="K1" s="30"/>
    </row>
    <row r="2" customFormat="false" ht="25.5" hidden="false" customHeight="false" outlineLevel="0" collapsed="false">
      <c r="A2" s="18"/>
      <c r="B2" s="18"/>
      <c r="C2" s="18" t="s">
        <v>78</v>
      </c>
      <c r="D2" s="18" t="s">
        <v>79</v>
      </c>
      <c r="E2" s="18" t="s">
        <v>80</v>
      </c>
      <c r="F2" s="18" t="s">
        <v>81</v>
      </c>
      <c r="G2" s="18" t="s">
        <v>80</v>
      </c>
      <c r="H2" s="18" t="s">
        <v>81</v>
      </c>
      <c r="I2" s="18" t="s">
        <v>90</v>
      </c>
      <c r="J2" s="18" t="s">
        <v>80</v>
      </c>
      <c r="K2" s="18" t="s">
        <v>81</v>
      </c>
      <c r="L2" s="18" t="s">
        <v>91</v>
      </c>
    </row>
    <row r="3" customFormat="false" ht="12.75" hidden="false" customHeight="false" outlineLevel="0" collapsed="false">
      <c r="A3" s="0" t="s">
        <v>44</v>
      </c>
    </row>
    <row r="4" customFormat="false" ht="12.75" hidden="false" customHeight="false" outlineLevel="0" collapsed="false">
      <c r="B4" s="0" t="s">
        <v>82</v>
      </c>
      <c r="C4" s="0" t="n">
        <v>400</v>
      </c>
      <c r="D4" s="0" t="n">
        <f aca="false">(28.1-19.25)</f>
        <v>8.85</v>
      </c>
      <c r="F4" s="21" t="n">
        <f aca="false">ROUND(C4*D4*8760/1000000,3)</f>
        <v>31.01</v>
      </c>
      <c r="H4" s="0" t="n">
        <f aca="false">F4</f>
        <v>31.01</v>
      </c>
      <c r="K4" s="0" t="n">
        <f aca="false">H4</f>
        <v>31.01</v>
      </c>
    </row>
    <row r="5" customFormat="false" ht="12.75" hidden="false" customHeight="false" outlineLevel="0" collapsed="false">
      <c r="B5" s="0" t="s">
        <v>83</v>
      </c>
      <c r="C5" s="0" t="n">
        <v>1500</v>
      </c>
      <c r="D5" s="0" t="n">
        <v>19.25</v>
      </c>
      <c r="E5" s="0" t="n">
        <v>28.1</v>
      </c>
      <c r="F5" s="21" t="n">
        <f aca="false">ROUND((E5-D5)*C5*8760/1000000,3)</f>
        <v>116.289</v>
      </c>
      <c r="G5" s="0" t="n">
        <v>42</v>
      </c>
      <c r="H5" s="0" t="n">
        <f aca="false">(G5-D5)*C5*8760/1000000</f>
        <v>298.935</v>
      </c>
      <c r="I5" s="0" t="n">
        <f aca="false">ROUND(D5*$H$16,2)</f>
        <v>25.05</v>
      </c>
      <c r="J5" s="0" t="n">
        <f aca="false">G5</f>
        <v>42</v>
      </c>
      <c r="K5" s="0" t="n">
        <f aca="false">(J5-I5)*C5*8760/1000000</f>
        <v>222.723</v>
      </c>
      <c r="L5" s="0" t="n">
        <f aca="false">I5-D5</f>
        <v>5.8</v>
      </c>
    </row>
    <row r="6" customFormat="false" ht="13.5" hidden="false" customHeight="false" outlineLevel="0" collapsed="false">
      <c r="E6" s="22" t="n">
        <f aca="false">F6/(F$6+F$10+F$13)</f>
        <v>0.222761969552209</v>
      </c>
      <c r="F6" s="23" t="n">
        <f aca="false">SUM(F4:F5)</f>
        <v>147.299</v>
      </c>
      <c r="G6" s="22" t="n">
        <f aca="false">H6/(H$6+H$10+H$13)</f>
        <v>0.191898933131616</v>
      </c>
      <c r="H6" s="23" t="n">
        <f aca="false">SUM(H4:H5)</f>
        <v>329.945</v>
      </c>
      <c r="J6" s="22" t="n">
        <f aca="false">K6/(K$6+K$10+K$13)</f>
        <v>0.19987650262728</v>
      </c>
      <c r="K6" s="23" t="n">
        <f aca="false">SUM(K4:K5)</f>
        <v>253.733</v>
      </c>
      <c r="L6" s="31" t="n">
        <f aca="false">(I5-D5)*C5/(C5+C4)</f>
        <v>4.57894736842105</v>
      </c>
    </row>
    <row r="7" customFormat="false" ht="13.5" hidden="false" customHeight="false" outlineLevel="0" collapsed="false">
      <c r="A7" s="0" t="s">
        <v>45</v>
      </c>
    </row>
    <row r="8" customFormat="false" ht="12.75" hidden="false" customHeight="false" outlineLevel="0" collapsed="false">
      <c r="B8" s="0" t="s">
        <v>84</v>
      </c>
      <c r="C8" s="0" t="n">
        <v>5575</v>
      </c>
      <c r="D8" s="0" t="n">
        <v>19.25</v>
      </c>
      <c r="E8" s="0" t="n">
        <v>28.1</v>
      </c>
      <c r="F8" s="21" t="n">
        <f aca="false">(E8-D8)*C8*8760/1000000</f>
        <v>432.20745</v>
      </c>
      <c r="G8" s="0" t="n">
        <f aca="false">G5</f>
        <v>42</v>
      </c>
      <c r="H8" s="21" t="n">
        <f aca="false">(G8-D8)*C8*8760/1000000</f>
        <v>1111.04175</v>
      </c>
      <c r="I8" s="0" t="n">
        <f aca="false">ROUND(D8*$H$16,2)</f>
        <v>25.05</v>
      </c>
      <c r="J8" s="0" t="n">
        <f aca="false">G5</f>
        <v>42</v>
      </c>
      <c r="K8" s="21" t="n">
        <f aca="false">(J8-I8)*C8*8760/1000000</f>
        <v>827.78715</v>
      </c>
      <c r="L8" s="0" t="n">
        <f aca="false">I8-D8</f>
        <v>5.8</v>
      </c>
    </row>
    <row r="9" customFormat="false" ht="12.75" hidden="false" customHeight="false" outlineLevel="0" collapsed="false">
      <c r="B9" s="0" t="s">
        <v>85</v>
      </c>
      <c r="C9" s="0" t="n">
        <v>125</v>
      </c>
      <c r="D9" s="0" t="n">
        <v>14.25</v>
      </c>
      <c r="E9" s="0" t="n">
        <v>28.1</v>
      </c>
      <c r="F9" s="21" t="n">
        <f aca="false">(E9-D9)*C9*8760/1000000</f>
        <v>15.16575</v>
      </c>
      <c r="G9" s="0" t="n">
        <f aca="false">G5</f>
        <v>42</v>
      </c>
      <c r="H9" s="21" t="n">
        <f aca="false">(G9-D9)*C9*8760/1000000</f>
        <v>30.38625</v>
      </c>
      <c r="I9" s="0" t="n">
        <f aca="false">D9</f>
        <v>14.25</v>
      </c>
      <c r="J9" s="0" t="n">
        <f aca="false">G5</f>
        <v>42</v>
      </c>
      <c r="K9" s="21" t="n">
        <f aca="false">(J9-I9)*C9*8760/1000000</f>
        <v>30.38625</v>
      </c>
    </row>
    <row r="10" customFormat="false" ht="13.5" hidden="false" customHeight="false" outlineLevel="0" collapsed="false">
      <c r="E10" s="22" t="n">
        <f aca="false">F10/(F$6+F$10+F$13)</f>
        <v>0.676567628815365</v>
      </c>
      <c r="F10" s="23" t="n">
        <f aca="false">SUM(F8:F9)</f>
        <v>447.3732</v>
      </c>
      <c r="G10" s="22" t="n">
        <f aca="false">H10/(H$6+H$10+H$13)</f>
        <v>0.66386463030673</v>
      </c>
      <c r="H10" s="23" t="n">
        <f aca="false">SUM(H8:H9)</f>
        <v>1141.428</v>
      </c>
      <c r="J10" s="22" t="n">
        <f aca="false">K10/(K$6+K$10+K$13)</f>
        <v>0.676020453940804</v>
      </c>
      <c r="K10" s="23" t="n">
        <f aca="false">SUM(K8:K9)</f>
        <v>858.1734</v>
      </c>
      <c r="L10" s="0" t="n">
        <f aca="false">ROUND((I8-D8)*C8/(C8+C9),2)</f>
        <v>5.67</v>
      </c>
    </row>
    <row r="11" customFormat="false" ht="13.5" hidden="false" customHeight="false" outlineLevel="0" collapsed="false">
      <c r="A11" s="0" t="s">
        <v>46</v>
      </c>
    </row>
    <row r="12" customFormat="false" ht="12.75" hidden="false" customHeight="false" outlineLevel="0" collapsed="false">
      <c r="B12" s="0" t="s">
        <v>86</v>
      </c>
      <c r="C12" s="0" t="n">
        <v>1490</v>
      </c>
      <c r="D12" s="0" t="n">
        <v>23</v>
      </c>
      <c r="E12" s="0" t="n">
        <v>28.1</v>
      </c>
      <c r="G12" s="0" t="n">
        <f aca="false">G5</f>
        <v>42</v>
      </c>
      <c r="I12" s="0" t="n">
        <f aca="false">ROUND(D12*$H$16,2)</f>
        <v>29.93</v>
      </c>
      <c r="J12" s="0" t="n">
        <f aca="false">G5</f>
        <v>42</v>
      </c>
      <c r="L12" s="0" t="n">
        <f aca="false">I12-D12</f>
        <v>6.93</v>
      </c>
    </row>
    <row r="13" customFormat="false" ht="13.5" hidden="false" customHeight="false" outlineLevel="0" collapsed="false">
      <c r="E13" s="22" t="n">
        <f aca="false">F13/(F$6+F$10+F$13)</f>
        <v>0.100670401632425</v>
      </c>
      <c r="F13" s="23" t="n">
        <f aca="false">(E12-D12)*C12*8760/1000000</f>
        <v>66.56724</v>
      </c>
      <c r="G13" s="22" t="n">
        <f aca="false">H13/(H$6+H$10+H$13)</f>
        <v>0.144236436561654</v>
      </c>
      <c r="H13" s="32" t="n">
        <f aca="false">(G12-D12)*C12*8760/1000000</f>
        <v>247.9956</v>
      </c>
      <c r="J13" s="22" t="n">
        <f aca="false">K13/(K$6+K$10+K$13)</f>
        <v>0.124103043431916</v>
      </c>
      <c r="K13" s="23" t="n">
        <f aca="false">(J12-I12)*C12*8760/1000000</f>
        <v>157.542468</v>
      </c>
    </row>
    <row r="14" customFormat="false" ht="13.5" hidden="false" customHeight="false" outlineLevel="0" collapsed="false"/>
    <row r="15" customFormat="false" ht="12.75" hidden="false" customHeight="false" outlineLevel="0" collapsed="false">
      <c r="E15" s="0" t="s">
        <v>92</v>
      </c>
      <c r="H15" s="26" t="n">
        <f aca="false">SUM(C5*(D5+0.5)*8760/1000000,C8*(D8+0.5)*8760/1000000,C12*(D12+0.5)*8760/1000000)</f>
        <v>1530.77715</v>
      </c>
      <c r="I15" s="0" t="s">
        <v>93</v>
      </c>
      <c r="J15" s="0" t="s">
        <v>94</v>
      </c>
      <c r="K15" s="21" t="n">
        <f aca="false">SUM(K13,K10,K6)</f>
        <v>1269.448868</v>
      </c>
    </row>
    <row r="16" customFormat="false" ht="12.75" hidden="false" customHeight="false" outlineLevel="0" collapsed="false">
      <c r="F16" s="0" t="s">
        <v>95</v>
      </c>
      <c r="H16" s="27" t="n">
        <f aca="false">1+H17/H15</f>
        <v>1.30115422091321</v>
      </c>
    </row>
    <row r="17" customFormat="false" ht="12.75" hidden="false" customHeight="false" outlineLevel="0" collapsed="false">
      <c r="G17" s="0" t="s">
        <v>42</v>
      </c>
      <c r="H17" s="0" t="n">
        <v>461</v>
      </c>
    </row>
    <row r="19" customFormat="false" ht="12.75" hidden="false" customHeight="false" outlineLevel="0" collapsed="false">
      <c r="F19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H5" activeCellId="0" sqref="H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6.28"/>
    <col collapsed="false" customWidth="true" hidden="false" outlineLevel="0" max="4" min="4" style="0" width="10.56"/>
    <col collapsed="false" customWidth="true" hidden="false" outlineLevel="0" max="7" min="7" style="0" width="7.7"/>
    <col collapsed="false" customWidth="true" hidden="false" outlineLevel="0" max="8" min="8" style="0" width="10.28"/>
    <col collapsed="false" customWidth="true" hidden="false" outlineLevel="0" max="9" min="9" style="0" width="12.7"/>
    <col collapsed="false" customWidth="true" hidden="false" outlineLevel="0" max="12" min="12" style="0" width="8.28"/>
  </cols>
  <sheetData>
    <row r="1" customFormat="false" ht="13.5" hidden="false" customHeight="false" outlineLevel="0" collapsed="false">
      <c r="D1" s="28" t="s">
        <v>87</v>
      </c>
      <c r="E1" s="29"/>
      <c r="F1" s="30"/>
      <c r="G1" s="28" t="s">
        <v>88</v>
      </c>
      <c r="H1" s="30"/>
      <c r="I1" s="28" t="s">
        <v>96</v>
      </c>
      <c r="J1" s="29"/>
      <c r="K1" s="30"/>
    </row>
    <row r="2" customFormat="false" ht="25.5" hidden="false" customHeight="false" outlineLevel="0" collapsed="false">
      <c r="A2" s="18"/>
      <c r="B2" s="18"/>
      <c r="C2" s="18" t="s">
        <v>78</v>
      </c>
      <c r="D2" s="18" t="s">
        <v>79</v>
      </c>
      <c r="E2" s="18" t="s">
        <v>80</v>
      </c>
      <c r="F2" s="18" t="s">
        <v>81</v>
      </c>
      <c r="G2" s="18" t="s">
        <v>80</v>
      </c>
      <c r="H2" s="18" t="s">
        <v>81</v>
      </c>
      <c r="I2" s="18" t="s">
        <v>90</v>
      </c>
      <c r="J2" s="18" t="s">
        <v>80</v>
      </c>
      <c r="K2" s="18" t="s">
        <v>81</v>
      </c>
      <c r="L2" s="18" t="s">
        <v>91</v>
      </c>
    </row>
    <row r="3" customFormat="false" ht="12.75" hidden="false" customHeight="false" outlineLevel="0" collapsed="false">
      <c r="A3" s="0" t="s">
        <v>44</v>
      </c>
    </row>
    <row r="4" customFormat="false" ht="12.75" hidden="false" customHeight="false" outlineLevel="0" collapsed="false">
      <c r="B4" s="0" t="s">
        <v>82</v>
      </c>
      <c r="C4" s="0" t="n">
        <v>0</v>
      </c>
      <c r="D4" s="0" t="n">
        <f aca="false">(28.1-19.25)</f>
        <v>8.85</v>
      </c>
      <c r="F4" s="21" t="n">
        <f aca="false">ROUND(C4*D4*8760/1000000,3)</f>
        <v>0</v>
      </c>
      <c r="H4" s="0" t="n">
        <f aca="false">F4</f>
        <v>0</v>
      </c>
      <c r="K4" s="0" t="n">
        <f aca="false">H4</f>
        <v>0</v>
      </c>
    </row>
    <row r="5" customFormat="false" ht="12.75" hidden="false" customHeight="false" outlineLevel="0" collapsed="false">
      <c r="B5" s="0" t="s">
        <v>83</v>
      </c>
      <c r="C5" s="0" t="n">
        <v>1900</v>
      </c>
      <c r="D5" s="0" t="n">
        <v>19.25</v>
      </c>
      <c r="E5" s="0" t="n">
        <v>28.1</v>
      </c>
      <c r="F5" s="21" t="n">
        <f aca="false">ROUND((E5-D5)*C5*8760/1000000,3)</f>
        <v>147.299</v>
      </c>
      <c r="G5" s="0" t="n">
        <v>42</v>
      </c>
      <c r="H5" s="0" t="n">
        <f aca="false">(G5-D5)*C5*8760/1000000</f>
        <v>378.651</v>
      </c>
      <c r="I5" s="0" t="n">
        <f aca="false">ROUND(D5*$H$16,2)</f>
        <v>25.4</v>
      </c>
      <c r="J5" s="0" t="n">
        <f aca="false">G5</f>
        <v>42</v>
      </c>
      <c r="K5" s="0" t="n">
        <f aca="false">(J5-I5)*C5*8760/1000000</f>
        <v>276.2904</v>
      </c>
      <c r="L5" s="0" t="n">
        <f aca="false">I5-D5</f>
        <v>6.15</v>
      </c>
    </row>
    <row r="6" customFormat="false" ht="13.5" hidden="false" customHeight="false" outlineLevel="0" collapsed="false">
      <c r="E6" s="22" t="n">
        <f aca="false">F6/(F$6+F$10+F$13)</f>
        <v>0.222761969552209</v>
      </c>
      <c r="F6" s="23" t="n">
        <f aca="false">SUM(F4:F5)</f>
        <v>147.299</v>
      </c>
      <c r="G6" s="22" t="n">
        <f aca="false">H6/(H$6+H$10+H$13)</f>
        <v>0.21416008125449</v>
      </c>
      <c r="H6" s="23" t="n">
        <f aca="false">SUM(H4:H5)</f>
        <v>378.651</v>
      </c>
      <c r="J6" s="22" t="n">
        <f aca="false">K6/(K$6+K$10+K$13)</f>
        <v>0.217648956523689</v>
      </c>
      <c r="K6" s="23" t="n">
        <f aca="false">SUM(K4:K5)</f>
        <v>276.2904</v>
      </c>
      <c r="L6" s="31" t="n">
        <f aca="false">(I5-D5)*C5/(C5+C4)</f>
        <v>6.15</v>
      </c>
    </row>
    <row r="7" customFormat="false" ht="13.5" hidden="false" customHeight="false" outlineLevel="0" collapsed="false">
      <c r="A7" s="0" t="s">
        <v>45</v>
      </c>
    </row>
    <row r="8" customFormat="false" ht="12.75" hidden="false" customHeight="false" outlineLevel="0" collapsed="false">
      <c r="B8" s="0" t="s">
        <v>84</v>
      </c>
      <c r="C8" s="0" t="n">
        <v>5575</v>
      </c>
      <c r="D8" s="0" t="n">
        <v>19.25</v>
      </c>
      <c r="E8" s="0" t="n">
        <v>28.1</v>
      </c>
      <c r="F8" s="21" t="n">
        <f aca="false">(E8-D8)*C8*8760/1000000</f>
        <v>432.20745</v>
      </c>
      <c r="G8" s="0" t="n">
        <f aca="false">G5</f>
        <v>42</v>
      </c>
      <c r="H8" s="21" t="n">
        <f aca="false">(G8-D8)*C8*8760/1000000</f>
        <v>1111.04175</v>
      </c>
      <c r="I8" s="0" t="n">
        <f aca="false">ROUND(D8*$H$16,2)</f>
        <v>25.4</v>
      </c>
      <c r="J8" s="0" t="n">
        <f aca="false">G5</f>
        <v>42</v>
      </c>
      <c r="K8" s="21" t="n">
        <f aca="false">(J8-I8)*C8*8760/1000000</f>
        <v>810.6942</v>
      </c>
      <c r="L8" s="0" t="n">
        <f aca="false">I8-D8</f>
        <v>6.15</v>
      </c>
    </row>
    <row r="9" customFormat="false" ht="12.75" hidden="false" customHeight="false" outlineLevel="0" collapsed="false">
      <c r="B9" s="0" t="s">
        <v>85</v>
      </c>
      <c r="C9" s="0" t="n">
        <v>125</v>
      </c>
      <c r="D9" s="0" t="n">
        <v>14.25</v>
      </c>
      <c r="E9" s="0" t="n">
        <v>28.1</v>
      </c>
      <c r="F9" s="21" t="n">
        <f aca="false">(E9-D9)*C9*8760/1000000</f>
        <v>15.16575</v>
      </c>
      <c r="G9" s="0" t="n">
        <f aca="false">G5</f>
        <v>42</v>
      </c>
      <c r="H9" s="21" t="n">
        <f aca="false">(G9-D9)*C9*8760/1000000</f>
        <v>30.38625</v>
      </c>
      <c r="I9" s="0" t="n">
        <f aca="false">D9</f>
        <v>14.25</v>
      </c>
      <c r="J9" s="0" t="n">
        <f aca="false">G5</f>
        <v>42</v>
      </c>
      <c r="K9" s="21" t="n">
        <f aca="false">(J9-I9)*C9*8760/1000000</f>
        <v>30.38625</v>
      </c>
    </row>
    <row r="10" customFormat="false" ht="13.5" hidden="false" customHeight="false" outlineLevel="0" collapsed="false">
      <c r="E10" s="22" t="n">
        <f aca="false">F10/(F$6+F$10+F$13)</f>
        <v>0.676567628815365</v>
      </c>
      <c r="F10" s="23" t="n">
        <f aca="false">SUM(F8:F9)</f>
        <v>447.3732</v>
      </c>
      <c r="G10" s="22" t="n">
        <f aca="false">H10/(H$6+H$10+H$13)</f>
        <v>0.645576832561251</v>
      </c>
      <c r="H10" s="23" t="n">
        <f aca="false">SUM(H8:H9)</f>
        <v>1141.428</v>
      </c>
      <c r="J10" s="22" t="n">
        <f aca="false">K10/(K$6+K$10+K$13)</f>
        <v>0.662564759017957</v>
      </c>
      <c r="K10" s="23" t="n">
        <f aca="false">SUM(K8:K9)</f>
        <v>841.08045</v>
      </c>
      <c r="L10" s="0" t="n">
        <f aca="false">ROUND((I8-D8)*C8/(C8+C9),2)</f>
        <v>6.02</v>
      </c>
    </row>
    <row r="11" customFormat="false" ht="13.5" hidden="false" customHeight="false" outlineLevel="0" collapsed="false">
      <c r="A11" s="0" t="s">
        <v>46</v>
      </c>
    </row>
    <row r="12" customFormat="false" ht="12.75" hidden="false" customHeight="false" outlineLevel="0" collapsed="false">
      <c r="B12" s="0" t="s">
        <v>86</v>
      </c>
      <c r="C12" s="0" t="n">
        <v>1490</v>
      </c>
      <c r="D12" s="0" t="n">
        <v>23</v>
      </c>
      <c r="E12" s="0" t="n">
        <v>28.1</v>
      </c>
      <c r="G12" s="0" t="n">
        <f aca="false">G5</f>
        <v>42</v>
      </c>
      <c r="I12" s="0" t="n">
        <f aca="false">ROUND(D12*$H$16,2)</f>
        <v>30.35</v>
      </c>
      <c r="J12" s="0" t="n">
        <f aca="false">G5</f>
        <v>42</v>
      </c>
      <c r="L12" s="0" t="n">
        <f aca="false">I12-D12</f>
        <v>7.35</v>
      </c>
    </row>
    <row r="13" customFormat="false" ht="13.5" hidden="false" customHeight="false" outlineLevel="0" collapsed="false">
      <c r="E13" s="22" t="n">
        <f aca="false">F13/(F$6+F$10+F$13)</f>
        <v>0.100670401632425</v>
      </c>
      <c r="F13" s="23" t="n">
        <f aca="false">(E12-D12)*C12*8760/1000000</f>
        <v>66.56724</v>
      </c>
      <c r="G13" s="22" t="n">
        <f aca="false">H13/(H$6+H$10+H$13)</f>
        <v>0.140263086184259</v>
      </c>
      <c r="H13" s="32" t="n">
        <f aca="false">(G12-D12)*C12*8760/1000000</f>
        <v>247.9956</v>
      </c>
      <c r="J13" s="22" t="n">
        <f aca="false">K13/(K$6+K$10+K$13)</f>
        <v>0.119786284458353</v>
      </c>
      <c r="K13" s="23" t="n">
        <f aca="false">(J12-I12)*C12*8760/1000000</f>
        <v>152.06046</v>
      </c>
    </row>
    <row r="14" customFormat="false" ht="13.5" hidden="false" customHeight="false" outlineLevel="0" collapsed="false"/>
    <row r="15" customFormat="false" ht="12.75" hidden="false" customHeight="false" outlineLevel="0" collapsed="false">
      <c r="E15" s="0" t="s">
        <v>92</v>
      </c>
      <c r="H15" s="26" t="n">
        <f aca="false">SUM(C5*(D5+0.5)*8760/1000000,C8*(D8+0.5)*8760/1000000,C12*(D12+0.5)*8760/1000000)</f>
        <v>1599.98115</v>
      </c>
      <c r="I15" s="0" t="s">
        <v>93</v>
      </c>
      <c r="J15" s="0" t="s">
        <v>94</v>
      </c>
      <c r="K15" s="21" t="n">
        <f aca="false">SUM(K13,K10,K6)</f>
        <v>1269.43131</v>
      </c>
    </row>
    <row r="16" customFormat="false" ht="12.75" hidden="false" customHeight="false" outlineLevel="0" collapsed="false">
      <c r="F16" s="0" t="s">
        <v>95</v>
      </c>
      <c r="H16" s="27" t="n">
        <f aca="false">1+H17/H15</f>
        <v>1.31937876268105</v>
      </c>
    </row>
    <row r="17" customFormat="false" ht="12.75" hidden="false" customHeight="false" outlineLevel="0" collapsed="false">
      <c r="G17" s="0" t="s">
        <v>42</v>
      </c>
      <c r="H17" s="0" t="n">
        <v>511</v>
      </c>
    </row>
    <row r="19" customFormat="false" ht="12.75" hidden="false" customHeight="false" outlineLevel="0" collapsed="false">
      <c r="F19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6.28"/>
    <col collapsed="false" customWidth="true" hidden="false" outlineLevel="0" max="4" min="4" style="0" width="10.56"/>
    <col collapsed="false" customWidth="true" hidden="false" outlineLevel="0" max="7" min="7" style="0" width="7.7"/>
    <col collapsed="false" customWidth="true" hidden="false" outlineLevel="0" max="8" min="8" style="0" width="10.28"/>
    <col collapsed="false" customWidth="true" hidden="false" outlineLevel="0" max="9" min="9" style="0" width="12.7"/>
    <col collapsed="false" customWidth="true" hidden="false" outlineLevel="0" max="12" min="12" style="0" width="8.28"/>
  </cols>
  <sheetData>
    <row r="1" customFormat="false" ht="13.5" hidden="false" customHeight="false" outlineLevel="0" collapsed="false">
      <c r="D1" s="28" t="s">
        <v>87</v>
      </c>
      <c r="E1" s="29"/>
      <c r="F1" s="30"/>
      <c r="G1" s="28" t="s">
        <v>97</v>
      </c>
      <c r="H1" s="30"/>
      <c r="I1" s="28" t="s">
        <v>98</v>
      </c>
      <c r="J1" s="29"/>
      <c r="K1" s="30"/>
    </row>
    <row r="2" customFormat="false" ht="25.5" hidden="false" customHeight="false" outlineLevel="0" collapsed="false">
      <c r="A2" s="18"/>
      <c r="B2" s="18"/>
      <c r="C2" s="18" t="s">
        <v>78</v>
      </c>
      <c r="D2" s="18" t="s">
        <v>79</v>
      </c>
      <c r="E2" s="18" t="s">
        <v>80</v>
      </c>
      <c r="F2" s="18" t="s">
        <v>81</v>
      </c>
      <c r="G2" s="18" t="s">
        <v>80</v>
      </c>
      <c r="H2" s="18" t="s">
        <v>81</v>
      </c>
      <c r="I2" s="18" t="s">
        <v>90</v>
      </c>
      <c r="J2" s="18" t="s">
        <v>80</v>
      </c>
      <c r="K2" s="18" t="s">
        <v>81</v>
      </c>
      <c r="L2" s="18" t="s">
        <v>91</v>
      </c>
      <c r="M2" s="18" t="s">
        <v>99</v>
      </c>
      <c r="N2" s="18" t="s">
        <v>100</v>
      </c>
    </row>
    <row r="3" customFormat="false" ht="12.75" hidden="false" customHeight="false" outlineLevel="0" collapsed="false">
      <c r="A3" s="0" t="s">
        <v>44</v>
      </c>
    </row>
    <row r="4" customFormat="false" ht="12.75" hidden="false" customHeight="false" outlineLevel="0" collapsed="false">
      <c r="B4" s="0" t="s">
        <v>82</v>
      </c>
      <c r="C4" s="0" t="n">
        <v>900</v>
      </c>
      <c r="D4" s="0" t="n">
        <f aca="false">(28.1-19.25)</f>
        <v>8.85</v>
      </c>
      <c r="F4" s="21" t="n">
        <f aca="false">ROUND(C4*D4*8760/1000000,3)</f>
        <v>69.773</v>
      </c>
      <c r="H4" s="0" t="n">
        <f aca="false">F4</f>
        <v>69.773</v>
      </c>
      <c r="K4" s="0" t="n">
        <f aca="false">ROUND(C4*(D4-L5)*8760/1000000,3)</f>
        <v>57.947</v>
      </c>
    </row>
    <row r="5" customFormat="false" ht="12.75" hidden="false" customHeight="false" outlineLevel="0" collapsed="false">
      <c r="B5" s="0" t="s">
        <v>83</v>
      </c>
      <c r="C5" s="0" t="n">
        <v>1000</v>
      </c>
      <c r="D5" s="0" t="n">
        <v>19.25</v>
      </c>
      <c r="E5" s="0" t="n">
        <v>28.1</v>
      </c>
      <c r="F5" s="21" t="n">
        <f aca="false">ROUND((E5-D5)*C5*8760/1000000,3)</f>
        <v>77.526</v>
      </c>
      <c r="G5" s="0" t="n">
        <v>42</v>
      </c>
      <c r="H5" s="0" t="n">
        <f aca="false">(G5-D5)*C5*8760/1000000</f>
        <v>199.29</v>
      </c>
      <c r="I5" s="0" t="n">
        <f aca="false">ROUND(D5*$H$16,2)</f>
        <v>20.75</v>
      </c>
      <c r="J5" s="0" t="n">
        <f aca="false">G5</f>
        <v>42</v>
      </c>
      <c r="K5" s="0" t="n">
        <f aca="false">(J5-I5)*C5*8760/1000000</f>
        <v>186.15</v>
      </c>
      <c r="L5" s="0" t="n">
        <f aca="false">I5-D5</f>
        <v>1.5</v>
      </c>
    </row>
    <row r="6" customFormat="false" ht="13.5" hidden="false" customHeight="false" outlineLevel="0" collapsed="false">
      <c r="E6" s="22" t="n">
        <f aca="false">F6/(F$6+F$10+F$13)</f>
        <v>0.222761969552209</v>
      </c>
      <c r="F6" s="23" t="n">
        <f aca="false">SUM(F4:F5)</f>
        <v>147.299</v>
      </c>
      <c r="G6" s="22" t="n">
        <f aca="false">H6/(H$6+H$10+H$13)</f>
        <v>0.162234051212714</v>
      </c>
      <c r="H6" s="23" t="n">
        <f aca="false">SUM(H4:H5)</f>
        <v>269.063</v>
      </c>
      <c r="J6" s="22" t="n">
        <f aca="false">K6/(K$6+K$10+K$13)</f>
        <v>0.158837611423091</v>
      </c>
      <c r="K6" s="23" t="n">
        <f aca="false">SUM(K4:K5)</f>
        <v>244.097</v>
      </c>
      <c r="L6" s="31" t="n">
        <f aca="false">(I5-D5)</f>
        <v>1.5</v>
      </c>
      <c r="M6" s="21" t="n">
        <f aca="false">K6-H6</f>
        <v>-24.966</v>
      </c>
      <c r="N6" s="22" t="n">
        <f aca="false">M6/$M$15</f>
        <v>0.205117132678398</v>
      </c>
    </row>
    <row r="7" customFormat="false" ht="13.5" hidden="false" customHeight="false" outlineLevel="0" collapsed="false">
      <c r="A7" s="0" t="s">
        <v>45</v>
      </c>
    </row>
    <row r="8" customFormat="false" ht="12.75" hidden="false" customHeight="false" outlineLevel="0" collapsed="false">
      <c r="B8" s="0" t="s">
        <v>84</v>
      </c>
      <c r="C8" s="0" t="n">
        <v>5575</v>
      </c>
      <c r="D8" s="0" t="n">
        <v>19.25</v>
      </c>
      <c r="E8" s="0" t="n">
        <v>28.1</v>
      </c>
      <c r="F8" s="21" t="n">
        <f aca="false">(E8-D8)*C8*8760/1000000</f>
        <v>432.20745</v>
      </c>
      <c r="G8" s="0" t="n">
        <f aca="false">G5</f>
        <v>42</v>
      </c>
      <c r="H8" s="21" t="n">
        <f aca="false">(G8-D8)*C8*8760/1000000</f>
        <v>1111.04175</v>
      </c>
      <c r="I8" s="0" t="n">
        <f aca="false">ROUND(D8*$H$16,2)</f>
        <v>20.75</v>
      </c>
      <c r="J8" s="0" t="n">
        <f aca="false">G5</f>
        <v>42</v>
      </c>
      <c r="K8" s="21" t="n">
        <f aca="false">(J8-I8)*C8*8760/1000000</f>
        <v>1037.78625</v>
      </c>
      <c r="L8" s="0" t="n">
        <f aca="false">I8-D8</f>
        <v>1.5</v>
      </c>
    </row>
    <row r="9" customFormat="false" ht="12.75" hidden="false" customHeight="false" outlineLevel="0" collapsed="false">
      <c r="B9" s="0" t="s">
        <v>85</v>
      </c>
      <c r="C9" s="0" t="n">
        <v>125</v>
      </c>
      <c r="D9" s="0" t="n">
        <v>14.25</v>
      </c>
      <c r="E9" s="0" t="n">
        <v>28.1</v>
      </c>
      <c r="F9" s="21" t="n">
        <f aca="false">(E9-D9)*C9*8760/1000000</f>
        <v>15.16575</v>
      </c>
      <c r="G9" s="0" t="n">
        <f aca="false">G5</f>
        <v>42</v>
      </c>
      <c r="H9" s="21" t="n">
        <f aca="false">(G9-D9)*C9*8760/1000000</f>
        <v>30.38625</v>
      </c>
      <c r="I9" s="0" t="n">
        <f aca="false">D9</f>
        <v>14.25</v>
      </c>
      <c r="J9" s="0" t="n">
        <f aca="false">G5</f>
        <v>42</v>
      </c>
      <c r="K9" s="21" t="n">
        <f aca="false">(J9-I9)*C9*8760/1000000</f>
        <v>30.38625</v>
      </c>
    </row>
    <row r="10" customFormat="false" ht="13.5" hidden="false" customHeight="false" outlineLevel="0" collapsed="false">
      <c r="E10" s="22" t="n">
        <f aca="false">F10/(F$6+F$10+F$13)</f>
        <v>0.676567628815365</v>
      </c>
      <c r="F10" s="23" t="n">
        <f aca="false">SUM(F8:F9)</f>
        <v>447.3732</v>
      </c>
      <c r="G10" s="22" t="n">
        <f aca="false">H10/(H$6+H$10+H$13)</f>
        <v>0.688234683355295</v>
      </c>
      <c r="H10" s="23" t="n">
        <f aca="false">SUM(H8:H9)</f>
        <v>1141.428</v>
      </c>
      <c r="J10" s="22" t="n">
        <f aca="false">K10/(K$6+K$10+K$13)</f>
        <v>0.695076008667994</v>
      </c>
      <c r="K10" s="23" t="n">
        <f aca="false">SUM(K8:K9)</f>
        <v>1068.1725</v>
      </c>
      <c r="L10" s="0" t="n">
        <f aca="false">ROUND((I8-D8)*C8/(C8+C9),2)</f>
        <v>1.47</v>
      </c>
      <c r="M10" s="21" t="n">
        <f aca="false">K10-H10</f>
        <v>-73.2555</v>
      </c>
      <c r="N10" s="22" t="n">
        <f aca="false">M10/$M$15</f>
        <v>0.601856849832668</v>
      </c>
    </row>
    <row r="11" customFormat="false" ht="13.5" hidden="false" customHeight="false" outlineLevel="0" collapsed="false">
      <c r="A11" s="0" t="s">
        <v>46</v>
      </c>
    </row>
    <row r="12" customFormat="false" ht="12.75" hidden="false" customHeight="false" outlineLevel="0" collapsed="false">
      <c r="B12" s="0" t="s">
        <v>86</v>
      </c>
      <c r="C12" s="0" t="n">
        <v>1490</v>
      </c>
      <c r="D12" s="0" t="n">
        <v>23</v>
      </c>
      <c r="E12" s="0" t="n">
        <v>28.1</v>
      </c>
      <c r="G12" s="0" t="n">
        <f aca="false">G5</f>
        <v>42</v>
      </c>
      <c r="I12" s="0" t="n">
        <f aca="false">ROUND(D12*$H$16,2)</f>
        <v>24.8</v>
      </c>
      <c r="J12" s="0" t="n">
        <f aca="false">G5</f>
        <v>42</v>
      </c>
      <c r="L12" s="0" t="n">
        <f aca="false">I12-D12</f>
        <v>1.8</v>
      </c>
    </row>
    <row r="13" customFormat="false" ht="13.5" hidden="false" customHeight="false" outlineLevel="0" collapsed="false">
      <c r="E13" s="22" t="n">
        <f aca="false">F13/(F$6+F$10+F$13)</f>
        <v>0.100670401632425</v>
      </c>
      <c r="F13" s="23" t="n">
        <f aca="false">(E12-D12)*C12*8760/1000000</f>
        <v>66.56724</v>
      </c>
      <c r="G13" s="22" t="n">
        <f aca="false">H13/(H$6+H$10+H$13)</f>
        <v>0.149531265431991</v>
      </c>
      <c r="H13" s="32" t="n">
        <f aca="false">(G12-D12)*C12*8760/1000000</f>
        <v>247.9956</v>
      </c>
      <c r="J13" s="22" t="n">
        <f aca="false">K13/(K$6+K$10+K$13)</f>
        <v>0.146086379908915</v>
      </c>
      <c r="K13" s="23" t="n">
        <f aca="false">(J12-I12)*C12*8760/1000000</f>
        <v>224.50128</v>
      </c>
      <c r="M13" s="21" t="n">
        <f aca="false">K13-H13</f>
        <v>-23.49432</v>
      </c>
      <c r="N13" s="22" t="n">
        <f aca="false">M13/$M$15</f>
        <v>0.193026017488934</v>
      </c>
    </row>
    <row r="14" customFormat="false" ht="13.5" hidden="false" customHeight="false" outlineLevel="0" collapsed="false"/>
    <row r="15" customFormat="false" ht="12.75" hidden="false" customHeight="false" outlineLevel="0" collapsed="false">
      <c r="E15" s="0" t="s">
        <v>92</v>
      </c>
      <c r="H15" s="26" t="n">
        <f aca="false">SUM((C4+C5)*(D5+0.5)*8760/1000000,C8*(D8+0.5)*8760/1000000,C12*(D12+0.5)*8760/1000000)</f>
        <v>1599.98115</v>
      </c>
      <c r="I15" s="0" t="s">
        <v>93</v>
      </c>
      <c r="J15" s="0" t="s">
        <v>94</v>
      </c>
      <c r="K15" s="21" t="n">
        <f aca="false">SUM(K13,K10,K6)</f>
        <v>1536.77078</v>
      </c>
      <c r="M15" s="21" t="n">
        <f aca="false">SUM(M13,M10,M6)</f>
        <v>-121.71582</v>
      </c>
    </row>
    <row r="16" customFormat="false" ht="12.75" hidden="false" customHeight="false" outlineLevel="0" collapsed="false">
      <c r="F16" s="0" t="s">
        <v>95</v>
      </c>
      <c r="H16" s="27" t="n">
        <f aca="false">1+H17/H15</f>
        <v>1.078125920421</v>
      </c>
    </row>
    <row r="17" customFormat="false" ht="12.75" hidden="false" customHeight="false" outlineLevel="0" collapsed="false">
      <c r="G17" s="0" t="s">
        <v>42</v>
      </c>
      <c r="H17" s="0" t="n">
        <v>125</v>
      </c>
    </row>
    <row r="19" customFormat="false" ht="12.75" hidden="false" customHeight="false" outlineLevel="0" collapsed="false">
      <c r="F19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6.28"/>
    <col collapsed="false" customWidth="true" hidden="false" outlineLevel="0" max="4" min="4" style="0" width="10.56"/>
    <col collapsed="false" customWidth="true" hidden="false" outlineLevel="0" max="7" min="7" style="0" width="7.7"/>
    <col collapsed="false" customWidth="true" hidden="false" outlineLevel="0" max="8" min="8" style="0" width="10.28"/>
    <col collapsed="false" customWidth="true" hidden="false" outlineLevel="0" max="9" min="9" style="0" width="12.7"/>
    <col collapsed="false" customWidth="true" hidden="false" outlineLevel="0" max="12" min="12" style="0" width="8.28"/>
  </cols>
  <sheetData>
    <row r="1" customFormat="false" ht="13.5" hidden="false" customHeight="false" outlineLevel="0" collapsed="false">
      <c r="D1" s="28" t="s">
        <v>87</v>
      </c>
      <c r="E1" s="29"/>
      <c r="F1" s="30"/>
      <c r="G1" s="28" t="s">
        <v>97</v>
      </c>
      <c r="H1" s="30"/>
      <c r="I1" s="28" t="s">
        <v>101</v>
      </c>
      <c r="J1" s="29"/>
      <c r="K1" s="30"/>
    </row>
    <row r="2" customFormat="false" ht="25.5" hidden="false" customHeight="false" outlineLevel="0" collapsed="false">
      <c r="A2" s="18"/>
      <c r="B2" s="18"/>
      <c r="C2" s="18" t="s">
        <v>78</v>
      </c>
      <c r="D2" s="18" t="s">
        <v>79</v>
      </c>
      <c r="E2" s="18" t="s">
        <v>80</v>
      </c>
      <c r="F2" s="18" t="s">
        <v>81</v>
      </c>
      <c r="G2" s="18" t="s">
        <v>80</v>
      </c>
      <c r="H2" s="18" t="s">
        <v>81</v>
      </c>
      <c r="I2" s="18" t="s">
        <v>90</v>
      </c>
      <c r="J2" s="18" t="s">
        <v>80</v>
      </c>
      <c r="K2" s="18" t="s">
        <v>81</v>
      </c>
      <c r="L2" s="18" t="s">
        <v>91</v>
      </c>
      <c r="M2" s="18" t="s">
        <v>99</v>
      </c>
      <c r="N2" s="18" t="s">
        <v>100</v>
      </c>
    </row>
    <row r="3" customFormat="false" ht="12.75" hidden="false" customHeight="false" outlineLevel="0" collapsed="false">
      <c r="A3" s="0" t="s">
        <v>44</v>
      </c>
    </row>
    <row r="4" customFormat="false" ht="12.75" hidden="false" customHeight="false" outlineLevel="0" collapsed="false">
      <c r="B4" s="0" t="s">
        <v>82</v>
      </c>
      <c r="C4" s="0" t="n">
        <v>900</v>
      </c>
      <c r="D4" s="0" t="n">
        <f aca="false">(28.1-19.25)</f>
        <v>8.85</v>
      </c>
      <c r="F4" s="21" t="n">
        <f aca="false">ROUND(C4*D4*8760/1000000,3)</f>
        <v>69.773</v>
      </c>
      <c r="H4" s="0" t="n">
        <f aca="false">F4</f>
        <v>69.773</v>
      </c>
      <c r="K4" s="0" t="n">
        <f aca="false">H4</f>
        <v>69.773</v>
      </c>
    </row>
    <row r="5" customFormat="false" ht="12.75" hidden="false" customHeight="false" outlineLevel="0" collapsed="false">
      <c r="B5" s="0" t="s">
        <v>83</v>
      </c>
      <c r="C5" s="0" t="n">
        <v>1000</v>
      </c>
      <c r="D5" s="0" t="n">
        <v>19.25</v>
      </c>
      <c r="E5" s="0" t="n">
        <v>28.1</v>
      </c>
      <c r="F5" s="21" t="n">
        <f aca="false">ROUND((E5-D5)*C5*8760/1000000,3)</f>
        <v>77.526</v>
      </c>
      <c r="G5" s="0" t="n">
        <v>42</v>
      </c>
      <c r="H5" s="0" t="n">
        <f aca="false">(G5-D5)*C5*8760/1000000</f>
        <v>199.29</v>
      </c>
      <c r="I5" s="0" t="n">
        <f aca="false">ROUND(D5*$H$16,2)</f>
        <v>24.58</v>
      </c>
      <c r="J5" s="0" t="n">
        <f aca="false">G5</f>
        <v>42</v>
      </c>
      <c r="K5" s="0" t="n">
        <f aca="false">(J5-I5)*C5*8760/1000000</f>
        <v>152.5992</v>
      </c>
      <c r="L5" s="0" t="n">
        <f aca="false">I5-D5</f>
        <v>5.33</v>
      </c>
    </row>
    <row r="6" customFormat="false" ht="13.5" hidden="false" customHeight="false" outlineLevel="0" collapsed="false">
      <c r="E6" s="22" t="n">
        <f aca="false">F6/(F$6+F$10+F$13)</f>
        <v>0.222761969552209</v>
      </c>
      <c r="F6" s="23" t="n">
        <f aca="false">SUM(F4:F5)</f>
        <v>147.299</v>
      </c>
      <c r="G6" s="22" t="n">
        <f aca="false">H6/(H$6+H$10+H$13)</f>
        <v>0.162234051212714</v>
      </c>
      <c r="H6" s="23" t="n">
        <f aca="false">SUM(H4:H5)</f>
        <v>269.063</v>
      </c>
      <c r="J6" s="22" t="n">
        <f aca="false">K6/(K$6+K$10+K$13)</f>
        <v>0.17532389276638</v>
      </c>
      <c r="K6" s="23" t="n">
        <f aca="false">SUM(K4:K5)</f>
        <v>222.3722</v>
      </c>
      <c r="L6" s="31" t="n">
        <f aca="false">(I5-D5)*C5/(C5+C4)</f>
        <v>2.80526315789474</v>
      </c>
      <c r="M6" s="21" t="n">
        <f aca="false">K6-H6</f>
        <v>-46.6908</v>
      </c>
      <c r="N6" s="22" t="n">
        <f aca="false">M6/$M$15</f>
        <v>0.119678328006188</v>
      </c>
    </row>
    <row r="7" customFormat="false" ht="13.5" hidden="false" customHeight="false" outlineLevel="0" collapsed="false">
      <c r="A7" s="0" t="s">
        <v>45</v>
      </c>
    </row>
    <row r="8" customFormat="false" ht="12.75" hidden="false" customHeight="false" outlineLevel="0" collapsed="false">
      <c r="B8" s="0" t="s">
        <v>84</v>
      </c>
      <c r="C8" s="0" t="n">
        <v>5575</v>
      </c>
      <c r="D8" s="0" t="n">
        <v>19.25</v>
      </c>
      <c r="E8" s="0" t="n">
        <v>28.1</v>
      </c>
      <c r="F8" s="21" t="n">
        <f aca="false">(E8-D8)*C8*8760/1000000</f>
        <v>432.20745</v>
      </c>
      <c r="G8" s="0" t="n">
        <f aca="false">G5</f>
        <v>42</v>
      </c>
      <c r="H8" s="21" t="n">
        <f aca="false">(G8-D8)*C8*8760/1000000</f>
        <v>1111.04175</v>
      </c>
      <c r="I8" s="0" t="n">
        <f aca="false">ROUND(D8*$H$16,2)</f>
        <v>24.58</v>
      </c>
      <c r="J8" s="0" t="n">
        <f aca="false">G5</f>
        <v>42</v>
      </c>
      <c r="K8" s="21" t="n">
        <f aca="false">(J8-I8)*C8*8760/1000000</f>
        <v>850.74054</v>
      </c>
      <c r="L8" s="0" t="n">
        <f aca="false">I8-D8</f>
        <v>5.33</v>
      </c>
    </row>
    <row r="9" customFormat="false" ht="12.75" hidden="false" customHeight="false" outlineLevel="0" collapsed="false">
      <c r="B9" s="0" t="s">
        <v>85</v>
      </c>
      <c r="C9" s="0" t="n">
        <v>125</v>
      </c>
      <c r="D9" s="0" t="n">
        <v>14.25</v>
      </c>
      <c r="E9" s="0" t="n">
        <v>28.1</v>
      </c>
      <c r="F9" s="21" t="n">
        <f aca="false">(E9-D9)*C9*8760/1000000</f>
        <v>15.16575</v>
      </c>
      <c r="G9" s="0" t="n">
        <f aca="false">G5</f>
        <v>42</v>
      </c>
      <c r="H9" s="21" t="n">
        <f aca="false">(G9-D9)*C9*8760/1000000</f>
        <v>30.38625</v>
      </c>
      <c r="I9" s="0" t="n">
        <f aca="false">D9</f>
        <v>14.25</v>
      </c>
      <c r="J9" s="0" t="n">
        <f aca="false">G5</f>
        <v>42</v>
      </c>
      <c r="K9" s="21" t="n">
        <f aca="false">(J9-I9)*C9*8760/1000000</f>
        <v>30.38625</v>
      </c>
    </row>
    <row r="10" customFormat="false" ht="13.5" hidden="false" customHeight="false" outlineLevel="0" collapsed="false">
      <c r="E10" s="22" t="n">
        <f aca="false">F10/(F$6+F$10+F$13)</f>
        <v>0.676567628815365</v>
      </c>
      <c r="F10" s="23" t="n">
        <f aca="false">SUM(F8:F9)</f>
        <v>447.3732</v>
      </c>
      <c r="G10" s="22" t="n">
        <f aca="false">H10/(H$6+H$10+H$13)</f>
        <v>0.688234683355295</v>
      </c>
      <c r="H10" s="23" t="n">
        <f aca="false">SUM(H8:H9)</f>
        <v>1141.428</v>
      </c>
      <c r="J10" s="22" t="n">
        <f aca="false">K10/(K$6+K$10+K$13)</f>
        <v>0.694702749910036</v>
      </c>
      <c r="K10" s="23" t="n">
        <f aca="false">SUM(K8:K9)</f>
        <v>881.12679</v>
      </c>
      <c r="L10" s="0" t="n">
        <f aca="false">ROUND((I8-D8)*C8/(C8+C9),2)</f>
        <v>5.21</v>
      </c>
      <c r="M10" s="21" t="n">
        <f aca="false">K10-H10</f>
        <v>-260.30121</v>
      </c>
      <c r="N10" s="22" t="n">
        <f aca="false">M10/$M$15</f>
        <v>0.667206678634499</v>
      </c>
    </row>
    <row r="11" customFormat="false" ht="13.5" hidden="false" customHeight="false" outlineLevel="0" collapsed="false">
      <c r="A11" s="0" t="s">
        <v>46</v>
      </c>
    </row>
    <row r="12" customFormat="false" ht="12.75" hidden="false" customHeight="false" outlineLevel="0" collapsed="false">
      <c r="B12" s="0" t="s">
        <v>86</v>
      </c>
      <c r="C12" s="0" t="n">
        <v>1490</v>
      </c>
      <c r="D12" s="0" t="n">
        <v>23</v>
      </c>
      <c r="E12" s="0" t="n">
        <v>28.1</v>
      </c>
      <c r="G12" s="0" t="n">
        <f aca="false">G5</f>
        <v>42</v>
      </c>
      <c r="I12" s="0" t="n">
        <f aca="false">ROUND(D12*$H$16,2)</f>
        <v>29.37</v>
      </c>
      <c r="J12" s="0" t="n">
        <f aca="false">G5</f>
        <v>42</v>
      </c>
      <c r="L12" s="0" t="n">
        <f aca="false">I12-D12</f>
        <v>6.37</v>
      </c>
    </row>
    <row r="13" customFormat="false" ht="13.5" hidden="false" customHeight="false" outlineLevel="0" collapsed="false">
      <c r="E13" s="22" t="n">
        <f aca="false">F13/(F$6+F$10+F$13)</f>
        <v>0.100670401632425</v>
      </c>
      <c r="F13" s="23" t="n">
        <f aca="false">(E12-D12)*C12*8760/1000000</f>
        <v>66.56724</v>
      </c>
      <c r="G13" s="22" t="n">
        <f aca="false">H13/(H$6+H$10+H$13)</f>
        <v>0.149531265431991</v>
      </c>
      <c r="H13" s="32" t="n">
        <f aca="false">(G12-D12)*C12*8760/1000000</f>
        <v>247.9956</v>
      </c>
      <c r="J13" s="22" t="n">
        <f aca="false">K13/(K$6+K$10+K$13)</f>
        <v>0.129973357323584</v>
      </c>
      <c r="K13" s="23" t="n">
        <f aca="false">(J12-I12)*C12*8760/1000000</f>
        <v>164.851812</v>
      </c>
      <c r="M13" s="21" t="n">
        <f aca="false">K13-H13</f>
        <v>-83.143788</v>
      </c>
      <c r="N13" s="22" t="n">
        <f aca="false">M13/$M$15</f>
        <v>0.213114993359312</v>
      </c>
    </row>
    <row r="14" customFormat="false" ht="13.5" hidden="false" customHeight="false" outlineLevel="0" collapsed="false"/>
    <row r="15" customFormat="false" ht="12.75" hidden="false" customHeight="false" outlineLevel="0" collapsed="false">
      <c r="E15" s="0" t="s">
        <v>92</v>
      </c>
      <c r="H15" s="26" t="n">
        <f aca="false">SUM(C5*(D5+0.5)*8760/1000000,C8*(D8+0.5)*8760/1000000,C12*(D12+0.5)*8760/1000000)</f>
        <v>1444.27215</v>
      </c>
      <c r="I15" s="0" t="s">
        <v>93</v>
      </c>
      <c r="J15" s="0" t="s">
        <v>94</v>
      </c>
      <c r="K15" s="21" t="n">
        <f aca="false">SUM(K13,K10,K6)</f>
        <v>1268.350802</v>
      </c>
      <c r="M15" s="21" t="n">
        <f aca="false">SUM(M13,M10,M6)</f>
        <v>-390.135798</v>
      </c>
    </row>
    <row r="16" customFormat="false" ht="12.75" hidden="false" customHeight="false" outlineLevel="0" collapsed="false">
      <c r="F16" s="0" t="s">
        <v>95</v>
      </c>
      <c r="H16" s="27" t="n">
        <f aca="false">1+H17/H15</f>
        <v>1.27695611246121</v>
      </c>
    </row>
    <row r="17" customFormat="false" ht="12.75" hidden="false" customHeight="false" outlineLevel="0" collapsed="false">
      <c r="G17" s="0" t="s">
        <v>42</v>
      </c>
      <c r="H17" s="0" t="n">
        <v>400</v>
      </c>
    </row>
    <row r="19" customFormat="false" ht="12.75" hidden="false" customHeight="false" outlineLevel="0" collapsed="false">
      <c r="F19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1" activeCellId="0" sqref="G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6.28"/>
    <col collapsed="false" customWidth="true" hidden="false" outlineLevel="0" max="4" min="4" style="0" width="10.56"/>
    <col collapsed="false" customWidth="true" hidden="false" outlineLevel="0" max="7" min="7" style="0" width="7.7"/>
    <col collapsed="false" customWidth="true" hidden="false" outlineLevel="0" max="8" min="8" style="0" width="10.28"/>
    <col collapsed="false" customWidth="true" hidden="false" outlineLevel="0" max="9" min="9" style="0" width="12.7"/>
    <col collapsed="false" customWidth="true" hidden="false" outlineLevel="0" max="12" min="12" style="0" width="8.28"/>
  </cols>
  <sheetData>
    <row r="1" customFormat="false" ht="13.5" hidden="false" customHeight="false" outlineLevel="0" collapsed="false">
      <c r="D1" s="28" t="s">
        <v>87</v>
      </c>
      <c r="E1" s="29"/>
      <c r="F1" s="30"/>
      <c r="G1" s="28" t="s">
        <v>102</v>
      </c>
      <c r="H1" s="30"/>
      <c r="I1" s="28" t="s">
        <v>103</v>
      </c>
      <c r="J1" s="29"/>
      <c r="K1" s="30"/>
    </row>
    <row r="2" customFormat="false" ht="25.5" hidden="false" customHeight="false" outlineLevel="0" collapsed="false">
      <c r="A2" s="18"/>
      <c r="B2" s="18"/>
      <c r="C2" s="18" t="s">
        <v>78</v>
      </c>
      <c r="D2" s="18" t="s">
        <v>79</v>
      </c>
      <c r="E2" s="18" t="s">
        <v>80</v>
      </c>
      <c r="F2" s="18" t="s">
        <v>81</v>
      </c>
      <c r="G2" s="18" t="s">
        <v>80</v>
      </c>
      <c r="H2" s="18" t="s">
        <v>81</v>
      </c>
      <c r="I2" s="18" t="s">
        <v>90</v>
      </c>
      <c r="J2" s="18" t="s">
        <v>80</v>
      </c>
      <c r="K2" s="18" t="s">
        <v>81</v>
      </c>
      <c r="L2" s="18" t="s">
        <v>91</v>
      </c>
      <c r="M2" s="18" t="s">
        <v>99</v>
      </c>
      <c r="N2" s="18" t="s">
        <v>100</v>
      </c>
    </row>
    <row r="3" customFormat="false" ht="12.75" hidden="false" customHeight="false" outlineLevel="0" collapsed="false">
      <c r="A3" s="0" t="s">
        <v>44</v>
      </c>
    </row>
    <row r="4" customFormat="false" ht="12.75" hidden="false" customHeight="false" outlineLevel="0" collapsed="false">
      <c r="B4" s="0" t="s">
        <v>82</v>
      </c>
      <c r="C4" s="0" t="n">
        <v>900</v>
      </c>
      <c r="D4" s="0" t="n">
        <f aca="false">(28.1-19.25)</f>
        <v>8.85</v>
      </c>
      <c r="F4" s="21" t="n">
        <f aca="false">ROUND(C4*D4*8760/1000000,3)</f>
        <v>69.773</v>
      </c>
      <c r="H4" s="0" t="n">
        <f aca="false">F4</f>
        <v>69.773</v>
      </c>
      <c r="K4" s="0" t="n">
        <f aca="false">H4</f>
        <v>69.773</v>
      </c>
    </row>
    <row r="5" customFormat="false" ht="12.75" hidden="false" customHeight="false" outlineLevel="0" collapsed="false">
      <c r="B5" s="0" t="s">
        <v>83</v>
      </c>
      <c r="C5" s="0" t="n">
        <v>1000</v>
      </c>
      <c r="D5" s="0" t="n">
        <v>19.25</v>
      </c>
      <c r="E5" s="0" t="n">
        <v>28.1</v>
      </c>
      <c r="F5" s="21" t="n">
        <f aca="false">ROUND((E5-D5)*C5*8760/1000000,3)</f>
        <v>77.526</v>
      </c>
      <c r="G5" s="0" t="n">
        <v>46</v>
      </c>
      <c r="H5" s="0" t="n">
        <f aca="false">(G5-D5)*C5*8760/1000000</f>
        <v>234.33</v>
      </c>
      <c r="I5" s="0" t="n">
        <f aca="false">ROUND(D5*$H$16,2)</f>
        <v>24.58</v>
      </c>
      <c r="J5" s="0" t="n">
        <f aca="false">G5</f>
        <v>46</v>
      </c>
      <c r="K5" s="0" t="n">
        <f aca="false">(J5-I5)*C5*8760/1000000</f>
        <v>187.6392</v>
      </c>
      <c r="L5" s="0" t="n">
        <f aca="false">I5-D5</f>
        <v>5.33</v>
      </c>
    </row>
    <row r="6" customFormat="false" ht="13.5" hidden="false" customHeight="false" outlineLevel="0" collapsed="false">
      <c r="E6" s="22" t="n">
        <f aca="false">F6/(F$6+F$10+F$13)</f>
        <v>0.222761969552209</v>
      </c>
      <c r="F6" s="23" t="n">
        <f aca="false">SUM(F4:F5)</f>
        <v>147.299</v>
      </c>
      <c r="G6" s="22" t="n">
        <f aca="false">H6/(H$6+H$10+H$13)</f>
        <v>0.156313850442481</v>
      </c>
      <c r="H6" s="23" t="n">
        <f aca="false">SUM(H4:H5)</f>
        <v>304.103</v>
      </c>
      <c r="J6" s="22" t="n">
        <f aca="false">K6/(K$6+K$10+K$13)</f>
        <v>0.16550343944661</v>
      </c>
      <c r="K6" s="23" t="n">
        <f aca="false">SUM(K4:K5)</f>
        <v>257.4122</v>
      </c>
      <c r="L6" s="31" t="n">
        <f aca="false">(I5-D5)*C5/(C5+C4)</f>
        <v>2.80526315789474</v>
      </c>
      <c r="M6" s="21" t="n">
        <f aca="false">K6-H6</f>
        <v>-46.6908</v>
      </c>
      <c r="N6" s="22" t="n">
        <f aca="false">M6/$M$15</f>
        <v>0.119678328006188</v>
      </c>
    </row>
    <row r="7" customFormat="false" ht="13.5" hidden="false" customHeight="false" outlineLevel="0" collapsed="false">
      <c r="A7" s="0" t="s">
        <v>45</v>
      </c>
    </row>
    <row r="8" customFormat="false" ht="12.75" hidden="false" customHeight="false" outlineLevel="0" collapsed="false">
      <c r="B8" s="0" t="s">
        <v>84</v>
      </c>
      <c r="C8" s="0" t="n">
        <v>5575</v>
      </c>
      <c r="D8" s="0" t="n">
        <v>19.25</v>
      </c>
      <c r="E8" s="0" t="n">
        <v>28.1</v>
      </c>
      <c r="F8" s="21" t="n">
        <f aca="false">(E8-D8)*C8*8760/1000000</f>
        <v>432.20745</v>
      </c>
      <c r="G8" s="0" t="n">
        <f aca="false">G5</f>
        <v>46</v>
      </c>
      <c r="H8" s="21" t="n">
        <f aca="false">(G8-D8)*C8*8760/1000000</f>
        <v>1306.38975</v>
      </c>
      <c r="I8" s="0" t="n">
        <f aca="false">ROUND(D8*$H$16,2)</f>
        <v>24.58</v>
      </c>
      <c r="J8" s="0" t="n">
        <f aca="false">G5</f>
        <v>46</v>
      </c>
      <c r="K8" s="21" t="n">
        <f aca="false">(J8-I8)*C8*8760/1000000</f>
        <v>1046.08854</v>
      </c>
      <c r="L8" s="0" t="n">
        <f aca="false">I8-D8</f>
        <v>5.33</v>
      </c>
    </row>
    <row r="9" customFormat="false" ht="12.75" hidden="false" customHeight="false" outlineLevel="0" collapsed="false">
      <c r="B9" s="0" t="s">
        <v>85</v>
      </c>
      <c r="C9" s="0" t="n">
        <v>125</v>
      </c>
      <c r="D9" s="0" t="n">
        <v>14.25</v>
      </c>
      <c r="E9" s="0" t="n">
        <v>28.1</v>
      </c>
      <c r="F9" s="21" t="n">
        <f aca="false">(E9-D9)*C9*8760/1000000</f>
        <v>15.16575</v>
      </c>
      <c r="G9" s="0" t="n">
        <f aca="false">G5</f>
        <v>46</v>
      </c>
      <c r="H9" s="21" t="n">
        <f aca="false">(G9-D9)*C9*8760/1000000</f>
        <v>34.76625</v>
      </c>
      <c r="I9" s="0" t="n">
        <f aca="false">D9</f>
        <v>14.25</v>
      </c>
      <c r="J9" s="0" t="n">
        <f aca="false">G5</f>
        <v>46</v>
      </c>
      <c r="K9" s="21" t="n">
        <f aca="false">(J9-I9)*C9*8760/1000000</f>
        <v>34.76625</v>
      </c>
    </row>
    <row r="10" customFormat="false" ht="13.5" hidden="false" customHeight="false" outlineLevel="0" collapsed="false">
      <c r="E10" s="22" t="n">
        <f aca="false">F10/(F$6+F$10+F$13)</f>
        <v>0.676567628815365</v>
      </c>
      <c r="F10" s="23" t="n">
        <f aca="false">SUM(F8:F9)</f>
        <v>447.3732</v>
      </c>
      <c r="G10" s="22" t="n">
        <f aca="false">H10/(H$6+H$10+H$13)</f>
        <v>0.689375831228352</v>
      </c>
      <c r="H10" s="23" t="n">
        <f aca="false">SUM(H8:H9)</f>
        <v>1341.156</v>
      </c>
      <c r="J10" s="22" t="n">
        <f aca="false">K10/(K$6+K$10+K$13)</f>
        <v>0.694936701863174</v>
      </c>
      <c r="K10" s="23" t="n">
        <f aca="false">SUM(K8:K9)</f>
        <v>1080.85479</v>
      </c>
      <c r="L10" s="0" t="n">
        <f aca="false">ROUND((I8-D8)*C8/(C8+C9),2)</f>
        <v>5.21</v>
      </c>
      <c r="M10" s="21" t="n">
        <f aca="false">K10-H10</f>
        <v>-260.30121</v>
      </c>
      <c r="N10" s="22" t="n">
        <f aca="false">M10/$M$15</f>
        <v>0.667206678634499</v>
      </c>
    </row>
    <row r="11" customFormat="false" ht="13.5" hidden="false" customHeight="false" outlineLevel="0" collapsed="false">
      <c r="A11" s="0" t="s">
        <v>46</v>
      </c>
    </row>
    <row r="12" customFormat="false" ht="12.75" hidden="false" customHeight="false" outlineLevel="0" collapsed="false">
      <c r="B12" s="0" t="s">
        <v>86</v>
      </c>
      <c r="C12" s="0" t="n">
        <v>1490</v>
      </c>
      <c r="D12" s="0" t="n">
        <v>23</v>
      </c>
      <c r="E12" s="0" t="n">
        <v>28.1</v>
      </c>
      <c r="G12" s="0" t="n">
        <f aca="false">G5</f>
        <v>46</v>
      </c>
      <c r="I12" s="0" t="n">
        <f aca="false">ROUND(D12*$H$16,2)</f>
        <v>29.37</v>
      </c>
      <c r="J12" s="0" t="n">
        <f aca="false">G5</f>
        <v>46</v>
      </c>
      <c r="L12" s="0" t="n">
        <f aca="false">I12-D12</f>
        <v>6.37</v>
      </c>
    </row>
    <row r="13" customFormat="false" ht="13.5" hidden="false" customHeight="false" outlineLevel="0" collapsed="false">
      <c r="E13" s="22" t="n">
        <f aca="false">F13/(F$6+F$10+F$13)</f>
        <v>0.100670401632425</v>
      </c>
      <c r="F13" s="23" t="n">
        <f aca="false">(E12-D12)*C12*8760/1000000</f>
        <v>66.56724</v>
      </c>
      <c r="G13" s="22" t="n">
        <f aca="false">H13/(H$6+H$10+H$13)</f>
        <v>0.154310318329168</v>
      </c>
      <c r="H13" s="32" t="n">
        <f aca="false">(G12-D12)*C12*8760/1000000</f>
        <v>300.2052</v>
      </c>
      <c r="J13" s="22" t="n">
        <f aca="false">K13/(K$6+K$10+K$13)</f>
        <v>0.139559858690216</v>
      </c>
      <c r="K13" s="23" t="n">
        <f aca="false">(J12-I12)*C12*8760/1000000</f>
        <v>217.061412</v>
      </c>
      <c r="M13" s="21" t="n">
        <f aca="false">K13-H13</f>
        <v>-83.143788</v>
      </c>
      <c r="N13" s="22" t="n">
        <f aca="false">M13/$M$15</f>
        <v>0.213114993359312</v>
      </c>
    </row>
    <row r="14" customFormat="false" ht="13.5" hidden="false" customHeight="false" outlineLevel="0" collapsed="false"/>
    <row r="15" customFormat="false" ht="12.75" hidden="false" customHeight="false" outlineLevel="0" collapsed="false">
      <c r="E15" s="0" t="s">
        <v>92</v>
      </c>
      <c r="H15" s="26" t="n">
        <f aca="false">SUM(C5*(D5+0.5)*8760/1000000,C8*(D8+0.5)*8760/1000000,C12*(D12+0.5)*8760/1000000)</f>
        <v>1444.27215</v>
      </c>
      <c r="I15" s="0" t="s">
        <v>93</v>
      </c>
      <c r="J15" s="0" t="s">
        <v>94</v>
      </c>
      <c r="K15" s="21" t="n">
        <f aca="false">SUM(K13,K10,K6)</f>
        <v>1555.328402</v>
      </c>
      <c r="M15" s="21" t="n">
        <f aca="false">SUM(M13,M10,M6)</f>
        <v>-390.135798</v>
      </c>
    </row>
    <row r="16" customFormat="false" ht="12.75" hidden="false" customHeight="false" outlineLevel="0" collapsed="false">
      <c r="F16" s="0" t="s">
        <v>95</v>
      </c>
      <c r="H16" s="27" t="n">
        <f aca="false">1+H17/H15</f>
        <v>1.27695611246121</v>
      </c>
    </row>
    <row r="17" customFormat="false" ht="12.75" hidden="false" customHeight="false" outlineLevel="0" collapsed="false">
      <c r="G17" s="0" t="s">
        <v>42</v>
      </c>
      <c r="H17" s="0" t="n">
        <v>400</v>
      </c>
    </row>
    <row r="19" customFormat="false" ht="12.75" hidden="false" customHeight="false" outlineLevel="0" collapsed="false">
      <c r="F19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2000-09-12T16:44:20Z</dcterms:created>
  <dc:creator>McCoy, Timothy D</dc:creator>
  <dc:description/>
  <dc:language>en-US</dc:language>
  <cp:lastModifiedBy>Norman, Paul</cp:lastModifiedBy>
  <cp:lastPrinted>2000-09-19T17:44:06Z</cp:lastPrinted>
  <cp:revision>0</cp:revision>
  <dc:subject/>
  <dc:title/>
</cp:coreProperties>
</file>