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<sst xmlns="http://schemas.openxmlformats.org/spreadsheetml/2006/main" count="114" uniqueCount="61">
  <si>
    <t xml:space="preserve">Days in Month</t>
  </si>
  <si>
    <t xml:space="preserve">San Jac - Booked Volume</t>
  </si>
  <si>
    <t xml:space="preserve">From Reliant HL&amp;P eyes</t>
  </si>
  <si>
    <t xml:space="preserve">META ID:</t>
  </si>
  <si>
    <t xml:space="preserve">Incremental Deal #1</t>
  </si>
  <si>
    <t xml:space="preserve">TAGG#</t>
  </si>
  <si>
    <t xml:space="preserve">Description</t>
  </si>
  <si>
    <t xml:space="preserve">Daily Volume</t>
  </si>
  <si>
    <t xml:space="preserve">Monthly Volume</t>
  </si>
  <si>
    <t xml:space="preserve">Price</t>
  </si>
  <si>
    <t xml:space="preserve">Basis</t>
  </si>
  <si>
    <t xml:space="preserve">Phys Prem</t>
  </si>
  <si>
    <t xml:space="preserve">Transport</t>
  </si>
  <si>
    <t xml:space="preserve">Contract Price</t>
  </si>
  <si>
    <t xml:space="preserve">Value to FT-Texas</t>
  </si>
  <si>
    <t xml:space="preserve">Deal #</t>
  </si>
  <si>
    <t xml:space="preserve">Volume</t>
  </si>
  <si>
    <t xml:space="preserve">CP</t>
  </si>
  <si>
    <t xml:space="preserve">Income/ (Loss)</t>
  </si>
  <si>
    <t xml:space="preserve">Increm #1 to avg gain/(loss) over</t>
  </si>
  <si>
    <t xml:space="preserve">Increm #2 to avg gain/(loss) over</t>
  </si>
  <si>
    <t xml:space="preserve">San Jac Vol to avg gain/(loss) over</t>
  </si>
  <si>
    <t xml:space="preserve">Total Value to FT-Texas</t>
  </si>
  <si>
    <t xml:space="preserve">Total Value to HL&amp;P</t>
  </si>
  <si>
    <t xml:space="preserve">Discount or Premium to Deal</t>
  </si>
  <si>
    <t xml:space="preserve">Add: Deal Price</t>
  </si>
  <si>
    <t xml:space="preserve">NX1</t>
  </si>
  <si>
    <t xml:space="preserve">Customer Price</t>
  </si>
  <si>
    <t xml:space="preserve">Incremental Deal #2</t>
  </si>
  <si>
    <t xml:space="preserve">Index</t>
  </si>
  <si>
    <t xml:space="preserve">Net Variance</t>
  </si>
  <si>
    <t xml:space="preserve">Discount or Premium to Index</t>
  </si>
  <si>
    <t xml:space="preserve">Sitara #</t>
  </si>
  <si>
    <t xml:space="preserve">SAN JACINCTO VOLUMES</t>
  </si>
  <si>
    <t xml:space="preserve">San Jac: Contract No. 078-41520-303</t>
  </si>
  <si>
    <t xml:space="preserve">EF3197.1</t>
  </si>
  <si>
    <t xml:space="preserve">Physical</t>
  </si>
  <si>
    <t xml:space="preserve">option template</t>
  </si>
  <si>
    <t xml:space="preserve">EU3900.3</t>
  </si>
  <si>
    <t xml:space="preserve">Swap</t>
  </si>
  <si>
    <t xml:space="preserve">EU3900.6</t>
  </si>
  <si>
    <t xml:space="preserve">N13784.1</t>
  </si>
  <si>
    <t xml:space="preserve">Liquidations from FT-Texas (desk perspective)</t>
  </si>
  <si>
    <t xml:space="preserve">Add: Physical Premium</t>
  </si>
  <si>
    <t xml:space="preserve">Total Liquidations from FT-Texas</t>
  </si>
  <si>
    <t xml:space="preserve">I+</t>
  </si>
  <si>
    <t xml:space="preserve">Fixed Price</t>
  </si>
  <si>
    <t xml:space="preserve">Desk Economics</t>
  </si>
  <si>
    <t xml:space="preserve">Xport</t>
  </si>
  <si>
    <t xml:space="preserve">Desk Price</t>
  </si>
  <si>
    <t xml:space="preserve">Income</t>
  </si>
  <si>
    <t xml:space="preserve">Note: HL&amp;P can nom up to 105% of booked volume </t>
  </si>
  <si>
    <t xml:space="preserve">HL&amp;P is only required to pull 95% of booked volume. </t>
  </si>
  <si>
    <t xml:space="preserve">28500/d is priced at I+.02. Excess volumes are priced</t>
  </si>
  <si>
    <t xml:space="preserve">at GDA +.02</t>
  </si>
  <si>
    <t xml:space="preserve">San Jac Contract</t>
  </si>
  <si>
    <t xml:space="preserve">Invoicing</t>
  </si>
  <si>
    <t xml:space="preserve">Incremental #1</t>
  </si>
  <si>
    <t xml:space="preserve">   Tier2</t>
  </si>
  <si>
    <t xml:space="preserve">Incremental #2</t>
  </si>
  <si>
    <t xml:space="preserve">San Jacinto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</si>
</sst>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#,##0"/>
    <numFmt numFmtId="166" formatCode="\$#,##0.0000_);[RED]&quot;($&quot;#,##0.0000\)"/>
    <numFmt numFmtId="167" formatCode="[$-409]#,##0_);\(#,##0\)"/>
    <numFmt numFmtId="168" formatCode="_(\$* #,##0.00_);_(\$* \(#,##0.00\);_(\$* \-??_);_(@_)"/>
    <numFmt numFmtId="169" formatCode="_(\$* #,##0.000_);_(\$* \(#,##0.000\);_(\$* \-??_);_(@_)"/>
    <numFmt numFmtId="170" formatCode="_(\$* #,##0.0000_);_(\$* \(#,##0.0000\);_(\$* \-??_);_(@_)"/>
    <numFmt numFmtId="171" formatCode="_(\$* #,##0_);_(\$* \(#,##0\);_(\$* \-??_);_(@_)"/>
    <numFmt numFmtId="172" formatCode="_(* #,##0.00_);_(* \(#,##0.00\);_(* \-??_);_(@_)"/>
    <numFmt numFmtId="173" formatCode="0_);\(0\)"/>
    <numFmt numFmtId="174" formatCode="\$#,##0.0000_);&quot;($&quot;#,##0.0000\)"/>
    <numFmt numFmtId="175" formatCode="\$#,##0.000000_);&quot;($&quot;#,##0.000000\)"/>
    <numFmt numFmtId="176" formatCode="\$#,##0_);&quot;($&quot;#,##0\)"/>
    <numFmt numFmtId="177" formatCode="_(\$* #,##0.00000_);_(\$* \(#,##0.00000\);_(\$* \-??_);_(@_)"/>
    <numFmt numFmtId="178" formatCode="0"/>
    <numFmt numFmtId="179" formatCode="_(* #,##0_);_(* \(#,##0\);_(* \-??_);_(@_)"/>
    <numFmt numFmtId="180" formatCode="0.00000"/>
    <numFmt numFmtId="181" formatCode="_(* #,##0.0000_);_(* \(#,##0.0000\);_(* \-??_);_(@_)"/>
    <numFmt numFmtId="182" formatCode="#,##0.00000_);\(#,##0.00000\)"/>
    <numFmt numFmtId="183" formatCode="\$#,##0.00000_);&quot;($&quot;#,##0.000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5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4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0.56"/>
    <col collapsed="false" customWidth="true" hidden="false" outlineLevel="0" max="3" min="3" style="0" width="9.28"/>
    <col collapsed="false" customWidth="true" hidden="false" outlineLevel="0" max="4" min="4" style="0" width="11.13"/>
    <col collapsed="false" customWidth="true" hidden="false" outlineLevel="0" max="6" min="6" style="1" width="9.41"/>
    <col collapsed="false" customWidth="true" hidden="false" outlineLevel="0" max="7" min="7" style="0" width="11.28"/>
    <col collapsed="false" customWidth="true" hidden="false" outlineLevel="0" max="8" min="8" style="0" width="11.99"/>
    <col collapsed="false" customWidth="true" hidden="false" outlineLevel="0" max="10" min="9" style="0" width="11.28"/>
    <col collapsed="false" customWidth="true" hidden="false" outlineLevel="0" max="11" min="11" style="0" width="11.42"/>
    <col collapsed="false" customWidth="true" hidden="false" outlineLevel="0" max="12" min="12" style="0" width="9.7"/>
    <col collapsed="false" customWidth="true" hidden="false" outlineLevel="0" max="13" min="13" style="0" width="12.85"/>
    <col collapsed="false" customWidth="true" hidden="false" outlineLevel="0" max="14" min="14" style="0" width="11.56"/>
    <col collapsed="false" customWidth="true" hidden="false" outlineLevel="0" max="15" min="15" style="0" width="8.28"/>
    <col collapsed="false" customWidth="true" hidden="false" outlineLevel="0" max="16" min="16" style="0" width="11.13"/>
    <col collapsed="false" customWidth="true" hidden="false" outlineLevel="0" max="17" min="17" style="0" width="11.28"/>
    <col collapsed="false" customWidth="true" hidden="false" outlineLevel="0" max="18" min="18" style="0" width="8.7"/>
    <col collapsed="false" customWidth="true" hidden="false" outlineLevel="0" max="19" min="19" style="0" width="11.99"/>
    <col collapsed="false" customWidth="true" hidden="false" outlineLevel="0" max="20" min="20" style="0" width="10.28"/>
    <col collapsed="false" customWidth="true" hidden="false" outlineLevel="0" max="21" min="21" style="0" width="9.85"/>
    <col collapsed="false" customWidth="true" hidden="false" outlineLevel="0" max="22" min="22" style="0" width="11.56"/>
    <col collapsed="false" customWidth="true" hidden="false" outlineLevel="0" max="24" min="24" style="0" width="11.28"/>
  </cols>
  <sheetData>
    <row r="1" customFormat="false" ht="39" hidden="false" customHeight="true" outlineLevel="0" collapsed="false">
      <c r="A1" s="2"/>
      <c r="B1" s="3"/>
      <c r="G1" s="4" t="s">
        <v>0</v>
      </c>
      <c r="H1" s="4" t="s">
        <v>1</v>
      </c>
      <c r="N1" s="5"/>
      <c r="P1" s="6" t="s">
        <v>2</v>
      </c>
      <c r="Q1" s="6"/>
      <c r="R1" s="6"/>
      <c r="S1" s="6"/>
    </row>
    <row r="2" customFormat="false" ht="15" hidden="false" customHeight="true" outlineLevel="0" collapsed="false">
      <c r="A2" s="7"/>
      <c r="B2" s="8"/>
      <c r="C2" s="8"/>
      <c r="D2" s="8"/>
      <c r="E2" s="9" t="s">
        <v>3</v>
      </c>
      <c r="F2" s="10" t="n">
        <v>37566</v>
      </c>
      <c r="G2" s="11" t="n">
        <v>31</v>
      </c>
      <c r="H2" s="12" t="n">
        <f aca="false">C31*-1*G2</f>
        <v>883500</v>
      </c>
      <c r="P2" s="7" t="s">
        <v>4</v>
      </c>
      <c r="Q2" s="8"/>
      <c r="R2" s="8"/>
      <c r="S2" s="13" t="n">
        <f aca="false">+I4</f>
        <v>0</v>
      </c>
    </row>
    <row r="3" customFormat="false" ht="25.5" hidden="false" customHeight="false" outlineLevel="0" collapsed="false">
      <c r="A3" s="14" t="s">
        <v>5</v>
      </c>
      <c r="B3" s="14" t="s">
        <v>6</v>
      </c>
      <c r="C3" s="15" t="s">
        <v>7</v>
      </c>
      <c r="D3" s="15" t="s">
        <v>8</v>
      </c>
      <c r="E3" s="14" t="s">
        <v>9</v>
      </c>
      <c r="F3" s="14" t="s">
        <v>10</v>
      </c>
      <c r="G3" s="14" t="s">
        <v>11</v>
      </c>
      <c r="H3" s="14" t="s">
        <v>12</v>
      </c>
      <c r="I3" s="15" t="s">
        <v>13</v>
      </c>
      <c r="J3" s="15" t="s">
        <v>14</v>
      </c>
      <c r="K3" s="16"/>
      <c r="L3" s="1"/>
      <c r="M3" s="1"/>
      <c r="N3" s="1"/>
      <c r="O3" s="1"/>
      <c r="P3" s="14" t="s">
        <v>15</v>
      </c>
      <c r="Q3" s="14" t="s">
        <v>16</v>
      </c>
      <c r="R3" s="14" t="s">
        <v>17</v>
      </c>
      <c r="S3" s="15" t="s">
        <v>18</v>
      </c>
      <c r="T3" s="1"/>
      <c r="U3" s="1"/>
      <c r="V3" s="1"/>
      <c r="W3" s="1"/>
      <c r="X3" s="1"/>
    </row>
    <row r="4" customFormat="false" ht="12.75" hidden="false" customHeight="false" outlineLevel="0" collapsed="false">
      <c r="A4" s="2"/>
      <c r="B4" s="17"/>
      <c r="C4" s="18"/>
      <c r="D4" s="18"/>
      <c r="E4" s="19"/>
      <c r="F4" s="20"/>
      <c r="G4" s="21"/>
      <c r="H4" s="20"/>
      <c r="I4" s="20"/>
      <c r="J4" s="22"/>
      <c r="K4" s="23"/>
      <c r="L4" s="24" t="s">
        <v>19</v>
      </c>
      <c r="M4" s="25"/>
      <c r="N4" s="26"/>
      <c r="P4" s="27"/>
      <c r="Q4" s="28"/>
      <c r="R4" s="29"/>
      <c r="S4" s="30"/>
      <c r="T4" s="31"/>
      <c r="U4" s="31"/>
      <c r="V4" s="31"/>
    </row>
    <row r="5" customFormat="false" ht="12.75" hidden="false" customHeight="false" outlineLevel="0" collapsed="false">
      <c r="A5" s="2"/>
      <c r="B5" s="17"/>
      <c r="C5" s="18"/>
      <c r="D5" s="18"/>
      <c r="E5" s="19"/>
      <c r="F5" s="20"/>
      <c r="G5" s="20"/>
      <c r="H5" s="20"/>
      <c r="I5" s="20"/>
      <c r="J5" s="22"/>
      <c r="K5" s="32"/>
      <c r="L5" s="33"/>
      <c r="M5" s="34"/>
      <c r="N5" s="35" t="n">
        <v>1</v>
      </c>
      <c r="P5" s="0" t="n">
        <f aca="false">A5</f>
        <v>0</v>
      </c>
      <c r="Q5" s="36" t="n">
        <f aca="false">D5*-1</f>
        <v>-0</v>
      </c>
      <c r="R5" s="37" t="n">
        <f aca="false">I5</f>
        <v>0</v>
      </c>
      <c r="S5" s="38" t="n">
        <f aca="false">($N$18-R5)*Q5</f>
        <v>-0</v>
      </c>
    </row>
    <row r="6" customFormat="false" ht="12.75" hidden="false" customHeight="false" outlineLevel="0" collapsed="false">
      <c r="A6" s="2"/>
      <c r="B6" s="1"/>
      <c r="C6" s="18"/>
      <c r="D6" s="18"/>
      <c r="E6" s="19"/>
      <c r="F6" s="20"/>
      <c r="I6" s="20"/>
      <c r="J6" s="22"/>
      <c r="K6" s="32"/>
      <c r="L6" s="39" t="s">
        <v>20</v>
      </c>
      <c r="M6" s="40"/>
      <c r="N6" s="41"/>
      <c r="P6" s="0" t="n">
        <f aca="false">A6</f>
        <v>0</v>
      </c>
      <c r="Q6" s="36" t="n">
        <f aca="false">D6*-1</f>
        <v>-0</v>
      </c>
      <c r="R6" s="37" t="n">
        <f aca="false">I6</f>
        <v>0</v>
      </c>
      <c r="S6" s="38" t="n">
        <f aca="false">($N$18-R6)*Q6</f>
        <v>-0</v>
      </c>
    </row>
    <row r="7" customFormat="false" ht="12.75" hidden="false" customHeight="false" outlineLevel="0" collapsed="false">
      <c r="A7" s="2"/>
      <c r="B7" s="17"/>
      <c r="C7" s="18"/>
      <c r="D7" s="18"/>
      <c r="E7" s="19"/>
      <c r="F7" s="20"/>
      <c r="G7" s="20"/>
      <c r="H7" s="20"/>
      <c r="I7" s="20"/>
      <c r="J7" s="42"/>
      <c r="K7" s="32"/>
      <c r="L7" s="33"/>
      <c r="M7" s="34"/>
      <c r="N7" s="35" t="n">
        <v>1</v>
      </c>
      <c r="P7" s="0" t="n">
        <f aca="false">A7</f>
        <v>0</v>
      </c>
      <c r="Q7" s="36" t="n">
        <f aca="false">D7*-1</f>
        <v>-0</v>
      </c>
      <c r="R7" s="37" t="n">
        <f aca="false">I7</f>
        <v>0</v>
      </c>
      <c r="S7" s="38" t="n">
        <f aca="false">($N$18-R7)*Q7</f>
        <v>-0</v>
      </c>
    </row>
    <row r="8" customFormat="false" ht="12.75" hidden="false" customHeight="false" outlineLevel="0" collapsed="false">
      <c r="A8" s="2"/>
      <c r="B8" s="17"/>
      <c r="C8" s="18"/>
      <c r="D8" s="18"/>
      <c r="E8" s="19"/>
      <c r="F8" s="20"/>
      <c r="G8" s="20"/>
      <c r="H8" s="20"/>
      <c r="I8" s="20"/>
      <c r="J8" s="22"/>
      <c r="K8" s="32"/>
      <c r="L8" s="39" t="s">
        <v>21</v>
      </c>
      <c r="M8" s="34"/>
      <c r="N8" s="43"/>
      <c r="Q8" s="36"/>
      <c r="R8" s="37"/>
      <c r="S8" s="38"/>
    </row>
    <row r="9" customFormat="false" ht="12.75" hidden="false" customHeight="false" outlineLevel="0" collapsed="false">
      <c r="A9" s="2"/>
      <c r="B9" s="17"/>
      <c r="C9" s="18"/>
      <c r="D9" s="18"/>
      <c r="E9" s="19"/>
      <c r="F9" s="20"/>
      <c r="G9" s="20"/>
      <c r="H9" s="2" t="s">
        <v>22</v>
      </c>
      <c r="I9" s="20"/>
      <c r="J9" s="22" t="n">
        <f aca="false">SUM(J4:J7)</f>
        <v>0</v>
      </c>
      <c r="K9" s="32"/>
      <c r="L9" s="44"/>
      <c r="M9" s="45"/>
      <c r="N9" s="46" t="n">
        <v>310000</v>
      </c>
      <c r="O9" s="47"/>
      <c r="P9" s="0" t="s">
        <v>23</v>
      </c>
      <c r="S9" s="22" t="n">
        <f aca="false">SUM(S5:S8)</f>
        <v>0</v>
      </c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</row>
    <row r="10" customFormat="false" ht="12.75" hidden="false" customHeight="false" outlineLevel="0" collapsed="false">
      <c r="A10" s="2"/>
      <c r="B10" s="17"/>
      <c r="C10" s="18"/>
      <c r="D10" s="18"/>
      <c r="E10" s="19"/>
      <c r="F10" s="20"/>
      <c r="G10" s="20"/>
      <c r="H10" s="20"/>
      <c r="I10" s="20"/>
      <c r="J10" s="22"/>
      <c r="K10" s="32"/>
      <c r="O10" s="49"/>
      <c r="S10" s="22"/>
    </row>
    <row r="11" customFormat="false" ht="12.75" hidden="false" customHeight="false" outlineLevel="0" collapsed="false">
      <c r="A11" s="2"/>
      <c r="B11" s="17"/>
      <c r="C11" s="18"/>
      <c r="D11" s="18"/>
      <c r="E11" s="19"/>
      <c r="F11" s="20"/>
      <c r="G11" s="20"/>
      <c r="H11" s="20"/>
      <c r="I11" s="20"/>
      <c r="J11" s="22"/>
      <c r="K11" s="32"/>
      <c r="O11" s="49"/>
      <c r="P11" s="0" t="s">
        <v>24</v>
      </c>
      <c r="S11" s="37" t="n">
        <f aca="false">(S9/N5)*-1</f>
        <v>-0</v>
      </c>
    </row>
    <row r="12" customFormat="false" ht="12.75" hidden="false" customHeight="false" outlineLevel="0" collapsed="false">
      <c r="O12" s="49"/>
      <c r="P12" s="0" t="s">
        <v>25</v>
      </c>
      <c r="S12" s="50" t="n">
        <f aca="false">+I4</f>
        <v>0</v>
      </c>
    </row>
    <row r="13" customFormat="false" ht="12.75" hidden="false" customHeight="false" outlineLevel="0" collapsed="false">
      <c r="M13" s="51"/>
      <c r="N13" s="52"/>
      <c r="O13" s="49"/>
    </row>
    <row r="14" customFormat="false" ht="12.75" hidden="false" customHeight="false" outlineLevel="0" collapsed="false">
      <c r="L14" s="32"/>
      <c r="M14" s="53" t="s">
        <v>26</v>
      </c>
      <c r="N14" s="54" t="n">
        <v>2.344</v>
      </c>
      <c r="O14" s="49"/>
      <c r="P14" s="2" t="s">
        <v>27</v>
      </c>
      <c r="R14" s="55"/>
      <c r="S14" s="56" t="n">
        <f aca="false">S11+S12</f>
        <v>0</v>
      </c>
    </row>
    <row r="15" customFormat="false" ht="12.75" hidden="false" customHeight="false" outlineLevel="0" collapsed="false">
      <c r="A15" s="2"/>
      <c r="B15" s="3"/>
      <c r="L15" s="32"/>
      <c r="M15" s="53" t="s">
        <v>10</v>
      </c>
      <c r="N15" s="54" t="n">
        <v>-0.004</v>
      </c>
      <c r="O15" s="49"/>
      <c r="P15" s="2"/>
      <c r="S15" s="57"/>
    </row>
    <row r="16" customFormat="false" ht="12.75" hidden="false" customHeight="false" outlineLevel="0" collapsed="false">
      <c r="A16" s="7"/>
      <c r="B16" s="8"/>
      <c r="C16" s="8"/>
      <c r="D16" s="8"/>
      <c r="E16" s="9" t="s">
        <v>3</v>
      </c>
      <c r="F16" s="10" t="n">
        <v>37566</v>
      </c>
      <c r="K16" s="38"/>
      <c r="M16" s="53" t="s">
        <v>11</v>
      </c>
      <c r="N16" s="58" t="n">
        <v>-0.015</v>
      </c>
      <c r="O16" s="49"/>
      <c r="P16" s="7" t="s">
        <v>28</v>
      </c>
      <c r="Q16" s="8"/>
      <c r="R16" s="8"/>
      <c r="S16" s="13" t="n">
        <f aca="false">+I18</f>
        <v>0</v>
      </c>
    </row>
    <row r="17" customFormat="false" ht="25.5" hidden="false" customHeight="false" outlineLevel="0" collapsed="false">
      <c r="A17" s="14" t="s">
        <v>5</v>
      </c>
      <c r="B17" s="14" t="s">
        <v>6</v>
      </c>
      <c r="C17" s="15" t="s">
        <v>7</v>
      </c>
      <c r="D17" s="15" t="s">
        <v>8</v>
      </c>
      <c r="E17" s="14" t="s">
        <v>9</v>
      </c>
      <c r="F17" s="14" t="s">
        <v>10</v>
      </c>
      <c r="G17" s="14" t="s">
        <v>11</v>
      </c>
      <c r="H17" s="14" t="s">
        <v>12</v>
      </c>
      <c r="I17" s="15" t="s">
        <v>13</v>
      </c>
      <c r="J17" s="15" t="s">
        <v>14</v>
      </c>
      <c r="K17" s="38"/>
      <c r="M17" s="59"/>
      <c r="N17" s="54"/>
      <c r="O17" s="49"/>
      <c r="P17" s="14" t="s">
        <v>15</v>
      </c>
      <c r="Q17" s="14" t="s">
        <v>16</v>
      </c>
      <c r="R17" s="14" t="s">
        <v>17</v>
      </c>
      <c r="S17" s="15" t="s">
        <v>18</v>
      </c>
    </row>
    <row r="18" customFormat="false" ht="12.75" hidden="false" customHeight="false" outlineLevel="0" collapsed="false">
      <c r="A18" s="2"/>
      <c r="B18" s="17"/>
      <c r="C18" s="18"/>
      <c r="D18" s="18"/>
      <c r="E18" s="19"/>
      <c r="F18" s="20"/>
      <c r="G18" s="21"/>
      <c r="H18" s="20"/>
      <c r="I18" s="20"/>
      <c r="J18" s="22"/>
      <c r="K18" s="38"/>
      <c r="M18" s="53" t="s">
        <v>29</v>
      </c>
      <c r="N18" s="54" t="n">
        <f aca="false">N14+N15</f>
        <v>2.34</v>
      </c>
    </row>
    <row r="19" customFormat="false" ht="12.75" hidden="false" customHeight="false" outlineLevel="0" collapsed="false">
      <c r="A19" s="2"/>
      <c r="B19" s="1"/>
      <c r="C19" s="18"/>
      <c r="D19" s="18"/>
      <c r="E19" s="19"/>
      <c r="F19" s="20"/>
      <c r="I19" s="20"/>
      <c r="J19" s="22"/>
      <c r="K19" s="32"/>
      <c r="M19" s="59"/>
      <c r="N19" s="60"/>
      <c r="P19" s="0" t="n">
        <f aca="false">A19</f>
        <v>0</v>
      </c>
      <c r="Q19" s="36" t="n">
        <f aca="false">D19*-1</f>
        <v>-0</v>
      </c>
      <c r="R19" s="37" t="n">
        <f aca="false">I19</f>
        <v>0</v>
      </c>
      <c r="S19" s="38" t="n">
        <f aca="false">($N$18-R19)*Q19</f>
        <v>-0</v>
      </c>
    </row>
    <row r="20" customFormat="false" ht="12.75" hidden="false" customHeight="false" outlineLevel="0" collapsed="false">
      <c r="A20" s="2"/>
      <c r="B20" s="17"/>
      <c r="C20" s="18"/>
      <c r="D20" s="18"/>
      <c r="E20" s="19"/>
      <c r="F20" s="20"/>
      <c r="G20" s="61"/>
      <c r="H20" s="61"/>
      <c r="I20" s="20"/>
      <c r="J20" s="22"/>
      <c r="K20" s="38"/>
      <c r="M20" s="33"/>
      <c r="N20" s="43"/>
      <c r="Q20" s="36"/>
      <c r="R20" s="37"/>
      <c r="S20" s="38"/>
    </row>
    <row r="21" customFormat="false" ht="13.5" hidden="false" customHeight="false" outlineLevel="0" collapsed="false">
      <c r="A21" s="2"/>
      <c r="B21" s="17"/>
      <c r="C21" s="18"/>
      <c r="D21" s="18"/>
      <c r="E21" s="19"/>
      <c r="F21" s="20"/>
      <c r="G21" s="61"/>
      <c r="H21" s="2" t="s">
        <v>22</v>
      </c>
      <c r="I21" s="20"/>
      <c r="J21" s="22" t="n">
        <f aca="false">SUM(J18:J19)</f>
        <v>0</v>
      </c>
      <c r="K21" s="38"/>
      <c r="M21" s="39" t="s">
        <v>30</v>
      </c>
      <c r="N21" s="43"/>
      <c r="P21" s="0" t="s">
        <v>23</v>
      </c>
      <c r="S21" s="22" t="n">
        <f aca="false">+S19</f>
        <v>-0</v>
      </c>
    </row>
    <row r="22" customFormat="false" ht="13.5" hidden="false" customHeight="false" outlineLevel="0" collapsed="false">
      <c r="A22" s="2"/>
      <c r="B22" s="17"/>
      <c r="C22" s="18"/>
      <c r="D22" s="18"/>
      <c r="E22" s="19"/>
      <c r="F22" s="20"/>
      <c r="G22" s="20"/>
      <c r="H22" s="20"/>
      <c r="I22" s="20"/>
      <c r="J22" s="22"/>
      <c r="K22" s="38"/>
      <c r="M22" s="62" t="n">
        <f aca="false">+G66+K44-H53</f>
        <v>0</v>
      </c>
      <c r="N22" s="63"/>
      <c r="S22" s="22"/>
    </row>
    <row r="23" customFormat="false" ht="12.75" hidden="false" customHeight="false" outlineLevel="0" collapsed="false">
      <c r="A23" s="2"/>
      <c r="B23" s="17"/>
      <c r="C23" s="18"/>
      <c r="D23" s="18"/>
      <c r="E23" s="19"/>
      <c r="F23" s="20"/>
      <c r="G23" s="20"/>
      <c r="H23" s="20"/>
      <c r="I23" s="20"/>
      <c r="J23" s="22"/>
      <c r="K23" s="38"/>
      <c r="P23" s="0" t="s">
        <v>31</v>
      </c>
      <c r="S23" s="37" t="n">
        <f aca="false">+S21/N7*-1</f>
        <v>0</v>
      </c>
    </row>
    <row r="24" customFormat="false" ht="12.75" hidden="false" customHeight="false" outlineLevel="0" collapsed="false">
      <c r="A24" s="27"/>
      <c r="B24" s="64"/>
      <c r="C24" s="65"/>
      <c r="D24" s="65"/>
      <c r="E24" s="66"/>
      <c r="F24" s="0"/>
      <c r="H24" s="2"/>
      <c r="J24" s="38"/>
      <c r="K24" s="22"/>
      <c r="P24" s="0" t="s">
        <v>25</v>
      </c>
      <c r="S24" s="50" t="n">
        <f aca="false">+I18</f>
        <v>0</v>
      </c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customFormat="false" ht="12.75" hidden="false" customHeight="false" outlineLevel="0" collapsed="false">
      <c r="D25" s="67"/>
      <c r="F25" s="0"/>
      <c r="M25" s="68"/>
      <c r="N25" s="69"/>
      <c r="Y25" s="1"/>
      <c r="Z25" s="1"/>
      <c r="AA25" s="1"/>
      <c r="AB25" s="1"/>
      <c r="AC25" s="1"/>
      <c r="AD25" s="1"/>
    </row>
    <row r="26" customFormat="false" ht="12.75" hidden="false" customHeight="false" outlineLevel="0" collapsed="false">
      <c r="C26" s="67"/>
      <c r="D26" s="67"/>
      <c r="M26" s="70"/>
      <c r="N26" s="71"/>
      <c r="P26" s="2" t="s">
        <v>27</v>
      </c>
      <c r="R26" s="55"/>
      <c r="S26" s="56" t="n">
        <f aca="false">S23+S24</f>
        <v>0</v>
      </c>
    </row>
    <row r="27" customFormat="false" ht="12.75" hidden="false" customHeight="false" outlineLevel="0" collapsed="false">
      <c r="A27" s="2"/>
      <c r="B27" s="72"/>
      <c r="C27" s="67"/>
      <c r="D27" s="67"/>
      <c r="M27" s="49"/>
      <c r="N27" s="49"/>
      <c r="O27" s="73"/>
      <c r="P27" s="2"/>
      <c r="S27" s="56"/>
    </row>
    <row r="28" customFormat="false" ht="12.75" hidden="false" customHeight="false" outlineLevel="0" collapsed="false">
      <c r="A28" s="2" t="s">
        <v>32</v>
      </c>
      <c r="B28" s="72" t="n">
        <v>93485</v>
      </c>
      <c r="C28" s="67"/>
      <c r="D28" s="67"/>
      <c r="M28" s="74"/>
      <c r="N28" s="49"/>
      <c r="O28" s="73"/>
      <c r="P28" s="2"/>
      <c r="S28" s="75"/>
      <c r="U28" s="1"/>
      <c r="V28" s="1"/>
      <c r="W28" s="1"/>
      <c r="X28" s="1"/>
    </row>
    <row r="29" customFormat="false" ht="12.75" hidden="false" customHeight="false" outlineLevel="0" collapsed="false">
      <c r="A29" s="7" t="s">
        <v>33</v>
      </c>
      <c r="B29" s="8"/>
      <c r="C29" s="76"/>
      <c r="D29" s="76"/>
      <c r="E29" s="9" t="s">
        <v>3</v>
      </c>
      <c r="F29" s="10" t="n">
        <v>37566</v>
      </c>
      <c r="K29" s="77"/>
      <c r="M29" s="74"/>
      <c r="N29" s="49"/>
      <c r="P29" s="7" t="s">
        <v>34</v>
      </c>
      <c r="Q29" s="8"/>
      <c r="R29" s="8"/>
      <c r="S29" s="78"/>
    </row>
    <row r="30" customFormat="false" ht="25.5" hidden="false" customHeight="false" outlineLevel="0" collapsed="false">
      <c r="A30" s="14" t="s">
        <v>5</v>
      </c>
      <c r="B30" s="14" t="s">
        <v>6</v>
      </c>
      <c r="C30" s="79" t="s">
        <v>7</v>
      </c>
      <c r="D30" s="15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5" t="s">
        <v>13</v>
      </c>
      <c r="J30" s="15" t="s">
        <v>14</v>
      </c>
      <c r="K30" s="16"/>
      <c r="M30" s="74"/>
      <c r="N30" s="49"/>
      <c r="P30" s="14" t="s">
        <v>15</v>
      </c>
      <c r="Q30" s="14" t="s">
        <v>16</v>
      </c>
      <c r="R30" s="14" t="s">
        <v>17</v>
      </c>
      <c r="S30" s="15" t="s">
        <v>18</v>
      </c>
    </row>
    <row r="31" customFormat="false" ht="12.75" hidden="false" customHeight="false" outlineLevel="0" collapsed="false">
      <c r="A31" s="2" t="s">
        <v>35</v>
      </c>
      <c r="B31" s="1" t="s">
        <v>36</v>
      </c>
      <c r="C31" s="80" t="n">
        <v>-28500</v>
      </c>
      <c r="D31" s="18" t="n">
        <f aca="false">C31*$G$2</f>
        <v>-883500</v>
      </c>
      <c r="F31" s="81"/>
      <c r="G31" s="81" t="n">
        <v>0.02</v>
      </c>
      <c r="H31" s="81"/>
      <c r="I31" s="81" t="n">
        <f aca="false">E31+F31+G31+H31</f>
        <v>0.02</v>
      </c>
      <c r="J31" s="22" t="n">
        <f aca="false">(N16-G31)*D31</f>
        <v>30922.5</v>
      </c>
      <c r="K31" s="77" t="n">
        <f aca="false">+(883500-A51)/D31*J31</f>
        <v>4270.49</v>
      </c>
    </row>
    <row r="32" customFormat="false" ht="12.75" hidden="false" customHeight="false" outlineLevel="0" collapsed="false">
      <c r="A32" s="2"/>
      <c r="B32" s="17"/>
      <c r="C32" s="18"/>
      <c r="D32" s="18"/>
      <c r="E32" s="19"/>
      <c r="F32" s="20"/>
      <c r="G32" s="20"/>
      <c r="H32" s="20"/>
      <c r="I32" s="81" t="n">
        <f aca="false">E32+F32+G32+H32</f>
        <v>0</v>
      </c>
      <c r="J32" s="22" t="n">
        <f aca="false">IF($N$18&gt;I32,($N$18-I32)*D32,0)</f>
        <v>0</v>
      </c>
      <c r="K32" s="38"/>
      <c r="L32" s="0" t="s">
        <v>37</v>
      </c>
      <c r="M32" s="74"/>
      <c r="N32" s="49"/>
      <c r="P32" s="0" t="n">
        <f aca="false">A32</f>
        <v>0</v>
      </c>
      <c r="Q32" s="1" t="n">
        <f aca="false">D32*-1</f>
        <v>-0</v>
      </c>
      <c r="R32" s="37" t="n">
        <f aca="false">I32</f>
        <v>0</v>
      </c>
      <c r="S32" s="38" t="n">
        <f aca="false">IF($N$18&gt;R32,($N$18-R32)*Q32,0)</f>
        <v>-0</v>
      </c>
    </row>
    <row r="33" customFormat="false" ht="12.75" hidden="false" customHeight="false" outlineLevel="0" collapsed="false">
      <c r="A33" s="2"/>
      <c r="B33" s="17"/>
      <c r="C33" s="18"/>
      <c r="D33" s="18"/>
      <c r="E33" s="19"/>
      <c r="F33" s="20"/>
      <c r="G33" s="20"/>
      <c r="H33" s="20"/>
      <c r="I33" s="20" t="n">
        <f aca="false">E33+F33+G33+H33</f>
        <v>0</v>
      </c>
      <c r="J33" s="22" t="n">
        <f aca="false">(($N$18)-(E33+F33))*D33</f>
        <v>0</v>
      </c>
      <c r="K33" s="38"/>
      <c r="M33" s="74"/>
      <c r="N33" s="49"/>
      <c r="P33" s="0" t="n">
        <f aca="false">A33</f>
        <v>0</v>
      </c>
      <c r="Q33" s="80" t="n">
        <f aca="false">D33*-1</f>
        <v>-0</v>
      </c>
      <c r="R33" s="37" t="n">
        <f aca="false">I33</f>
        <v>0</v>
      </c>
      <c r="S33" s="38" t="n">
        <f aca="false">($N$18-R33)*Q33</f>
        <v>-0</v>
      </c>
    </row>
    <row r="34" customFormat="false" ht="12.75" hidden="false" customHeight="false" outlineLevel="0" collapsed="false">
      <c r="A34" s="2" t="s">
        <v>38</v>
      </c>
      <c r="B34" s="17" t="s">
        <v>39</v>
      </c>
      <c r="C34" s="18"/>
      <c r="D34" s="18" t="n">
        <v>300000</v>
      </c>
      <c r="E34" s="19" t="n">
        <v>2.24</v>
      </c>
      <c r="F34" s="20" t="n">
        <v>0</v>
      </c>
      <c r="G34" s="20"/>
      <c r="H34" s="20"/>
      <c r="I34" s="20" t="n">
        <f aca="false">E34+F34+G34+H34</f>
        <v>2.24</v>
      </c>
      <c r="J34" s="22" t="n">
        <f aca="false">(($N$18)-(E34+F34))*D34</f>
        <v>29999.9999999999</v>
      </c>
      <c r="K34" s="38"/>
      <c r="M34" s="74"/>
      <c r="N34" s="49"/>
      <c r="P34" s="0" t="str">
        <f aca="false">A34</f>
        <v>EU3900.3</v>
      </c>
      <c r="Q34" s="80" t="n">
        <f aca="false">D34*-1</f>
        <v>-300000</v>
      </c>
      <c r="R34" s="37" t="n">
        <f aca="false">I34</f>
        <v>2.24</v>
      </c>
      <c r="S34" s="38" t="n">
        <f aca="false">($N$18-R34)*Q34</f>
        <v>-29999.9999999999</v>
      </c>
    </row>
    <row r="35" customFormat="false" ht="12.75" hidden="false" customHeight="false" outlineLevel="0" collapsed="false">
      <c r="A35" s="2" t="s">
        <v>40</v>
      </c>
      <c r="B35" s="17" t="s">
        <v>39</v>
      </c>
      <c r="C35" s="18"/>
      <c r="D35" s="18" t="n">
        <v>-300000</v>
      </c>
      <c r="E35" s="19" t="n">
        <v>2.295</v>
      </c>
      <c r="F35" s="20" t="n">
        <v>0</v>
      </c>
      <c r="G35" s="20"/>
      <c r="H35" s="20"/>
      <c r="I35" s="20" t="n">
        <f aca="false">E35+F35+G35+H35</f>
        <v>2.295</v>
      </c>
      <c r="J35" s="22" t="n">
        <f aca="false">(($N$18)-(E35+F35))*D35</f>
        <v>-13500</v>
      </c>
      <c r="K35" s="38"/>
      <c r="M35" s="69"/>
      <c r="N35" s="49"/>
      <c r="P35" s="0" t="str">
        <f aca="false">A35</f>
        <v>EU3900.6</v>
      </c>
      <c r="Q35" s="80" t="n">
        <f aca="false">D35*-1</f>
        <v>300000</v>
      </c>
      <c r="R35" s="37" t="n">
        <f aca="false">I35</f>
        <v>2.295</v>
      </c>
      <c r="S35" s="38" t="n">
        <f aca="false">($N$18-R35)*Q35</f>
        <v>13500</v>
      </c>
    </row>
    <row r="36" customFormat="false" ht="12.75" hidden="false" customHeight="false" outlineLevel="0" collapsed="false">
      <c r="A36" s="2" t="s">
        <v>41</v>
      </c>
      <c r="B36" s="17" t="s">
        <v>39</v>
      </c>
      <c r="C36" s="18" t="n">
        <v>10000</v>
      </c>
      <c r="D36" s="18" t="n">
        <f aca="false">+C36*$G$2</f>
        <v>310000</v>
      </c>
      <c r="E36" s="19" t="n">
        <v>2.9775</v>
      </c>
      <c r="F36" s="20" t="n">
        <v>-0.0775</v>
      </c>
      <c r="G36" s="20"/>
      <c r="H36" s="20"/>
      <c r="I36" s="20" t="n">
        <f aca="false">E36+F36+G36+H36</f>
        <v>2.9</v>
      </c>
      <c r="J36" s="22" t="n">
        <f aca="false">(($N$18)-(E36+F36))*D36</f>
        <v>-173600</v>
      </c>
      <c r="K36" s="38"/>
      <c r="L36" s="17"/>
      <c r="M36" s="49"/>
      <c r="N36" s="49"/>
      <c r="P36" s="0" t="str">
        <f aca="false">A36</f>
        <v>N13784.1</v>
      </c>
      <c r="Q36" s="80" t="n">
        <f aca="false">D36*-1</f>
        <v>-310000</v>
      </c>
      <c r="R36" s="37" t="n">
        <f aca="false">I36</f>
        <v>2.9</v>
      </c>
      <c r="S36" s="38" t="n">
        <f aca="false">($N$18-R36)*Q36</f>
        <v>173600</v>
      </c>
    </row>
    <row r="37" customFormat="false" ht="12.75" hidden="false" customHeight="false" outlineLevel="0" collapsed="false">
      <c r="A37" s="2"/>
      <c r="B37" s="17"/>
      <c r="C37" s="18"/>
      <c r="D37" s="18"/>
      <c r="E37" s="19"/>
      <c r="F37" s="20"/>
      <c r="G37" s="20"/>
      <c r="H37" s="20"/>
      <c r="I37" s="20" t="n">
        <f aca="false">E37+F37+G37+H37</f>
        <v>0</v>
      </c>
      <c r="J37" s="22" t="n">
        <f aca="false">(($N$18)-(E37+F37))*D37</f>
        <v>0</v>
      </c>
      <c r="K37" s="38"/>
      <c r="L37" s="17"/>
      <c r="M37" s="49"/>
      <c r="N37" s="49"/>
      <c r="P37" s="0" t="n">
        <f aca="false">A37</f>
        <v>0</v>
      </c>
      <c r="Q37" s="80" t="n">
        <f aca="false">D37*-1</f>
        <v>-0</v>
      </c>
      <c r="R37" s="37" t="n">
        <f aca="false">I37</f>
        <v>0</v>
      </c>
      <c r="S37" s="38" t="n">
        <f aca="false">($N$18-R37)*Q37</f>
        <v>-0</v>
      </c>
    </row>
    <row r="38" customFormat="false" ht="12.75" hidden="false" customHeight="false" outlineLevel="0" collapsed="false">
      <c r="A38" s="2"/>
      <c r="B38" s="17"/>
      <c r="C38" s="18"/>
      <c r="D38" s="18"/>
      <c r="E38" s="19"/>
      <c r="F38" s="20"/>
      <c r="G38" s="61"/>
      <c r="H38" s="61"/>
      <c r="I38" s="20"/>
      <c r="J38" s="22"/>
      <c r="L38" s="73"/>
      <c r="M38" s="69"/>
      <c r="N38" s="69"/>
      <c r="P38" s="0" t="n">
        <f aca="false">A38</f>
        <v>0</v>
      </c>
      <c r="Q38" s="36" t="n">
        <f aca="false">D38*-1</f>
        <v>-0</v>
      </c>
      <c r="R38" s="37" t="n">
        <f aca="false">I38</f>
        <v>0</v>
      </c>
      <c r="S38" s="38" t="n">
        <f aca="false">($N$18-R38)*Q38</f>
        <v>-0</v>
      </c>
      <c r="T38" s="38"/>
    </row>
    <row r="39" customFormat="false" ht="12.75" hidden="false" customHeight="false" outlineLevel="0" collapsed="false">
      <c r="C39" s="67"/>
      <c r="H39" s="2"/>
      <c r="K39" s="22"/>
      <c r="L39" s="82"/>
      <c r="M39" s="69"/>
      <c r="N39" s="71"/>
    </row>
    <row r="40" customFormat="false" ht="12.75" hidden="false" customHeight="false" outlineLevel="0" collapsed="false">
      <c r="C40" s="67"/>
      <c r="H40" s="2" t="s">
        <v>22</v>
      </c>
      <c r="J40" s="22" t="n">
        <f aca="false">SUM(J31:J38)</f>
        <v>-126177.5</v>
      </c>
      <c r="M40" s="49"/>
      <c r="N40" s="49"/>
      <c r="P40" s="0" t="s">
        <v>23</v>
      </c>
      <c r="S40" s="22" t="n">
        <f aca="false">SUM(S32:S38)</f>
        <v>157100</v>
      </c>
    </row>
    <row r="41" customFormat="false" ht="12.75" hidden="false" customHeight="false" outlineLevel="0" collapsed="false">
      <c r="C41" s="49"/>
      <c r="D41" s="49"/>
      <c r="E41" s="49"/>
      <c r="F41" s="83"/>
      <c r="G41" s="84"/>
      <c r="H41" s="49"/>
      <c r="I41" s="49"/>
      <c r="J41" s="49"/>
      <c r="K41" s="85"/>
      <c r="M41" s="49"/>
      <c r="N41" s="49"/>
      <c r="O41" s="73"/>
    </row>
    <row r="42" customFormat="false" ht="12.75" hidden="false" customHeight="false" outlineLevel="0" collapsed="false">
      <c r="C42" s="49"/>
      <c r="D42" s="49"/>
      <c r="F42" s="69" t="s">
        <v>42</v>
      </c>
      <c r="I42" s="49"/>
      <c r="J42" s="49"/>
      <c r="K42" s="85" t="n">
        <f aca="false">(J40+J21+J9)*-1</f>
        <v>126177.5</v>
      </c>
      <c r="M42" s="86"/>
      <c r="N42" s="86"/>
      <c r="P42" s="0" t="s">
        <v>31</v>
      </c>
      <c r="S42" s="37" t="n">
        <f aca="false">(S40/N9)*-1</f>
        <v>-0.506774193548388</v>
      </c>
      <c r="X42" s="31"/>
    </row>
    <row r="43" customFormat="false" ht="12.75" hidden="false" customHeight="false" outlineLevel="0" collapsed="false">
      <c r="C43" s="49"/>
      <c r="D43" s="49"/>
      <c r="E43" s="49"/>
      <c r="F43" s="87"/>
      <c r="G43" s="77"/>
      <c r="H43" s="77"/>
      <c r="I43" s="77"/>
      <c r="J43" s="77"/>
      <c r="K43" s="85"/>
      <c r="M43" s="69"/>
      <c r="N43" s="49"/>
      <c r="O43" s="1"/>
      <c r="P43" s="0" t="s">
        <v>43</v>
      </c>
      <c r="S43" s="88" t="n">
        <f aca="false">G31</f>
        <v>0.02</v>
      </c>
      <c r="X43" s="31"/>
    </row>
    <row r="44" customFormat="false" ht="15" hidden="false" customHeight="false" outlineLevel="0" collapsed="false">
      <c r="F44" s="89" t="s">
        <v>44</v>
      </c>
      <c r="G44" s="90"/>
      <c r="H44" s="90"/>
      <c r="I44" s="90"/>
      <c r="J44" s="91"/>
      <c r="K44" s="92" t="n">
        <f aca="false">+K42+K43</f>
        <v>126177.5</v>
      </c>
      <c r="M44" s="69"/>
      <c r="N44" s="49"/>
      <c r="O44" s="49"/>
      <c r="P44" s="2" t="s">
        <v>27</v>
      </c>
      <c r="R44" s="55" t="s">
        <v>45</v>
      </c>
      <c r="S44" s="93" t="n">
        <f aca="false">S42+S43</f>
        <v>-0.486774193548387</v>
      </c>
      <c r="X44" s="31"/>
    </row>
    <row r="45" customFormat="false" ht="12.75" hidden="false" customHeight="false" outlineLevel="0" collapsed="false">
      <c r="J45" s="69"/>
      <c r="K45" s="69"/>
      <c r="M45" s="69"/>
      <c r="N45" s="49"/>
      <c r="O45" s="49"/>
      <c r="P45" s="2" t="s">
        <v>46</v>
      </c>
      <c r="S45" s="94" t="n">
        <f aca="false">S44+N18</f>
        <v>1.85322580645161</v>
      </c>
      <c r="X45" s="31"/>
    </row>
    <row r="46" customFormat="false" ht="12.75" hidden="false" customHeight="false" outlineLevel="0" collapsed="false">
      <c r="A46" s="7" t="s">
        <v>47</v>
      </c>
      <c r="B46" s="8"/>
      <c r="C46" s="8"/>
      <c r="D46" s="8"/>
      <c r="E46" s="8"/>
      <c r="F46" s="95"/>
      <c r="G46" s="49"/>
      <c r="J46" s="69"/>
      <c r="K46" s="69"/>
      <c r="M46" s="69"/>
      <c r="N46" s="49"/>
      <c r="O46" s="49"/>
      <c r="P46" s="83"/>
      <c r="Q46" s="49"/>
      <c r="R46" s="49"/>
      <c r="S46" s="69"/>
      <c r="X46" s="31"/>
    </row>
    <row r="47" customFormat="false" ht="25.5" hidden="false" customHeight="false" outlineLevel="0" collapsed="false">
      <c r="A47" s="14" t="s">
        <v>16</v>
      </c>
      <c r="B47" s="14" t="s">
        <v>29</v>
      </c>
      <c r="C47" s="14"/>
      <c r="D47" s="15" t="s">
        <v>11</v>
      </c>
      <c r="E47" s="14" t="s">
        <v>48</v>
      </c>
      <c r="F47" s="15" t="s">
        <v>49</v>
      </c>
      <c r="G47" s="14"/>
      <c r="H47" s="14" t="s">
        <v>50</v>
      </c>
      <c r="I47" s="73"/>
      <c r="J47" s="96"/>
      <c r="K47" s="97" t="s">
        <v>32</v>
      </c>
      <c r="M47" s="69"/>
      <c r="N47" s="49"/>
      <c r="O47" s="49"/>
      <c r="P47" s="31" t="s">
        <v>51</v>
      </c>
      <c r="Q47" s="31"/>
      <c r="R47" s="31"/>
      <c r="S47" s="31"/>
      <c r="X47" s="31"/>
    </row>
    <row r="48" customFormat="false" ht="12.75" hidden="false" customHeight="false" outlineLevel="0" collapsed="false">
      <c r="A48" s="98" t="s">
        <v>36</v>
      </c>
      <c r="B48" s="98"/>
      <c r="C48" s="98"/>
      <c r="D48" s="99"/>
      <c r="E48" s="73"/>
      <c r="F48" s="98"/>
      <c r="G48" s="98"/>
      <c r="H48" s="98"/>
      <c r="I48" s="73"/>
      <c r="J48" s="83"/>
      <c r="K48" s="83"/>
      <c r="M48" s="69"/>
      <c r="N48" s="100"/>
      <c r="O48" s="49"/>
      <c r="P48" s="31" t="s">
        <v>52</v>
      </c>
      <c r="Q48" s="31"/>
      <c r="R48" s="31"/>
      <c r="S48" s="31"/>
      <c r="X48" s="31"/>
    </row>
    <row r="49" customFormat="false" ht="12.75" hidden="false" customHeight="false" outlineLevel="0" collapsed="false">
      <c r="A49" s="101"/>
      <c r="B49" s="102"/>
      <c r="C49" s="102"/>
      <c r="D49" s="102"/>
      <c r="E49" s="103" t="n">
        <v>0</v>
      </c>
      <c r="F49" s="103" t="n">
        <f aca="false">SUM(B49:E49)</f>
        <v>0</v>
      </c>
      <c r="H49" s="100" t="n">
        <f aca="false">A49*F49</f>
        <v>0</v>
      </c>
      <c r="I49" s="104"/>
      <c r="J49" s="83"/>
      <c r="K49" s="86"/>
      <c r="M49" s="69"/>
      <c r="N49" s="100"/>
      <c r="O49" s="49"/>
      <c r="P49" s="31" t="s">
        <v>53</v>
      </c>
      <c r="Q49" s="31"/>
      <c r="R49" s="31"/>
      <c r="S49" s="31"/>
      <c r="X49" s="31"/>
    </row>
    <row r="50" customFormat="false" ht="12.75" hidden="false" customHeight="false" outlineLevel="0" collapsed="false">
      <c r="A50" s="105"/>
      <c r="B50" s="102"/>
      <c r="C50" s="102"/>
      <c r="D50" s="102"/>
      <c r="E50" s="103" t="n">
        <v>0</v>
      </c>
      <c r="F50" s="103" t="n">
        <f aca="false">SUM(B50:E50)</f>
        <v>0</v>
      </c>
      <c r="H50" s="100" t="n">
        <f aca="false">A50*F50</f>
        <v>0</v>
      </c>
      <c r="I50" s="104"/>
      <c r="J50" s="83"/>
      <c r="K50" s="86"/>
      <c r="M50" s="106"/>
      <c r="N50" s="100"/>
      <c r="O50" s="96"/>
      <c r="P50" s="107" t="s">
        <v>54</v>
      </c>
      <c r="Q50" s="107"/>
      <c r="R50" s="107"/>
      <c r="S50" s="107"/>
      <c r="T50" s="77"/>
      <c r="U50" s="77"/>
      <c r="V50" s="77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</row>
    <row r="51" customFormat="false" ht="12.75" hidden="false" customHeight="false" outlineLevel="0" collapsed="false">
      <c r="A51" s="108" t="n">
        <f aca="false">883469+122045</f>
        <v>1005514</v>
      </c>
      <c r="B51" s="102" t="n">
        <f aca="false">$N$18</f>
        <v>2.34</v>
      </c>
      <c r="C51" s="102"/>
      <c r="D51" s="102" t="n">
        <f aca="false">$N$16</f>
        <v>-0.015</v>
      </c>
      <c r="E51" s="103" t="n">
        <v>0</v>
      </c>
      <c r="F51" s="103" t="n">
        <f aca="false">SUM(B51:E51)</f>
        <v>2.325</v>
      </c>
      <c r="H51" s="109" t="n">
        <f aca="false">A51*F51+IF(A51&gt;H2,(A51-H2)*(N18+0.02-F51),0)</f>
        <v>2342090.54</v>
      </c>
      <c r="I51" s="104" t="s">
        <v>55</v>
      </c>
      <c r="J51" s="83"/>
      <c r="K51" s="86" t="n">
        <v>93485</v>
      </c>
      <c r="M51" s="110"/>
      <c r="N51" s="103"/>
      <c r="O51" s="103"/>
      <c r="P51" s="83"/>
      <c r="Q51" s="38"/>
      <c r="R51" s="49"/>
      <c r="S51" s="69"/>
      <c r="T51" s="69"/>
      <c r="U51" s="49"/>
      <c r="V51" s="49"/>
      <c r="W51" s="49"/>
      <c r="X51" s="49"/>
      <c r="Y51" s="73"/>
      <c r="Z51" s="73"/>
      <c r="AA51" s="73"/>
      <c r="AB51" s="73"/>
      <c r="AC51" s="73"/>
      <c r="AD51" s="73"/>
    </row>
    <row r="52" customFormat="false" ht="12.75" hidden="false" customHeight="false" outlineLevel="0" collapsed="false">
      <c r="B52" s="102"/>
      <c r="C52" s="102"/>
      <c r="D52" s="102"/>
      <c r="F52" s="103"/>
      <c r="H52" s="1"/>
      <c r="J52" s="83"/>
      <c r="K52" s="83"/>
      <c r="L52" s="49"/>
      <c r="M52" s="110"/>
      <c r="N52" s="103"/>
      <c r="O52" s="103"/>
      <c r="P52" s="83"/>
      <c r="Q52" s="49"/>
      <c r="R52" s="49"/>
      <c r="S52" s="49"/>
      <c r="T52" s="69"/>
      <c r="U52" s="49"/>
      <c r="V52" s="49"/>
      <c r="W52" s="49"/>
      <c r="X52" s="49"/>
    </row>
    <row r="53" customFormat="false" ht="13.5" hidden="false" customHeight="false" outlineLevel="0" collapsed="false">
      <c r="A53" s="111" t="n">
        <f aca="false">SUM(A49:A51)</f>
        <v>1005514</v>
      </c>
      <c r="H53" s="112" t="n">
        <f aca="false">SUM(H49:H51)</f>
        <v>2342090.54</v>
      </c>
      <c r="J53" s="83"/>
      <c r="K53" s="83"/>
      <c r="L53" s="49"/>
      <c r="M53" s="49"/>
      <c r="N53" s="49"/>
      <c r="O53" s="103"/>
      <c r="P53" s="86"/>
      <c r="Q53" s="113"/>
      <c r="R53" s="49"/>
      <c r="S53" s="49"/>
      <c r="T53" s="96"/>
      <c r="U53" s="83"/>
      <c r="V53" s="83"/>
      <c r="W53" s="96"/>
      <c r="X53" s="83"/>
    </row>
    <row r="54" customFormat="false" ht="13.5" hidden="false" customHeight="false" outlineLevel="0" collapsed="false">
      <c r="C54" s="114"/>
      <c r="F54" s="115"/>
      <c r="J54" s="83"/>
      <c r="K54" s="83"/>
      <c r="L54" s="83"/>
      <c r="M54" s="49"/>
      <c r="N54" s="49"/>
      <c r="O54" s="103"/>
      <c r="P54" s="86"/>
      <c r="Q54" s="116"/>
      <c r="R54" s="49"/>
      <c r="S54" s="49"/>
      <c r="T54" s="83"/>
      <c r="U54" s="81"/>
      <c r="V54" s="81"/>
      <c r="W54" s="81"/>
      <c r="X54" s="38"/>
    </row>
    <row r="55" customFormat="false" ht="12.75" hidden="false" customHeight="false" outlineLevel="0" collapsed="false">
      <c r="H55" s="73"/>
      <c r="J55" s="83"/>
      <c r="K55" s="83"/>
      <c r="L55" s="103"/>
      <c r="O55" s="103"/>
      <c r="P55" s="86"/>
      <c r="Q55" s="116"/>
      <c r="R55" s="49"/>
      <c r="S55" s="49"/>
      <c r="T55" s="83"/>
      <c r="U55" s="81"/>
      <c r="V55" s="81"/>
      <c r="W55" s="81"/>
      <c r="X55" s="38"/>
    </row>
    <row r="56" customFormat="false" ht="12.75" hidden="false" customHeight="false" outlineLevel="0" collapsed="false">
      <c r="A56" s="7" t="s">
        <v>56</v>
      </c>
      <c r="B56" s="8"/>
      <c r="C56" s="8"/>
      <c r="D56" s="8"/>
      <c r="E56" s="8"/>
      <c r="F56" s="95"/>
      <c r="G56" s="49"/>
      <c r="H56" s="73"/>
      <c r="J56" s="49"/>
      <c r="K56" s="49"/>
      <c r="L56" s="103"/>
      <c r="M56" s="49"/>
      <c r="N56" s="49"/>
      <c r="O56" s="103"/>
      <c r="P56" s="117"/>
      <c r="Q56" s="118"/>
      <c r="R56" s="49"/>
      <c r="S56" s="49"/>
      <c r="T56" s="83"/>
      <c r="U56" s="103"/>
      <c r="V56" s="81"/>
      <c r="W56" s="81"/>
      <c r="X56" s="38"/>
    </row>
    <row r="57" customFormat="false" ht="25.5" hidden="false" customHeight="false" outlineLevel="0" collapsed="false">
      <c r="A57" s="119" t="s">
        <v>16</v>
      </c>
      <c r="B57" s="119"/>
      <c r="C57" s="119"/>
      <c r="D57" s="120" t="s">
        <v>27</v>
      </c>
      <c r="E57" s="119"/>
      <c r="F57" s="119"/>
      <c r="G57" s="119" t="s">
        <v>50</v>
      </c>
      <c r="H57" s="121"/>
      <c r="I57" s="121"/>
      <c r="J57" s="49"/>
      <c r="K57" s="49"/>
      <c r="L57" s="49"/>
      <c r="O57" s="49"/>
      <c r="P57" s="83"/>
      <c r="Q57" s="38"/>
      <c r="R57" s="49"/>
      <c r="S57" s="49"/>
      <c r="T57" s="83"/>
      <c r="U57" s="49"/>
      <c r="V57" s="49"/>
      <c r="W57" s="49"/>
      <c r="X57" s="32"/>
    </row>
    <row r="58" customFormat="false" ht="12.75" hidden="false" customHeight="false" outlineLevel="0" collapsed="false">
      <c r="A58" s="86" t="s">
        <v>36</v>
      </c>
      <c r="B58" s="86"/>
      <c r="C58" s="86"/>
      <c r="D58" s="97"/>
      <c r="E58" s="86"/>
      <c r="F58" s="86"/>
      <c r="G58" s="86"/>
      <c r="H58" s="121"/>
      <c r="I58" s="122"/>
      <c r="J58" s="49"/>
      <c r="K58" s="49"/>
      <c r="L58" s="49"/>
      <c r="O58" s="49"/>
      <c r="P58" s="83"/>
      <c r="Q58" s="38"/>
      <c r="R58" s="49"/>
      <c r="S58" s="49"/>
      <c r="T58" s="49"/>
      <c r="U58" s="49"/>
      <c r="V58" s="49"/>
      <c r="W58" s="49"/>
      <c r="X58" s="49"/>
    </row>
    <row r="59" customFormat="false" ht="12.75" hidden="false" customHeight="false" outlineLevel="0" collapsed="false">
      <c r="A59" s="123" t="n">
        <f aca="false">+N5</f>
        <v>1</v>
      </c>
      <c r="B59" s="83"/>
      <c r="C59" s="83"/>
      <c r="D59" s="124" t="n">
        <f aca="false">+S14</f>
        <v>0</v>
      </c>
      <c r="E59" s="83"/>
      <c r="F59" s="83"/>
      <c r="G59" s="125" t="n">
        <f aca="false">+A59*D59</f>
        <v>0</v>
      </c>
      <c r="H59" s="49"/>
      <c r="I59" s="49" t="s">
        <v>57</v>
      </c>
      <c r="J59" s="49"/>
      <c r="K59" s="49"/>
      <c r="L59" s="69"/>
      <c r="O59" s="86"/>
      <c r="P59" s="49"/>
      <c r="Q59" s="49"/>
      <c r="R59" s="49"/>
      <c r="S59" s="49"/>
      <c r="T59" s="49"/>
      <c r="U59" s="49"/>
      <c r="V59" s="49"/>
      <c r="W59" s="49"/>
      <c r="X59" s="49"/>
    </row>
    <row r="60" customFormat="false" ht="12.75" hidden="false" customHeight="false" outlineLevel="0" collapsed="false">
      <c r="A60" s="123" t="n">
        <f aca="false">+A49-A59</f>
        <v>-1</v>
      </c>
      <c r="B60" s="83"/>
      <c r="C60" s="83"/>
      <c r="D60" s="124" t="n">
        <f aca="false">+S12</f>
        <v>0</v>
      </c>
      <c r="E60" s="83"/>
      <c r="F60" s="83"/>
      <c r="G60" s="125" t="n">
        <f aca="false">+A60*D60</f>
        <v>-0</v>
      </c>
      <c r="H60" s="49"/>
      <c r="I60" s="49" t="s">
        <v>58</v>
      </c>
      <c r="J60" s="49"/>
      <c r="L60" s="81"/>
      <c r="O60" s="49"/>
      <c r="T60" s="49"/>
      <c r="U60" s="49"/>
      <c r="V60" s="49"/>
      <c r="W60" s="121"/>
      <c r="X60" s="121"/>
    </row>
    <row r="61" customFormat="false" ht="12.75" hidden="false" customHeight="false" outlineLevel="0" collapsed="false">
      <c r="A61" s="123" t="n">
        <f aca="false">+N7</f>
        <v>1</v>
      </c>
      <c r="B61" s="83"/>
      <c r="C61" s="83"/>
      <c r="D61" s="124" t="n">
        <f aca="false">+S26</f>
        <v>0</v>
      </c>
      <c r="E61" s="83"/>
      <c r="F61" s="83"/>
      <c r="G61" s="125" t="n">
        <f aca="false">+A61*D61</f>
        <v>0</v>
      </c>
      <c r="H61" s="49"/>
      <c r="I61" s="0" t="s">
        <v>59</v>
      </c>
      <c r="L61" s="81"/>
      <c r="N61" s="121"/>
      <c r="T61" s="121"/>
      <c r="U61" s="121"/>
      <c r="V61" s="121"/>
      <c r="W61" s="121"/>
      <c r="X61" s="121"/>
    </row>
    <row r="62" customFormat="false" ht="12.75" hidden="false" customHeight="false" outlineLevel="0" collapsed="false">
      <c r="A62" s="123" t="n">
        <f aca="false">+A50-A61</f>
        <v>-1</v>
      </c>
      <c r="B62" s="83"/>
      <c r="C62" s="83"/>
      <c r="D62" s="124" t="n">
        <f aca="false">+S24</f>
        <v>0</v>
      </c>
      <c r="E62" s="83"/>
      <c r="F62" s="83"/>
      <c r="G62" s="125" t="n">
        <f aca="false">+A62*D62</f>
        <v>-0</v>
      </c>
      <c r="H62" s="49"/>
      <c r="I62" s="0" t="s">
        <v>58</v>
      </c>
      <c r="L62" s="81"/>
      <c r="N62" s="121"/>
      <c r="T62" s="121"/>
      <c r="U62" s="121"/>
      <c r="V62" s="121"/>
      <c r="W62" s="121"/>
      <c r="X62" s="121"/>
    </row>
    <row r="63" customFormat="false" ht="12" hidden="false" customHeight="true" outlineLevel="0" collapsed="false">
      <c r="A63" s="123" t="n">
        <f aca="false">+N9</f>
        <v>310000</v>
      </c>
      <c r="B63" s="83"/>
      <c r="C63" s="83"/>
      <c r="D63" s="124" t="n">
        <f aca="false">+S45</f>
        <v>1.85322580645161</v>
      </c>
      <c r="E63" s="83"/>
      <c r="F63" s="83"/>
      <c r="G63" s="125" t="n">
        <f aca="false">+A63*D63</f>
        <v>574500</v>
      </c>
      <c r="I63" s="0" t="s">
        <v>60</v>
      </c>
      <c r="L63" s="49"/>
      <c r="N63" s="121"/>
      <c r="O63" s="121"/>
      <c r="T63" s="121"/>
      <c r="U63" s="121"/>
      <c r="V63" s="121"/>
      <c r="W63" s="121"/>
      <c r="X63" s="121"/>
    </row>
    <row r="64" customFormat="false" ht="12.75" hidden="false" customHeight="false" outlineLevel="0" collapsed="false">
      <c r="A64" s="80" t="n">
        <f aca="false">+A51-A63</f>
        <v>695514</v>
      </c>
      <c r="B64" s="1"/>
      <c r="C64" s="1"/>
      <c r="D64" s="126" t="n">
        <f aca="false">+N18+S43</f>
        <v>2.36</v>
      </c>
      <c r="E64" s="1"/>
      <c r="G64" s="127" t="n">
        <f aca="false">+A64*D64</f>
        <v>1641413.04</v>
      </c>
      <c r="I64" s="0" t="s">
        <v>58</v>
      </c>
      <c r="L64" s="49"/>
      <c r="N64" s="121"/>
      <c r="O64" s="121"/>
      <c r="T64" s="121"/>
      <c r="U64" s="121"/>
      <c r="V64" s="121"/>
      <c r="W64" s="121"/>
      <c r="X64" s="121"/>
    </row>
    <row r="65" customFormat="false" ht="12.75" hidden="false" customHeight="false" outlineLevel="0" collapsed="false">
      <c r="L65" s="121"/>
      <c r="N65" s="121"/>
      <c r="O65" s="121"/>
      <c r="T65" s="121"/>
      <c r="U65" s="121"/>
      <c r="V65" s="121"/>
      <c r="W65" s="121"/>
      <c r="X65" s="121"/>
    </row>
    <row r="66" customFormat="false" ht="13.5" hidden="false" customHeight="false" outlineLevel="0" collapsed="false">
      <c r="A66" s="128" t="n">
        <f aca="false">SUM(A59:A65)</f>
        <v>1005514</v>
      </c>
      <c r="B66" s="2"/>
      <c r="C66" s="2"/>
      <c r="D66" s="2"/>
      <c r="E66" s="2"/>
      <c r="F66" s="73"/>
      <c r="G66" s="129" t="n">
        <f aca="false">SUM(G59:G65)</f>
        <v>2215913.04</v>
      </c>
      <c r="L66" s="121"/>
      <c r="N66" s="121"/>
      <c r="O66" s="121"/>
      <c r="T66" s="121"/>
      <c r="U66" s="121"/>
      <c r="V66" s="121"/>
      <c r="W66" s="121"/>
      <c r="X66" s="121"/>
    </row>
    <row r="67" customFormat="false" ht="13.5" hidden="false" customHeight="false" outlineLevel="0" collapsed="false">
      <c r="L67" s="121"/>
      <c r="N67" s="130"/>
      <c r="O67" s="121"/>
      <c r="T67" s="121"/>
      <c r="U67" s="121"/>
      <c r="V67" s="121"/>
      <c r="W67" s="121"/>
      <c r="X67" s="121"/>
    </row>
    <row r="68" customFormat="false" ht="12.75" hidden="false" customHeight="false" outlineLevel="0" collapsed="false">
      <c r="O68" s="121"/>
      <c r="T68" s="121"/>
      <c r="U68" s="121"/>
      <c r="V68" s="121"/>
      <c r="W68" s="121"/>
      <c r="X68" s="121"/>
    </row>
    <row r="69" customFormat="false" ht="12.75" hidden="false" customHeight="false" outlineLevel="0" collapsed="false">
      <c r="L69" s="49"/>
      <c r="M69" s="49"/>
      <c r="N69" s="49"/>
    </row>
    <row r="70" customFormat="false" ht="12.75" hidden="false" customHeight="false" outlineLevel="0" collapsed="false">
      <c r="L70" s="49"/>
      <c r="M70" s="49"/>
      <c r="N70" s="49"/>
    </row>
    <row r="71" customFormat="false" ht="12.75" hidden="false" customHeight="false" outlineLevel="0" collapsed="false">
      <c r="L71" s="49"/>
      <c r="M71" s="49"/>
      <c r="N71" s="49"/>
      <c r="O71" s="49"/>
      <c r="T71" s="49"/>
      <c r="U71" s="49"/>
      <c r="V71" s="49"/>
      <c r="W71" s="49"/>
      <c r="X71" s="49"/>
    </row>
    <row r="72" customFormat="false" ht="12.75" hidden="false" customHeight="false" outlineLevel="0" collapsed="false">
      <c r="O72" s="49"/>
      <c r="T72" s="49"/>
      <c r="U72" s="49"/>
      <c r="V72" s="49"/>
      <c r="W72" s="49"/>
      <c r="X72" s="49"/>
    </row>
    <row r="73" customFormat="false" ht="12.75" hidden="false" customHeight="false" outlineLevel="0" collapsed="false">
      <c r="O73" s="49"/>
      <c r="T73" s="49"/>
      <c r="U73" s="49"/>
      <c r="V73" s="49"/>
      <c r="W73" s="49"/>
      <c r="X73" s="49"/>
    </row>
  </sheetData>
  <mergeCells count="1">
    <mergeCell ref="P1:S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2000-01-31T14:26:25Z</dcterms:created>
  <dc:creator>Eric Bass</dc:creator>
  <dc:description/>
  <dc:language>en-US</dc:language>
  <cp:lastModifiedBy>Eric Bass</cp:lastModifiedBy>
  <cp:revision>0</cp:revision>
  <dc:subject/>
  <dc:title/>
</cp:coreProperties>
</file>