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Volumes" sheetId="1" state="visible" r:id="rId3"/>
    <sheet name="GD Options" sheetId="2" state="visible" r:id="rId4"/>
    <sheet name="Curves" sheetId="3" state="visible" r:id="rId5"/>
    <sheet name="Locations" sheetId="4" state="visible" r:id="rId6"/>
    <sheet name="Model - Summer" sheetId="5" state="visible" r:id="rId7"/>
    <sheet name="Model - PH Robinson Only" sheetId="6" state="visible" r:id="rId8"/>
    <sheet name="Model - Term" sheetId="7" state="visible" r:id="rId9"/>
    <sheet name="Historical Flow" sheetId="8" state="visible" r:id="rId10"/>
  </sheets>
  <externalReferences>
    <externalReference r:id="rId11"/>
  </externalReferences>
  <definedNames>
    <definedName function="false" hidden="false" name="EffDt" vbProcedure="false">[1]Curves!$B$5</definedName>
    <definedName function="true" hidden="false" name="OSTRIP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<sst xmlns="http://schemas.openxmlformats.org/spreadsheetml/2006/main" count="263" uniqueCount="122">
  <si>
    <t xml:space="preserve">AGGREGATE VOLUMES</t>
  </si>
  <si>
    <t xml:space="preserve">Month</t>
  </si>
  <si>
    <t xml:space="preserve">Days</t>
  </si>
  <si>
    <t xml:space="preserve">Min/d</t>
  </si>
  <si>
    <t xml:space="preserve">Max/d</t>
  </si>
  <si>
    <t xml:space="preserve">Avg/d</t>
  </si>
  <si>
    <t xml:space="preserve">Min/mo</t>
  </si>
  <si>
    <t xml:space="preserve">Max/mo</t>
  </si>
  <si>
    <t xml:space="preserve">Avg/mo</t>
  </si>
  <si>
    <t xml:space="preserve">Option Vol</t>
  </si>
  <si>
    <t xml:space="preserve">PROSPECTIVE BOOKINGS (BASED ON HISTORICAL FLOW)</t>
  </si>
  <si>
    <t xml:space="preserve">FLOW BY CURVE</t>
  </si>
  <si>
    <t xml:space="preserve">P.H. Robinson -  #1412</t>
  </si>
  <si>
    <t xml:space="preserve">Daily</t>
  </si>
  <si>
    <t xml:space="preserve">T.H. Wharton - #1480</t>
  </si>
  <si>
    <t xml:space="preserve">Cedar Bayou - #1401</t>
  </si>
  <si>
    <t xml:space="preserve">Greens Bayou - #1393</t>
  </si>
  <si>
    <t xml:space="preserve">Sam Berton -#1396</t>
  </si>
  <si>
    <t xml:space="preserve">Total</t>
  </si>
  <si>
    <t xml:space="preserve">IF-A/S EAST OFF</t>
  </si>
  <si>
    <t xml:space="preserve">IF-HPL/SHPCHAN</t>
  </si>
  <si>
    <t xml:space="preserve">TOTALS</t>
  </si>
  <si>
    <t xml:space="preserve">Cedar Bayou and PH Daily</t>
  </si>
  <si>
    <t xml:space="preserve">Today's Date:</t>
  </si>
  <si>
    <t xml:space="preserve">Deal Nos: N97148.1, N97148.2</t>
  </si>
  <si>
    <t xml:space="preserve">GD Minibook</t>
  </si>
  <si>
    <t xml:space="preserve">Delivery Month</t>
  </si>
  <si>
    <t xml:space="preserve">Volume</t>
  </si>
  <si>
    <t xml:space="preserve">Start Date</t>
  </si>
  <si>
    <t xml:space="preserve">Stop Date</t>
  </si>
  <si>
    <t xml:space="preserve">Delivery Point</t>
  </si>
  <si>
    <t xml:space="preserve">Put/Call</t>
  </si>
  <si>
    <t xml:space="preserve">Price</t>
  </si>
  <si>
    <t xml:space="preserve">Strike</t>
  </si>
  <si>
    <t xml:space="preserve">Now to Set</t>
  </si>
  <si>
    <t xml:space="preserve">Beg Days</t>
  </si>
  <si>
    <t xml:space="preserve">End Days</t>
  </si>
  <si>
    <t xml:space="preserve">Fwd Start Flag</t>
  </si>
  <si>
    <t xml:space="preserve">Int Rt</t>
  </si>
  <si>
    <t xml:space="preserve">Vol_prior</t>
  </si>
  <si>
    <t xml:space="preserve">Vol_after</t>
  </si>
  <si>
    <t xml:space="preserve">Pct of Index</t>
  </si>
  <si>
    <t xml:space="preserve">Basis Offset</t>
  </si>
  <si>
    <t xml:space="preserve">Opt Type</t>
  </si>
  <si>
    <t xml:space="preserve">Ret Type</t>
  </si>
  <si>
    <t xml:space="preserve">Mid Premium</t>
  </si>
  <si>
    <t xml:space="preserve">Mid Option Value</t>
  </si>
  <si>
    <t xml:space="preserve">CALL</t>
  </si>
  <si>
    <t xml:space="preserve">PUT</t>
  </si>
  <si>
    <t xml:space="preserve">Total GD Option Value</t>
  </si>
  <si>
    <t xml:space="preserve">Ret Type:</t>
  </si>
  <si>
    <t xml:space="preserve">= strip premium</t>
  </si>
  <si>
    <t xml:space="preserve">= delta</t>
  </si>
  <si>
    <t xml:space="preserve">= gamma</t>
  </si>
  <si>
    <t xml:space="preserve">= vega</t>
  </si>
  <si>
    <t xml:space="preserve">= rho</t>
  </si>
  <si>
    <t xml:space="preserve">= theta</t>
  </si>
  <si>
    <t xml:space="preserve">= delta on forward start date</t>
  </si>
  <si>
    <t xml:space="preserve">IF-TX CITY LOOP</t>
  </si>
  <si>
    <t xml:space="preserve">IF-KATY/TAIL</t>
  </si>
  <si>
    <t xml:space="preserve">HSC</t>
  </si>
  <si>
    <t xml:space="preserve">INTEREST RATE</t>
  </si>
  <si>
    <t xml:space="preserve">Location</t>
  </si>
  <si>
    <t xml:space="preserve">Meter #</t>
  </si>
  <si>
    <t xml:space="preserve">Zone #</t>
  </si>
  <si>
    <t xml:space="preserve">Zone Name</t>
  </si>
  <si>
    <t xml:space="preserve">MTM Curve</t>
  </si>
  <si>
    <t xml:space="preserve">P.H. Robinson</t>
  </si>
  <si>
    <t xml:space="preserve">Texas City</t>
  </si>
  <si>
    <t xml:space="preserve">A/S East Beaumont Offer</t>
  </si>
  <si>
    <t xml:space="preserve">Cedar Bayou</t>
  </si>
  <si>
    <t xml:space="preserve">A/S Central</t>
  </si>
  <si>
    <t xml:space="preserve">T.H. Wharton</t>
  </si>
  <si>
    <t xml:space="preserve">West Loop</t>
  </si>
  <si>
    <t xml:space="preserve">Greens Bayou</t>
  </si>
  <si>
    <t xml:space="preserve">East Loop</t>
  </si>
  <si>
    <t xml:space="preserve">Sam Berton</t>
  </si>
  <si>
    <t xml:space="preserve">Ship Channel</t>
  </si>
  <si>
    <t xml:space="preserve">Today</t>
  </si>
  <si>
    <t xml:space="preserve">A/S Index Offer</t>
  </si>
  <si>
    <t xml:space="preserve">Index Adder</t>
  </si>
  <si>
    <t xml:space="preserve">Unit Cost</t>
  </si>
  <si>
    <t xml:space="preserve">HSC Index Offer</t>
  </si>
  <si>
    <t xml:space="preserve">NOTIONAL VOLUMES</t>
  </si>
  <si>
    <t xml:space="preserve">PV VOLUMES</t>
  </si>
  <si>
    <t xml:space="preserve">MID CURVES</t>
  </si>
  <si>
    <t xml:space="preserve">MID - OFFER COST</t>
  </si>
  <si>
    <t xml:space="preserve">TRANSPORT PREMIUM</t>
  </si>
  <si>
    <t xml:space="preserve">STORAGE</t>
  </si>
  <si>
    <t xml:space="preserve">UNIT COST</t>
  </si>
  <si>
    <t xml:space="preserve">Interest Rate</t>
  </si>
  <si>
    <t xml:space="preserve">Discount Factor</t>
  </si>
  <si>
    <t xml:space="preserve">PH/CEDAR</t>
  </si>
  <si>
    <t xml:space="preserve">IF-A/S EAST OFFER</t>
  </si>
  <si>
    <t xml:space="preserve">TOTAL</t>
  </si>
  <si>
    <t xml:space="preserve">DEAL VALUE</t>
  </si>
  <si>
    <t xml:space="preserve">PH Robinson Volumes</t>
  </si>
  <si>
    <t xml:space="preserve">Cost</t>
  </si>
  <si>
    <t xml:space="preserve">TOTAL COSTS</t>
  </si>
  <si>
    <t xml:space="preserve">NET ORIG VALUE</t>
  </si>
  <si>
    <t xml:space="preserve">Phys Prem</t>
  </si>
  <si>
    <t xml:space="preserve">Transport Premium</t>
  </si>
  <si>
    <t xml:space="preserve">Storage Cost</t>
  </si>
  <si>
    <t xml:space="preserve">Customer Price</t>
  </si>
  <si>
    <t xml:space="preserve">UNIT COSTS</t>
  </si>
  <si>
    <t xml:space="preserve">Historical Y/N?</t>
  </si>
  <si>
    <t xml:space="preserve">1 = YES, 0 = NO</t>
  </si>
  <si>
    <t xml:space="preserve"> </t>
  </si>
  <si>
    <t xml:space="preserve">Daily Volume</t>
  </si>
  <si>
    <t xml:space="preserve">Notional Volumes</t>
  </si>
  <si>
    <t xml:space="preserve">PV Volumes</t>
  </si>
  <si>
    <t xml:space="preserve">IF-A/S East Offer Curve</t>
  </si>
  <si>
    <t xml:space="preserve">Mid - Offer Cost</t>
  </si>
  <si>
    <t xml:space="preserve">Minibook</t>
  </si>
  <si>
    <t xml:space="preserve">PH ROBINSON</t>
  </si>
  <si>
    <t xml:space="preserve">PH/Cedar</t>
  </si>
  <si>
    <t xml:space="preserve">% of Flow</t>
  </si>
  <si>
    <t xml:space="preserve">Total Flow</t>
  </si>
  <si>
    <t xml:space="preserve">Totals</t>
  </si>
  <si>
    <t xml:space="preserve">Maximum</t>
  </si>
  <si>
    <t xml:space="preserve">Minimum</t>
  </si>
  <si>
    <t xml:space="preserve">Summer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</si>
</sst>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0_);\(0\)"/>
    <numFmt numFmtId="166" formatCode="[$-409]mmm\-yy"/>
    <numFmt numFmtId="167" formatCode="[$-409]#,##0_);\(#,##0\)"/>
    <numFmt numFmtId="168" formatCode="#,##0"/>
    <numFmt numFmtId="169" formatCode="0%"/>
    <numFmt numFmtId="170" formatCode="0.00%"/>
    <numFmt numFmtId="171" formatCode="[$-409]m/d/yyyy"/>
    <numFmt numFmtId="172" formatCode="[$-409]m/d/yyyy\ h:mm"/>
    <numFmt numFmtId="173" formatCode="@"/>
    <numFmt numFmtId="174" formatCode="_(* #,##0.00_);_(* \(#,##0.00\);_(* \-??_);_(@_)"/>
    <numFmt numFmtId="175" formatCode="[$-409]#,##0_);[RED]\(#,##0\)"/>
    <numFmt numFmtId="176" formatCode="\$#,##0.000"/>
    <numFmt numFmtId="177" formatCode="0"/>
    <numFmt numFmtId="178" formatCode="0.000000%"/>
    <numFmt numFmtId="179" formatCode="#,##0.000_);[RED]\(#,##0.000\)"/>
    <numFmt numFmtId="180" formatCode="\$#,##0.00000000"/>
    <numFmt numFmtId="181" formatCode="\$#,##0_);&quot;($&quot;#,##0\)"/>
    <numFmt numFmtId="182" formatCode="#,##0.000000_);[RED]\(#,##0.000000\)"/>
    <numFmt numFmtId="183" formatCode="m/d/yy"/>
    <numFmt numFmtId="184" formatCode="[$-409]#,##0.00_);[RED]\(#,##0.00\)"/>
    <numFmt numFmtId="185" formatCode="0.0000"/>
    <numFmt numFmtId="186" formatCode="[$-409]d\-mmm\-yy"/>
    <numFmt numFmtId="187" formatCode="#,##0.00000_);\(#,##0.00000\)"/>
    <numFmt numFmtId="188" formatCode="_(\$* #,##0.00_);_(\$* \(#,##0.00\);_(\$* \-??_);_(@_)"/>
    <numFmt numFmtId="189" formatCode="0.0000_);\(0.0000\)"/>
    <numFmt numFmtId="190" formatCode="0.0000000000"/>
    <numFmt numFmtId="191" formatCode="\$#,##0.0000_);&quot;($&quot;#,##0.0000\)"/>
    <numFmt numFmtId="192" formatCode="\$#,##0.000_);&quot;($&quot;#,##0.000\)"/>
    <numFmt numFmtId="193" formatCode="\$#,##0.00000"/>
    <numFmt numFmtId="194" formatCode="0.0000000"/>
    <numFmt numFmtId="195" formatCode="\$#,##0.0000_);[RED]&quot;($&quot;#,##0.0000\)"/>
    <numFmt numFmtId="196" formatCode="\$#,##0_);[RED]&quot;($&quot;#,##0\)"/>
    <numFmt numFmtId="197" formatCode="\$#,##0.00000_);[RED]&quot;($&quot;#,##0.00000\)"/>
    <numFmt numFmtId="198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FF0000"/>
      <name val="Arial Narrow"/>
      <family val="2"/>
    </font>
    <font>
      <b val="true"/>
      <sz val="10"/>
      <color rgb="FF008000"/>
      <name val="Arial Narrow"/>
      <family val="2"/>
    </font>
    <font>
      <sz val="10"/>
      <color rgb="FF0000FF"/>
      <name val="Arial Narrow"/>
      <family val="2"/>
    </font>
    <font>
      <sz val="10"/>
      <color rgb="FFFF0000"/>
      <name val="Arial Narrow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7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8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8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8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8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8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93" fontId="0" fillId="7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7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9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9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9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L&amp;P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16</xdr:row>
          <xdr:rowOff>190440</xdr:rowOff>
        </xdr:from>
        <xdr:to>
          <xdr:col>8</xdr:col>
          <xdr:colOff>795600</xdr:colOff>
          <xdr:row>20</xdr:row>
          <xdr:rowOff>104760</xdr:rowOff>
        </xdr:to>
        <xdr:sp>
          <xdr:nvSpPr>
            <xdr:cNvPr id="1001" name="Button 1" descr="Calculate Breakev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Breakeven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60480</xdr:colOff>
          <xdr:row>16</xdr:row>
          <xdr:rowOff>152640</xdr:rowOff>
        </xdr:from>
        <xdr:to>
          <xdr:col>8</xdr:col>
          <xdr:colOff>665280</xdr:colOff>
          <xdr:row>21</xdr:row>
          <xdr:rowOff>9720</xdr:rowOff>
        </xdr:to>
        <xdr:sp>
          <xdr:nvSpPr>
            <xdr:cNvPr id="1001" name="Button 1" descr="Calculate Breakev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Breakeven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412920</xdr:colOff>
          <xdr:row>22</xdr:row>
          <xdr:rowOff>142920</xdr:rowOff>
        </xdr:from>
        <xdr:to>
          <xdr:col>7</xdr:col>
          <xdr:colOff>1006920</xdr:colOff>
          <xdr:row>26</xdr:row>
          <xdr:rowOff>95400</xdr:rowOff>
        </xdr:to>
        <xdr:sp>
          <xdr:nvSpPr>
            <xdr:cNvPr id="1001" name="Button 1" descr="Calculate Breakev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Breakeven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RMS/erms_adm/FIRMTRAD/2000/0200/Regions/NymexDly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Pages"/>
      <sheetName val="Roll-1"/>
      <sheetName val="Roll-2"/>
      <sheetName val="Roll-3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Peoples Unwind"/>
      <sheetName val="Orig Sched"/>
      <sheetName val="Roll-4"/>
      <sheetName val="Exotics"/>
      <sheetName val="Curves"/>
      <sheetName val="Daily Macro"/>
      <sheetName val="Monthly Macr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3" style="0" width="12.28"/>
    <col collapsed="false" customWidth="true" hidden="false" outlineLevel="0" max="5" min="5" style="0" width="9.85"/>
    <col collapsed="false" customWidth="true" hidden="false" outlineLevel="0" max="6" min="6" style="0" width="9.7"/>
    <col collapsed="false" customWidth="true" hidden="false" outlineLevel="0" max="7" min="7" style="0" width="10.13"/>
    <col collapsed="false" customWidth="true" hidden="false" outlineLevel="0" max="8" min="8" style="0" width="10.71"/>
    <col collapsed="false" customWidth="true" hidden="false" outlineLevel="0" max="10" min="10" style="0" width="10.85"/>
    <col collapsed="false" customWidth="true" hidden="false" outlineLevel="0" max="11" min="11" style="0" width="10.28"/>
    <col collapsed="false" customWidth="true" hidden="false" outlineLevel="0" max="13" min="12" style="0" width="10.13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 customFormat="false" ht="13.5" hidden="false" customHeight="false" outlineLevel="0" collapsed="false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6" t="s">
        <v>8</v>
      </c>
      <c r="I2" s="3"/>
      <c r="J2" s="6" t="s">
        <v>9</v>
      </c>
      <c r="K2" s="3"/>
      <c r="L2" s="3"/>
      <c r="M2" s="3"/>
    </row>
    <row r="3" customFormat="false" ht="12.75" hidden="false" customHeight="false" outlineLevel="0" collapsed="false">
      <c r="A3" s="7" t="n">
        <v>36647</v>
      </c>
      <c r="B3" s="1" t="n">
        <v>31</v>
      </c>
      <c r="C3" s="8" t="n">
        <v>37500</v>
      </c>
      <c r="D3" s="8" t="n">
        <v>112500</v>
      </c>
      <c r="E3" s="9" t="n">
        <v>75000</v>
      </c>
      <c r="F3" s="8" t="n">
        <f aca="false">+C3*$B3</f>
        <v>1162500</v>
      </c>
      <c r="G3" s="8" t="n">
        <f aca="false">+D3*$B3</f>
        <v>3487500</v>
      </c>
      <c r="H3" s="9" t="n">
        <f aca="false">+E3*$B3</f>
        <v>2325000</v>
      </c>
      <c r="I3" s="3"/>
      <c r="J3" s="9" t="n">
        <f aca="false">0.05*H3</f>
        <v>116250</v>
      </c>
      <c r="K3" s="3"/>
      <c r="L3" s="3"/>
      <c r="M3" s="3"/>
    </row>
    <row r="4" customFormat="false" ht="12.75" hidden="false" customHeight="false" outlineLevel="0" collapsed="false">
      <c r="A4" s="7" t="n">
        <v>36678</v>
      </c>
      <c r="B4" s="1" t="n">
        <v>30</v>
      </c>
      <c r="C4" s="8" t="n">
        <v>37500</v>
      </c>
      <c r="D4" s="8" t="n">
        <v>112500</v>
      </c>
      <c r="E4" s="9" t="n">
        <v>75000</v>
      </c>
      <c r="F4" s="8" t="n">
        <f aca="false">+C4*$B4</f>
        <v>1125000</v>
      </c>
      <c r="G4" s="8" t="n">
        <f aca="false">+D4*$B4</f>
        <v>3375000</v>
      </c>
      <c r="H4" s="9" t="n">
        <f aca="false">+E4*$B4</f>
        <v>2250000</v>
      </c>
      <c r="I4" s="3"/>
      <c r="J4" s="9" t="n">
        <f aca="false">0.05*H4</f>
        <v>112500</v>
      </c>
      <c r="K4" s="3"/>
      <c r="L4" s="3"/>
      <c r="M4" s="3"/>
    </row>
    <row r="5" customFormat="false" ht="12.75" hidden="false" customHeight="false" outlineLevel="0" collapsed="false">
      <c r="A5" s="7" t="n">
        <v>36708</v>
      </c>
      <c r="B5" s="1" t="n">
        <v>31</v>
      </c>
      <c r="C5" s="8" t="n">
        <v>50000</v>
      </c>
      <c r="D5" s="8" t="n">
        <v>150000</v>
      </c>
      <c r="E5" s="9" t="n">
        <v>100000</v>
      </c>
      <c r="F5" s="8" t="n">
        <f aca="false">+C5*$B5</f>
        <v>1550000</v>
      </c>
      <c r="G5" s="8" t="n">
        <f aca="false">+D5*$B5</f>
        <v>4650000</v>
      </c>
      <c r="H5" s="9" t="n">
        <f aca="false">+E5*$B5</f>
        <v>3100000</v>
      </c>
      <c r="I5" s="3"/>
      <c r="J5" s="9" t="n">
        <f aca="false">0.05*H5</f>
        <v>155000</v>
      </c>
      <c r="K5" s="3"/>
      <c r="L5" s="3"/>
      <c r="M5" s="3"/>
    </row>
    <row r="6" customFormat="false" ht="12.75" hidden="false" customHeight="false" outlineLevel="0" collapsed="false">
      <c r="A6" s="7" t="n">
        <v>36739</v>
      </c>
      <c r="B6" s="1" t="n">
        <v>31</v>
      </c>
      <c r="C6" s="8" t="n">
        <v>50000</v>
      </c>
      <c r="D6" s="8" t="n">
        <v>150000</v>
      </c>
      <c r="E6" s="9" t="n">
        <v>100000</v>
      </c>
      <c r="F6" s="8" t="n">
        <f aca="false">+C6*$B6</f>
        <v>1550000</v>
      </c>
      <c r="G6" s="8" t="n">
        <f aca="false">+D6*$B6</f>
        <v>4650000</v>
      </c>
      <c r="H6" s="9" t="n">
        <f aca="false">+E6*$B6</f>
        <v>3100000</v>
      </c>
      <c r="I6" s="3"/>
      <c r="J6" s="9" t="n">
        <f aca="false">0.05*H6</f>
        <v>155000</v>
      </c>
      <c r="K6" s="3"/>
      <c r="L6" s="3"/>
      <c r="M6" s="3"/>
    </row>
    <row r="7" customFormat="false" ht="12.75" hidden="false" customHeight="false" outlineLevel="0" collapsed="false">
      <c r="A7" s="7" t="n">
        <v>36770</v>
      </c>
      <c r="B7" s="1" t="n">
        <v>30</v>
      </c>
      <c r="C7" s="8" t="n">
        <v>50000</v>
      </c>
      <c r="D7" s="8" t="n">
        <v>150000</v>
      </c>
      <c r="E7" s="9" t="n">
        <v>100000</v>
      </c>
      <c r="F7" s="8" t="n">
        <f aca="false">+C7*$B7</f>
        <v>1500000</v>
      </c>
      <c r="G7" s="8" t="n">
        <f aca="false">+D7*$B7</f>
        <v>4500000</v>
      </c>
      <c r="H7" s="9" t="n">
        <f aca="false">+E7*$B7</f>
        <v>3000000</v>
      </c>
      <c r="I7" s="3"/>
      <c r="J7" s="9" t="n">
        <f aca="false">0.05*H7</f>
        <v>150000</v>
      </c>
      <c r="K7" s="3"/>
      <c r="L7" s="3"/>
      <c r="M7" s="3"/>
    </row>
    <row r="8" customFormat="false" ht="12.75" hidden="false" customHeight="false" outlineLevel="0" collapsed="false">
      <c r="A8" s="7" t="n">
        <v>36800</v>
      </c>
      <c r="B8" s="1" t="n">
        <v>31</v>
      </c>
      <c r="C8" s="8" t="n">
        <v>0</v>
      </c>
      <c r="D8" s="8" t="n">
        <v>67500</v>
      </c>
      <c r="E8" s="9" t="n">
        <v>45000</v>
      </c>
      <c r="F8" s="8" t="n">
        <f aca="false">+C8*$B8</f>
        <v>0</v>
      </c>
      <c r="G8" s="8" t="n">
        <f aca="false">+D8*$B8</f>
        <v>2092500</v>
      </c>
      <c r="H8" s="9" t="n">
        <f aca="false">+E8*$B8</f>
        <v>1395000</v>
      </c>
      <c r="I8" s="3"/>
      <c r="J8" s="9" t="n">
        <f aca="false">0.05*H8</f>
        <v>69750</v>
      </c>
      <c r="K8" s="3"/>
      <c r="L8" s="3"/>
      <c r="M8" s="3"/>
    </row>
    <row r="9" customFormat="false" ht="12.75" hidden="false" customHeight="false" outlineLevel="0" collapsed="false">
      <c r="A9" s="7" t="n">
        <v>36831</v>
      </c>
      <c r="B9" s="1" t="n">
        <v>30</v>
      </c>
      <c r="C9" s="8" t="n">
        <v>0</v>
      </c>
      <c r="D9" s="8" t="n">
        <v>67500</v>
      </c>
      <c r="E9" s="9" t="n">
        <v>45000</v>
      </c>
      <c r="F9" s="8" t="n">
        <f aca="false">+C9*$B9</f>
        <v>0</v>
      </c>
      <c r="G9" s="8" t="n">
        <f aca="false">+D9*$B9</f>
        <v>2025000</v>
      </c>
      <c r="H9" s="9" t="n">
        <f aca="false">+E9*$B9</f>
        <v>1350000</v>
      </c>
      <c r="I9" s="3"/>
      <c r="J9" s="9" t="n">
        <f aca="false">0.05*H9</f>
        <v>67500</v>
      </c>
      <c r="K9" s="3"/>
      <c r="L9" s="3"/>
      <c r="M9" s="3"/>
    </row>
    <row r="10" customFormat="false" ht="12.75" hidden="false" customHeight="false" outlineLevel="0" collapsed="false">
      <c r="A10" s="7" t="n">
        <v>36861</v>
      </c>
      <c r="B10" s="1" t="n">
        <v>31</v>
      </c>
      <c r="C10" s="8" t="n">
        <v>0</v>
      </c>
      <c r="D10" s="8" t="n">
        <v>67500</v>
      </c>
      <c r="E10" s="9" t="n">
        <v>45000</v>
      </c>
      <c r="F10" s="8" t="n">
        <f aca="false">+C10*$B10</f>
        <v>0</v>
      </c>
      <c r="G10" s="8" t="n">
        <f aca="false">+D10*$B10</f>
        <v>2092500</v>
      </c>
      <c r="H10" s="9" t="n">
        <f aca="false">+E10*$B10</f>
        <v>1395000</v>
      </c>
      <c r="I10" s="3"/>
      <c r="J10" s="9" t="n">
        <f aca="false">0.05*H10</f>
        <v>69750</v>
      </c>
      <c r="K10" s="3"/>
      <c r="L10" s="3"/>
      <c r="M10" s="3"/>
    </row>
    <row r="11" customFormat="false" ht="12.75" hidden="false" customHeight="false" outlineLevel="0" collapsed="false">
      <c r="A11" s="7" t="n">
        <v>36892</v>
      </c>
      <c r="B11" s="1" t="n">
        <v>31</v>
      </c>
      <c r="C11" s="8" t="n">
        <v>0</v>
      </c>
      <c r="D11" s="8" t="n">
        <v>67500</v>
      </c>
      <c r="E11" s="9" t="n">
        <v>45000</v>
      </c>
      <c r="F11" s="8" t="n">
        <f aca="false">+C11*$B11</f>
        <v>0</v>
      </c>
      <c r="G11" s="8" t="n">
        <f aca="false">+D11*$B11</f>
        <v>2092500</v>
      </c>
      <c r="H11" s="9" t="n">
        <f aca="false">+E11*$B11</f>
        <v>1395000</v>
      </c>
      <c r="I11" s="3"/>
      <c r="J11" s="9" t="n">
        <f aca="false">0.05*H11</f>
        <v>69750</v>
      </c>
      <c r="K11" s="3"/>
      <c r="L11" s="3"/>
      <c r="M11" s="3"/>
    </row>
    <row r="12" customFormat="false" ht="12.75" hidden="false" customHeight="false" outlineLevel="0" collapsed="false">
      <c r="A12" s="7" t="n">
        <v>36923</v>
      </c>
      <c r="B12" s="1" t="n">
        <v>28</v>
      </c>
      <c r="C12" s="8" t="n">
        <v>0</v>
      </c>
      <c r="D12" s="8" t="n">
        <v>67500</v>
      </c>
      <c r="E12" s="9" t="n">
        <v>45000</v>
      </c>
      <c r="F12" s="8" t="n">
        <f aca="false">+C12*$B12</f>
        <v>0</v>
      </c>
      <c r="G12" s="8" t="n">
        <f aca="false">+D12*$B12</f>
        <v>1890000</v>
      </c>
      <c r="H12" s="9" t="n">
        <f aca="false">+E12*$B12</f>
        <v>1260000</v>
      </c>
      <c r="I12" s="3"/>
      <c r="J12" s="9" t="n">
        <f aca="false">0.05*H12</f>
        <v>63000</v>
      </c>
      <c r="K12" s="3"/>
      <c r="L12" s="3"/>
      <c r="M12" s="3"/>
    </row>
    <row r="13" customFormat="false" ht="12.75" hidden="false" customHeight="false" outlineLevel="0" collapsed="false">
      <c r="A13" s="7" t="n">
        <v>36951</v>
      </c>
      <c r="B13" s="1" t="n">
        <v>31</v>
      </c>
      <c r="C13" s="8" t="n">
        <v>0</v>
      </c>
      <c r="D13" s="8" t="n">
        <v>67500</v>
      </c>
      <c r="E13" s="9" t="n">
        <v>45000</v>
      </c>
      <c r="F13" s="8" t="n">
        <f aca="false">+C13*$B13</f>
        <v>0</v>
      </c>
      <c r="G13" s="8" t="n">
        <f aca="false">+D13*$B13</f>
        <v>2092500</v>
      </c>
      <c r="H13" s="9" t="n">
        <f aca="false">+E13*$B13</f>
        <v>1395000</v>
      </c>
      <c r="I13" s="3"/>
      <c r="J13" s="9" t="n">
        <f aca="false">0.05*H13</f>
        <v>69750</v>
      </c>
      <c r="K13" s="3"/>
      <c r="L13" s="3"/>
      <c r="M13" s="3"/>
    </row>
    <row r="14" customFormat="false" ht="12.75" hidden="false" customHeight="false" outlineLevel="0" collapsed="false">
      <c r="A14" s="7" t="n">
        <v>36982</v>
      </c>
      <c r="B14" s="1" t="n">
        <v>30</v>
      </c>
      <c r="C14" s="8" t="n">
        <v>0</v>
      </c>
      <c r="D14" s="8" t="n">
        <v>67500</v>
      </c>
      <c r="E14" s="9" t="n">
        <v>45000</v>
      </c>
      <c r="F14" s="8" t="n">
        <f aca="false">+C14*$B14</f>
        <v>0</v>
      </c>
      <c r="G14" s="8" t="n">
        <f aca="false">+D14*$B14</f>
        <v>2025000</v>
      </c>
      <c r="H14" s="9" t="n">
        <f aca="false">+E14*$B14</f>
        <v>1350000</v>
      </c>
      <c r="I14" s="3"/>
      <c r="J14" s="9" t="n">
        <f aca="false">0.05*H14</f>
        <v>67500</v>
      </c>
      <c r="K14" s="3"/>
      <c r="L14" s="3"/>
      <c r="M14" s="3"/>
    </row>
    <row r="15" customFormat="false" ht="12.75" hidden="false" customHeight="false" outlineLevel="0" collapsed="false">
      <c r="A15" s="7" t="n">
        <v>37012</v>
      </c>
      <c r="B15" s="1" t="n">
        <v>31</v>
      </c>
      <c r="C15" s="8" t="n">
        <f aca="false">+C3</f>
        <v>37500</v>
      </c>
      <c r="D15" s="8" t="n">
        <f aca="false">+D3</f>
        <v>112500</v>
      </c>
      <c r="E15" s="9" t="n">
        <f aca="false">+E3</f>
        <v>75000</v>
      </c>
      <c r="F15" s="8" t="n">
        <f aca="false">+C15*$B15</f>
        <v>1162500</v>
      </c>
      <c r="G15" s="8" t="n">
        <f aca="false">+D15*$B15</f>
        <v>3487500</v>
      </c>
      <c r="H15" s="9" t="n">
        <f aca="false">+E15*$B15</f>
        <v>2325000</v>
      </c>
      <c r="I15" s="3"/>
      <c r="J15" s="9" t="n">
        <f aca="false">0.05*H15</f>
        <v>116250</v>
      </c>
      <c r="K15" s="3"/>
      <c r="L15" s="3"/>
      <c r="M15" s="3"/>
    </row>
    <row r="16" customFormat="false" ht="12.75" hidden="false" customHeight="false" outlineLevel="0" collapsed="false">
      <c r="A16" s="7" t="n">
        <v>37043</v>
      </c>
      <c r="B16" s="1" t="n">
        <v>30</v>
      </c>
      <c r="C16" s="8" t="n">
        <f aca="false">+C3</f>
        <v>37500</v>
      </c>
      <c r="D16" s="8" t="n">
        <f aca="false">+D3</f>
        <v>112500</v>
      </c>
      <c r="E16" s="9" t="n">
        <f aca="false">+E3</f>
        <v>75000</v>
      </c>
      <c r="F16" s="8" t="n">
        <f aca="false">+C16*$B16</f>
        <v>1125000</v>
      </c>
      <c r="G16" s="8" t="n">
        <f aca="false">+D16*$B16</f>
        <v>3375000</v>
      </c>
      <c r="H16" s="9" t="n">
        <f aca="false">+E16*$B16</f>
        <v>2250000</v>
      </c>
      <c r="I16" s="3"/>
      <c r="J16" s="9" t="n">
        <f aca="false">0.05*H16</f>
        <v>112500</v>
      </c>
    </row>
    <row r="17" customFormat="false" ht="12.75" hidden="false" customHeight="false" outlineLevel="0" collapsed="false">
      <c r="H17" s="10" t="n">
        <f aca="false">SUM(H3:H16)</f>
        <v>27890000</v>
      </c>
    </row>
    <row r="20" customFormat="false" ht="15.75" hidden="false" customHeight="false" outlineLevel="0" collapsed="false">
      <c r="A20" s="2" t="s">
        <v>10</v>
      </c>
      <c r="B20" s="2"/>
      <c r="C20" s="2"/>
      <c r="D20" s="2"/>
      <c r="E20" s="2"/>
      <c r="F20" s="2"/>
      <c r="G20" s="2"/>
      <c r="H20" s="2"/>
      <c r="J20" s="11" t="s">
        <v>11</v>
      </c>
      <c r="K20" s="11"/>
      <c r="L20" s="11"/>
    </row>
    <row r="21" customFormat="false" ht="39" hidden="false" customHeight="false" outlineLevel="0" collapsed="false">
      <c r="A21" s="4" t="s">
        <v>1</v>
      </c>
      <c r="B21" s="5" t="s">
        <v>2</v>
      </c>
      <c r="C21" s="12" t="s">
        <v>12</v>
      </c>
      <c r="D21" s="12" t="s">
        <v>13</v>
      </c>
      <c r="E21" s="12" t="s">
        <v>14</v>
      </c>
      <c r="F21" s="12" t="s">
        <v>13</v>
      </c>
      <c r="G21" s="12" t="s">
        <v>15</v>
      </c>
      <c r="H21" s="12" t="s">
        <v>13</v>
      </c>
      <c r="I21" s="12" t="s">
        <v>16</v>
      </c>
      <c r="J21" s="12" t="s">
        <v>13</v>
      </c>
      <c r="K21" s="12" t="s">
        <v>17</v>
      </c>
      <c r="L21" s="12" t="s">
        <v>13</v>
      </c>
      <c r="M21" s="13" t="s">
        <v>18</v>
      </c>
      <c r="O21" s="12" t="s">
        <v>19</v>
      </c>
      <c r="P21" s="12" t="s">
        <v>20</v>
      </c>
      <c r="Q21" s="13" t="s">
        <v>18</v>
      </c>
    </row>
    <row r="22" customFormat="false" ht="12.75" hidden="false" customHeight="false" outlineLevel="0" collapsed="false">
      <c r="A22" s="7" t="n">
        <v>36647</v>
      </c>
      <c r="B22" s="1" t="n">
        <v>31</v>
      </c>
      <c r="C22" s="14" t="n">
        <f aca="false">+$E3*$B22*'Historical Flow'!$D$19</f>
        <v>745720.615002561</v>
      </c>
      <c r="D22" s="14" t="n">
        <f aca="false">+C22/$B22</f>
        <v>24055.50370976</v>
      </c>
      <c r="E22" s="14" t="n">
        <f aca="false">+$E3*$B22*'Historical Flow'!$F$19</f>
        <v>156623.669839687</v>
      </c>
      <c r="F22" s="14" t="n">
        <f aca="false">+E22/$B22</f>
        <v>5052.37644644151</v>
      </c>
      <c r="G22" s="14" t="n">
        <f aca="false">+$E3*$B22*'Historical Flow'!$H$19</f>
        <v>1297616.02073203</v>
      </c>
      <c r="H22" s="14" t="n">
        <f aca="false">+G22/$B22</f>
        <v>41858.5813139365</v>
      </c>
      <c r="I22" s="14" t="n">
        <f aca="false">+$E3*$B22*'Historical Flow'!$J$19</f>
        <v>72883.3955813412</v>
      </c>
      <c r="J22" s="14" t="n">
        <f aca="false">+I22/$B22</f>
        <v>2351.07727681746</v>
      </c>
      <c r="K22" s="14" t="n">
        <f aca="false">+$E3*$B22*'Historical Flow'!$L$19</f>
        <v>52156.2988443805</v>
      </c>
      <c r="L22" s="14" t="n">
        <f aca="false">+K22/$B22</f>
        <v>1682.46125304453</v>
      </c>
      <c r="M22" s="15" t="n">
        <f aca="false">+C22+E22+G22+I22+K22</f>
        <v>2325000</v>
      </c>
      <c r="O22" s="14" t="n">
        <f aca="false">+C22+G22</f>
        <v>2043336.63573459</v>
      </c>
      <c r="P22" s="14" t="n">
        <f aca="false">+M22-O22</f>
        <v>281663.364265408</v>
      </c>
      <c r="Q22" s="15" t="n">
        <f aca="false">SUM(O22:P22)</f>
        <v>2325000</v>
      </c>
    </row>
    <row r="23" customFormat="false" ht="12.75" hidden="false" customHeight="false" outlineLevel="0" collapsed="false">
      <c r="A23" s="7" t="n">
        <v>36678</v>
      </c>
      <c r="B23" s="1" t="n">
        <v>30</v>
      </c>
      <c r="C23" s="14" t="n">
        <f aca="false">+$E4*$B23*'Historical Flow'!$D$19</f>
        <v>721665.111292801</v>
      </c>
      <c r="D23" s="14" t="n">
        <f aca="false">+C23/$B23</f>
        <v>24055.50370976</v>
      </c>
      <c r="E23" s="14" t="n">
        <f aca="false">+$E4*$B23*'Historical Flow'!$F$19</f>
        <v>151571.293393245</v>
      </c>
      <c r="F23" s="14" t="n">
        <f aca="false">+E23/$B23</f>
        <v>5052.3764464415</v>
      </c>
      <c r="G23" s="14" t="n">
        <f aca="false">+$E4*$B23*'Historical Flow'!$H$19</f>
        <v>1255757.43941809</v>
      </c>
      <c r="H23" s="14" t="n">
        <f aca="false">+G23/$B23</f>
        <v>41858.5813139365</v>
      </c>
      <c r="I23" s="14" t="n">
        <f aca="false">+$E4*$B23*'Historical Flow'!$J$19</f>
        <v>70532.3183045237</v>
      </c>
      <c r="J23" s="14" t="n">
        <f aca="false">+I23/$B23</f>
        <v>2351.07727681746</v>
      </c>
      <c r="K23" s="14" t="n">
        <f aca="false">+$E4*$B23*'Historical Flow'!$L$19</f>
        <v>50473.8375913359</v>
      </c>
      <c r="L23" s="14" t="n">
        <f aca="false">+K23/$B23</f>
        <v>1682.46125304453</v>
      </c>
      <c r="M23" s="15" t="n">
        <f aca="false">+C23+E23+G23+I23+K23</f>
        <v>2250000</v>
      </c>
      <c r="O23" s="14" t="n">
        <f aca="false">+C23+G23</f>
        <v>1977422.5507109</v>
      </c>
      <c r="P23" s="14" t="n">
        <f aca="false">+M23-O23</f>
        <v>272577.449289105</v>
      </c>
      <c r="Q23" s="16" t="n">
        <f aca="false">SUM(O23:P23)</f>
        <v>2250000</v>
      </c>
    </row>
    <row r="24" customFormat="false" ht="12.75" hidden="false" customHeight="false" outlineLevel="0" collapsed="false">
      <c r="A24" s="7" t="n">
        <v>36708</v>
      </c>
      <c r="B24" s="1" t="n">
        <v>31</v>
      </c>
      <c r="C24" s="14" t="n">
        <f aca="false">+$E5*$B24*'Historical Flow'!$D$19</f>
        <v>994294.153336748</v>
      </c>
      <c r="D24" s="14" t="n">
        <f aca="false">+C24/$B24</f>
        <v>32074.0049463467</v>
      </c>
      <c r="E24" s="14" t="n">
        <f aca="false">+$E5*$B24*'Historical Flow'!$F$19</f>
        <v>208831.559786249</v>
      </c>
      <c r="F24" s="14" t="n">
        <f aca="false">+E24/$B24</f>
        <v>6736.50192858867</v>
      </c>
      <c r="G24" s="14" t="n">
        <f aca="false">+$E5*$B24*'Historical Flow'!$H$19</f>
        <v>1730154.69430937</v>
      </c>
      <c r="H24" s="14" t="n">
        <f aca="false">+G24/$B24</f>
        <v>55811.4417519153</v>
      </c>
      <c r="I24" s="14" t="n">
        <f aca="false">+$E5*$B24*'Historical Flow'!$J$19</f>
        <v>97177.8607751216</v>
      </c>
      <c r="J24" s="14" t="n">
        <f aca="false">+I24/$B24</f>
        <v>3134.76970242328</v>
      </c>
      <c r="K24" s="14" t="n">
        <f aca="false">+$E5*$B24*'Historical Flow'!$L$19</f>
        <v>69541.7317925073</v>
      </c>
      <c r="L24" s="14" t="n">
        <f aca="false">+K24/$B24</f>
        <v>2243.28167072604</v>
      </c>
      <c r="M24" s="15" t="n">
        <f aca="false">+C24+E24+G24+I24+K24</f>
        <v>3100000</v>
      </c>
      <c r="O24" s="14" t="n">
        <f aca="false">+C24+G24</f>
        <v>2724448.84764612</v>
      </c>
      <c r="P24" s="14" t="n">
        <f aca="false">+M24-O24</f>
        <v>375551.152353877</v>
      </c>
      <c r="Q24" s="16" t="n">
        <f aca="false">SUM(O24:P24)</f>
        <v>3100000</v>
      </c>
    </row>
    <row r="25" customFormat="false" ht="12.75" hidden="false" customHeight="false" outlineLevel="0" collapsed="false">
      <c r="A25" s="7" t="n">
        <v>36739</v>
      </c>
      <c r="B25" s="1" t="n">
        <v>31</v>
      </c>
      <c r="C25" s="14" t="n">
        <f aca="false">+$E6*$B25*'Historical Flow'!$D$19</f>
        <v>994294.153336748</v>
      </c>
      <c r="D25" s="14" t="n">
        <f aca="false">+C25/$B25</f>
        <v>32074.0049463467</v>
      </c>
      <c r="E25" s="14" t="n">
        <f aca="false">+$E6*$B25*'Historical Flow'!$F$19</f>
        <v>208831.559786249</v>
      </c>
      <c r="F25" s="14" t="n">
        <f aca="false">+E25/$B25</f>
        <v>6736.50192858867</v>
      </c>
      <c r="G25" s="14" t="n">
        <f aca="false">+$E6*$B25*'Historical Flow'!$H$19</f>
        <v>1730154.69430937</v>
      </c>
      <c r="H25" s="14" t="n">
        <f aca="false">+G25/$B25</f>
        <v>55811.4417519153</v>
      </c>
      <c r="I25" s="14" t="n">
        <f aca="false">+$E6*$B25*'Historical Flow'!$J$19</f>
        <v>97177.8607751216</v>
      </c>
      <c r="J25" s="14" t="n">
        <f aca="false">+I25/$B25</f>
        <v>3134.76970242328</v>
      </c>
      <c r="K25" s="14" t="n">
        <f aca="false">+$E6*$B25*'Historical Flow'!$L$19</f>
        <v>69541.7317925073</v>
      </c>
      <c r="L25" s="14" t="n">
        <f aca="false">+K25/$B25</f>
        <v>2243.28167072604</v>
      </c>
      <c r="M25" s="15" t="n">
        <f aca="false">+C25+E25+G25+I25+K25</f>
        <v>3100000</v>
      </c>
      <c r="O25" s="14" t="n">
        <f aca="false">+C25+G25</f>
        <v>2724448.84764612</v>
      </c>
      <c r="P25" s="14" t="n">
        <f aca="false">+M25-O25</f>
        <v>375551.152353877</v>
      </c>
      <c r="Q25" s="16" t="n">
        <f aca="false">SUM(O25:P25)</f>
        <v>3100000</v>
      </c>
    </row>
    <row r="26" customFormat="false" ht="12.75" hidden="false" customHeight="false" outlineLevel="0" collapsed="false">
      <c r="A26" s="7" t="n">
        <v>36770</v>
      </c>
      <c r="B26" s="1" t="n">
        <v>30</v>
      </c>
      <c r="C26" s="14" t="n">
        <f aca="false">+$E7*$B26*'Historical Flow'!$D$19</f>
        <v>962220.148390401</v>
      </c>
      <c r="D26" s="14" t="n">
        <f aca="false">+C26/$B26</f>
        <v>32074.0049463467</v>
      </c>
      <c r="E26" s="14" t="n">
        <f aca="false">+$E7*$B26*'Historical Flow'!$F$19</f>
        <v>202095.05785766</v>
      </c>
      <c r="F26" s="14" t="n">
        <f aca="false">+E26/$B26</f>
        <v>6736.50192858867</v>
      </c>
      <c r="G26" s="14" t="n">
        <f aca="false">+$E7*$B26*'Historical Flow'!$H$19</f>
        <v>1674343.25255746</v>
      </c>
      <c r="H26" s="14" t="n">
        <f aca="false">+G26/$B26</f>
        <v>55811.4417519153</v>
      </c>
      <c r="I26" s="14" t="n">
        <f aca="false">+$E7*$B26*'Historical Flow'!$J$19</f>
        <v>94043.0910726983</v>
      </c>
      <c r="J26" s="14" t="n">
        <f aca="false">+I26/$B26</f>
        <v>3134.76970242328</v>
      </c>
      <c r="K26" s="14" t="n">
        <f aca="false">+$E7*$B26*'Historical Flow'!$L$19</f>
        <v>67298.4501217813</v>
      </c>
      <c r="L26" s="14" t="n">
        <f aca="false">+K26/$B26</f>
        <v>2243.28167072604</v>
      </c>
      <c r="M26" s="15" t="n">
        <f aca="false">+C26+E26+G26+I26+K26</f>
        <v>3000000</v>
      </c>
      <c r="O26" s="14" t="n">
        <f aca="false">+C26+G26</f>
        <v>2636563.40094786</v>
      </c>
      <c r="P26" s="14" t="n">
        <f aca="false">+M26-O26</f>
        <v>363436.599052139</v>
      </c>
      <c r="Q26" s="16" t="n">
        <f aca="false">SUM(O26:P26)</f>
        <v>3000000</v>
      </c>
    </row>
    <row r="27" customFormat="false" ht="12.75" hidden="false" customHeight="false" outlineLevel="0" collapsed="false">
      <c r="A27" s="7" t="n">
        <v>36800</v>
      </c>
      <c r="B27" s="1" t="n">
        <v>31</v>
      </c>
      <c r="C27" s="14" t="n">
        <f aca="false">+$E8*$B27*'Historical Flow'!$D$19</f>
        <v>447432.369001537</v>
      </c>
      <c r="D27" s="14" t="n">
        <f aca="false">+C27/$B27</f>
        <v>14433.302225856</v>
      </c>
      <c r="E27" s="14" t="n">
        <f aca="false">+$E8*$B27*'Historical Flow'!$F$19</f>
        <v>93974.201903812</v>
      </c>
      <c r="F27" s="14" t="n">
        <f aca="false">+E27/$B27</f>
        <v>3031.4258678649</v>
      </c>
      <c r="G27" s="14" t="n">
        <f aca="false">+$E8*$B27*'Historical Flow'!$H$19</f>
        <v>778569.612439218</v>
      </c>
      <c r="H27" s="14" t="n">
        <f aca="false">+G27/$B27</f>
        <v>25115.1487883619</v>
      </c>
      <c r="I27" s="14" t="n">
        <f aca="false">+$E8*$B27*'Historical Flow'!$J$19</f>
        <v>43730.0373488047</v>
      </c>
      <c r="J27" s="14" t="n">
        <f aca="false">+I27/$B27</f>
        <v>1410.64636609047</v>
      </c>
      <c r="K27" s="14" t="n">
        <f aca="false">+$E8*$B27*'Historical Flow'!$L$19</f>
        <v>31293.7793066283</v>
      </c>
      <c r="L27" s="14" t="n">
        <f aca="false">+K27/$B27</f>
        <v>1009.47675182672</v>
      </c>
      <c r="M27" s="15" t="n">
        <f aca="false">+C27+E27+G27+I27+K27</f>
        <v>1395000</v>
      </c>
      <c r="O27" s="14" t="n">
        <f aca="false">+C27+G27</f>
        <v>1226001.98144076</v>
      </c>
      <c r="P27" s="14" t="n">
        <f aca="false">+M27-O27</f>
        <v>168998.018559245</v>
      </c>
      <c r="Q27" s="16" t="n">
        <f aca="false">SUM(O27:P27)</f>
        <v>1395000</v>
      </c>
    </row>
    <row r="28" customFormat="false" ht="12.75" hidden="false" customHeight="false" outlineLevel="0" collapsed="false">
      <c r="A28" s="7" t="n">
        <v>36831</v>
      </c>
      <c r="B28" s="1" t="n">
        <v>30</v>
      </c>
      <c r="C28" s="14" t="n">
        <f aca="false">+$E9*$B28*'Historical Flow'!$D$19</f>
        <v>432999.066775681</v>
      </c>
      <c r="D28" s="14" t="n">
        <f aca="false">+C28/$B28</f>
        <v>14433.302225856</v>
      </c>
      <c r="E28" s="14" t="n">
        <f aca="false">+$E9*$B28*'Historical Flow'!$F$19</f>
        <v>90942.7760359471</v>
      </c>
      <c r="F28" s="14" t="n">
        <f aca="false">+E28/$B28</f>
        <v>3031.4258678649</v>
      </c>
      <c r="G28" s="14" t="n">
        <f aca="false">+$E9*$B28*'Historical Flow'!$H$19</f>
        <v>753454.463650857</v>
      </c>
      <c r="H28" s="14" t="n">
        <f aca="false">+G28/$B28</f>
        <v>25115.1487883619</v>
      </c>
      <c r="I28" s="14" t="n">
        <f aca="false">+$E9*$B28*'Historical Flow'!$J$19</f>
        <v>42319.3909827142</v>
      </c>
      <c r="J28" s="14" t="n">
        <f aca="false">+I28/$B28</f>
        <v>1410.64636609047</v>
      </c>
      <c r="K28" s="14" t="n">
        <f aca="false">+$E9*$B28*'Historical Flow'!$L$19</f>
        <v>30284.3025548016</v>
      </c>
      <c r="L28" s="14" t="n">
        <f aca="false">+K28/$B28</f>
        <v>1009.47675182672</v>
      </c>
      <c r="M28" s="15" t="n">
        <f aca="false">+C28+E28+G28+I28+K28</f>
        <v>1350000</v>
      </c>
      <c r="O28" s="14" t="n">
        <f aca="false">+C28+G28</f>
        <v>1186453.53042654</v>
      </c>
      <c r="P28" s="14" t="n">
        <f aca="false">+M28-O28</f>
        <v>163546.469573463</v>
      </c>
      <c r="Q28" s="16" t="n">
        <f aca="false">SUM(O28:P28)</f>
        <v>1350000</v>
      </c>
    </row>
    <row r="29" customFormat="false" ht="12.75" hidden="false" customHeight="false" outlineLevel="0" collapsed="false">
      <c r="A29" s="7" t="n">
        <v>36861</v>
      </c>
      <c r="B29" s="1" t="n">
        <v>31</v>
      </c>
      <c r="C29" s="14" t="n">
        <f aca="false">+$E10*$B29*'Historical Flow'!$D$19</f>
        <v>447432.369001537</v>
      </c>
      <c r="D29" s="14" t="n">
        <f aca="false">+C29/$B29</f>
        <v>14433.302225856</v>
      </c>
      <c r="E29" s="14" t="n">
        <f aca="false">+$E10*$B29*'Historical Flow'!$F$19</f>
        <v>93974.201903812</v>
      </c>
      <c r="F29" s="14" t="n">
        <f aca="false">+E29/$B29</f>
        <v>3031.4258678649</v>
      </c>
      <c r="G29" s="14" t="n">
        <f aca="false">+$E10*$B29*'Historical Flow'!$H$19</f>
        <v>778569.612439218</v>
      </c>
      <c r="H29" s="14" t="n">
        <f aca="false">+G29/$B29</f>
        <v>25115.1487883619</v>
      </c>
      <c r="I29" s="14" t="n">
        <f aca="false">+$E10*$B29*'Historical Flow'!$J$19</f>
        <v>43730.0373488047</v>
      </c>
      <c r="J29" s="14" t="n">
        <f aca="false">+I29/$B29</f>
        <v>1410.64636609047</v>
      </c>
      <c r="K29" s="14" t="n">
        <f aca="false">+$E10*$B29*'Historical Flow'!$L$19</f>
        <v>31293.7793066283</v>
      </c>
      <c r="L29" s="14" t="n">
        <f aca="false">+K29/$B29</f>
        <v>1009.47675182672</v>
      </c>
      <c r="M29" s="15" t="n">
        <f aca="false">+C29+E29+G29+I29+K29</f>
        <v>1395000</v>
      </c>
      <c r="O29" s="14" t="n">
        <f aca="false">+C29+G29</f>
        <v>1226001.98144076</v>
      </c>
      <c r="P29" s="14" t="n">
        <f aca="false">+M29-O29</f>
        <v>168998.018559245</v>
      </c>
      <c r="Q29" s="16" t="n">
        <f aca="false">SUM(O29:P29)</f>
        <v>1395000</v>
      </c>
    </row>
    <row r="30" customFormat="false" ht="12.75" hidden="false" customHeight="false" outlineLevel="0" collapsed="false">
      <c r="A30" s="7" t="n">
        <v>36892</v>
      </c>
      <c r="B30" s="1" t="n">
        <v>31</v>
      </c>
      <c r="C30" s="14" t="n">
        <f aca="false">+$E11*$B30*'Historical Flow'!$D$19</f>
        <v>447432.369001537</v>
      </c>
      <c r="D30" s="14" t="n">
        <f aca="false">+C30/$B30</f>
        <v>14433.302225856</v>
      </c>
      <c r="E30" s="14" t="n">
        <f aca="false">+$E11*$B30*'Historical Flow'!$F$19</f>
        <v>93974.201903812</v>
      </c>
      <c r="F30" s="14" t="n">
        <f aca="false">+E30/$B30</f>
        <v>3031.4258678649</v>
      </c>
      <c r="G30" s="14" t="n">
        <f aca="false">+$E11*$B30*'Historical Flow'!$H$19</f>
        <v>778569.612439218</v>
      </c>
      <c r="H30" s="14" t="n">
        <f aca="false">+G30/$B30</f>
        <v>25115.1487883619</v>
      </c>
      <c r="I30" s="14" t="n">
        <f aca="false">+$E11*$B30*'Historical Flow'!$J$19</f>
        <v>43730.0373488047</v>
      </c>
      <c r="J30" s="14" t="n">
        <f aca="false">+I30/$B30</f>
        <v>1410.64636609047</v>
      </c>
      <c r="K30" s="14" t="n">
        <f aca="false">+$E11*$B30*'Historical Flow'!$L$19</f>
        <v>31293.7793066283</v>
      </c>
      <c r="L30" s="14" t="n">
        <f aca="false">+K30/$B30</f>
        <v>1009.47675182672</v>
      </c>
      <c r="M30" s="15" t="n">
        <f aca="false">+C30+E30+G30+I30+K30</f>
        <v>1395000</v>
      </c>
      <c r="O30" s="14" t="n">
        <f aca="false">+C30+G30</f>
        <v>1226001.98144076</v>
      </c>
      <c r="P30" s="14" t="n">
        <f aca="false">+M30-O30</f>
        <v>168998.018559245</v>
      </c>
      <c r="Q30" s="16" t="n">
        <f aca="false">SUM(O30:P30)</f>
        <v>1395000</v>
      </c>
    </row>
    <row r="31" customFormat="false" ht="12.75" hidden="false" customHeight="false" outlineLevel="0" collapsed="false">
      <c r="A31" s="7" t="n">
        <v>36923</v>
      </c>
      <c r="B31" s="1" t="n">
        <v>28</v>
      </c>
      <c r="C31" s="14" t="n">
        <f aca="false">+$E12*$B31*'Historical Flow'!$D$19</f>
        <v>404132.462323969</v>
      </c>
      <c r="D31" s="14" t="n">
        <f aca="false">+C31/$B31</f>
        <v>14433.302225856</v>
      </c>
      <c r="E31" s="14" t="n">
        <f aca="false">+$E12*$B31*'Historical Flow'!$F$19</f>
        <v>84879.9243002173</v>
      </c>
      <c r="F31" s="14" t="n">
        <f aca="false">+E31/$B31</f>
        <v>3031.4258678649</v>
      </c>
      <c r="G31" s="14" t="n">
        <f aca="false">+$E12*$B31*'Historical Flow'!$H$19</f>
        <v>703224.166074133</v>
      </c>
      <c r="H31" s="14" t="n">
        <f aca="false">+G31/$B31</f>
        <v>25115.1487883619</v>
      </c>
      <c r="I31" s="14" t="n">
        <f aca="false">+$E12*$B31*'Historical Flow'!$J$19</f>
        <v>39498.0982505333</v>
      </c>
      <c r="J31" s="14" t="n">
        <f aca="false">+I31/$B31</f>
        <v>1410.64636609047</v>
      </c>
      <c r="K31" s="14" t="n">
        <f aca="false">+$E12*$B31*'Historical Flow'!$L$19</f>
        <v>28265.3490511481</v>
      </c>
      <c r="L31" s="14" t="n">
        <f aca="false">+K31/$B31</f>
        <v>1009.47675182672</v>
      </c>
      <c r="M31" s="15" t="n">
        <f aca="false">+C31+E31+G31+I31+K31</f>
        <v>1260000</v>
      </c>
      <c r="O31" s="14" t="n">
        <f aca="false">+C31+G31</f>
        <v>1107356.6283981</v>
      </c>
      <c r="P31" s="14" t="n">
        <f aca="false">+M31-O31</f>
        <v>152643.371601899</v>
      </c>
      <c r="Q31" s="16" t="n">
        <f aca="false">SUM(O31:P31)</f>
        <v>1260000</v>
      </c>
    </row>
    <row r="32" customFormat="false" ht="12.75" hidden="false" customHeight="false" outlineLevel="0" collapsed="false">
      <c r="A32" s="7" t="n">
        <v>36951</v>
      </c>
      <c r="B32" s="1" t="n">
        <v>31</v>
      </c>
      <c r="C32" s="14" t="n">
        <f aca="false">+$E13*$B32*'Historical Flow'!$D$19</f>
        <v>447432.369001537</v>
      </c>
      <c r="D32" s="14" t="n">
        <f aca="false">+C32/$B32</f>
        <v>14433.302225856</v>
      </c>
      <c r="E32" s="14" t="n">
        <f aca="false">+$E13*$B32*'Historical Flow'!$F$19</f>
        <v>93974.201903812</v>
      </c>
      <c r="F32" s="14" t="n">
        <f aca="false">+E32/$B32</f>
        <v>3031.4258678649</v>
      </c>
      <c r="G32" s="14" t="n">
        <f aca="false">+$E13*$B32*'Historical Flow'!$H$19</f>
        <v>778569.612439218</v>
      </c>
      <c r="H32" s="14" t="n">
        <f aca="false">+G32/$B32</f>
        <v>25115.1487883619</v>
      </c>
      <c r="I32" s="14" t="n">
        <f aca="false">+$E13*$B32*'Historical Flow'!$J$19</f>
        <v>43730.0373488047</v>
      </c>
      <c r="J32" s="14" t="n">
        <f aca="false">+I32/$B32</f>
        <v>1410.64636609047</v>
      </c>
      <c r="K32" s="14" t="n">
        <f aca="false">+$E13*$B32*'Historical Flow'!$L$19</f>
        <v>31293.7793066283</v>
      </c>
      <c r="L32" s="14" t="n">
        <f aca="false">+K32/$B32</f>
        <v>1009.47675182672</v>
      </c>
      <c r="M32" s="15" t="n">
        <f aca="false">+C32+E32+G32+I32+K32</f>
        <v>1395000</v>
      </c>
      <c r="O32" s="14" t="n">
        <f aca="false">+C32+G32</f>
        <v>1226001.98144076</v>
      </c>
      <c r="P32" s="14" t="n">
        <f aca="false">+M32-O32</f>
        <v>168998.018559245</v>
      </c>
      <c r="Q32" s="16" t="n">
        <f aca="false">SUM(O32:P32)</f>
        <v>1395000</v>
      </c>
    </row>
    <row r="33" customFormat="false" ht="12.75" hidden="false" customHeight="false" outlineLevel="0" collapsed="false">
      <c r="A33" s="7" t="n">
        <v>36982</v>
      </c>
      <c r="B33" s="1" t="n">
        <v>30</v>
      </c>
      <c r="C33" s="14" t="n">
        <f aca="false">+$E14*$B33*'Historical Flow'!$D$19</f>
        <v>432999.066775681</v>
      </c>
      <c r="D33" s="14" t="n">
        <f aca="false">+C33/$B33</f>
        <v>14433.302225856</v>
      </c>
      <c r="E33" s="14" t="n">
        <f aca="false">+$E14*$B33*'Historical Flow'!$F$19</f>
        <v>90942.7760359471</v>
      </c>
      <c r="F33" s="14" t="n">
        <f aca="false">+E33/$B33</f>
        <v>3031.4258678649</v>
      </c>
      <c r="G33" s="14" t="n">
        <f aca="false">+$E14*$B33*'Historical Flow'!$H$19</f>
        <v>753454.463650857</v>
      </c>
      <c r="H33" s="14" t="n">
        <f aca="false">+G33/$B33</f>
        <v>25115.1487883619</v>
      </c>
      <c r="I33" s="14" t="n">
        <f aca="false">+$E14*$B33*'Historical Flow'!$J$19</f>
        <v>42319.3909827142</v>
      </c>
      <c r="J33" s="14" t="n">
        <f aca="false">+I33/$B33</f>
        <v>1410.64636609047</v>
      </c>
      <c r="K33" s="14" t="n">
        <f aca="false">+$E14*$B33*'Historical Flow'!$L$19</f>
        <v>30284.3025548016</v>
      </c>
      <c r="L33" s="14" t="n">
        <f aca="false">+K33/$B33</f>
        <v>1009.47675182672</v>
      </c>
      <c r="M33" s="15" t="n">
        <f aca="false">+C33+E33+G33+I33+K33</f>
        <v>1350000</v>
      </c>
      <c r="O33" s="14" t="n">
        <f aca="false">+C33+G33</f>
        <v>1186453.53042654</v>
      </c>
      <c r="P33" s="14" t="n">
        <f aca="false">+M33-O33</f>
        <v>163546.469573463</v>
      </c>
      <c r="Q33" s="16" t="n">
        <f aca="false">SUM(O33:P33)</f>
        <v>1350000</v>
      </c>
    </row>
    <row r="34" customFormat="false" ht="12.75" hidden="false" customHeight="false" outlineLevel="0" collapsed="false">
      <c r="M34" s="17"/>
      <c r="Q34" s="17"/>
    </row>
    <row r="35" customFormat="false" ht="12.75" hidden="false" customHeight="false" outlineLevel="0" collapsed="false">
      <c r="A35" s="18" t="s">
        <v>21</v>
      </c>
      <c r="B35" s="19"/>
      <c r="C35" s="20" t="n">
        <f aca="false">SUM(C22:C33)</f>
        <v>7478054.25324073</v>
      </c>
      <c r="D35" s="20"/>
      <c r="E35" s="20" t="n">
        <f aca="false">SUM(E22:E33)</f>
        <v>1570615.42465045</v>
      </c>
      <c r="F35" s="20"/>
      <c r="G35" s="20" t="n">
        <f aca="false">SUM(G22:G33)</f>
        <v>13012437.6444591</v>
      </c>
      <c r="H35" s="20"/>
      <c r="I35" s="20" t="n">
        <f aca="false">SUM(I22:I33)</f>
        <v>730871.556119987</v>
      </c>
      <c r="J35" s="20"/>
      <c r="K35" s="20" t="n">
        <f aca="false">SUM(K22:K33)</f>
        <v>523021.121529777</v>
      </c>
      <c r="L35" s="20"/>
      <c r="M35" s="21" t="n">
        <f aca="false">SUM(C35:K35)</f>
        <v>23315000</v>
      </c>
      <c r="O35" s="22" t="n">
        <f aca="false">SUM(O22:O33)</f>
        <v>20490491.8976998</v>
      </c>
      <c r="P35" s="20" t="n">
        <f aca="false">SUM(P22:P33)</f>
        <v>2824508.10230021</v>
      </c>
      <c r="Q35" s="21" t="n">
        <f aca="false">SUM(Q22:Q33)</f>
        <v>23315000</v>
      </c>
    </row>
    <row r="36" customFormat="false" ht="12.75" hidden="false" customHeight="false" outlineLevel="0" collapsed="false">
      <c r="C36" s="23"/>
      <c r="D36" s="23"/>
      <c r="E36" s="23"/>
      <c r="F36" s="23"/>
      <c r="G36" s="23"/>
      <c r="H36" s="23"/>
      <c r="I36" s="23"/>
      <c r="J36" s="23"/>
    </row>
    <row r="37" customFormat="false" ht="12.75" hidden="false" customHeight="false" outlineLevel="0" collapsed="false">
      <c r="A37" s="11" t="s">
        <v>22</v>
      </c>
      <c r="B37" s="11"/>
      <c r="C37" s="11"/>
      <c r="D37" s="11"/>
      <c r="E37" s="23"/>
      <c r="F37" s="23"/>
      <c r="G37" s="23"/>
      <c r="H37" s="23"/>
      <c r="I37" s="23"/>
      <c r="J37" s="23"/>
    </row>
    <row r="38" customFormat="false" ht="12.75" hidden="false" customHeight="false" outlineLevel="0" collapsed="false">
      <c r="A38" s="7" t="n">
        <v>36647</v>
      </c>
      <c r="C38" s="23"/>
      <c r="D38" s="14" t="n">
        <f aca="false">+D22+H22</f>
        <v>65914.0850236965</v>
      </c>
      <c r="E38" s="23"/>
      <c r="F38" s="23"/>
      <c r="G38" s="23"/>
      <c r="H38" s="23"/>
      <c r="I38" s="23"/>
      <c r="J38" s="23"/>
    </row>
    <row r="39" customFormat="false" ht="12.75" hidden="false" customHeight="false" outlineLevel="0" collapsed="false">
      <c r="A39" s="7" t="n">
        <v>36678</v>
      </c>
      <c r="C39" s="24"/>
      <c r="D39" s="14" t="n">
        <f aca="false">+D23+H23</f>
        <v>65914.0850236965</v>
      </c>
      <c r="E39" s="24"/>
      <c r="F39" s="24"/>
      <c r="G39" s="24"/>
      <c r="H39" s="24"/>
      <c r="I39" s="24"/>
      <c r="J39" s="24"/>
    </row>
    <row r="40" customFormat="false" ht="12.75" hidden="false" customHeight="false" outlineLevel="0" collapsed="false">
      <c r="A40" s="7" t="n">
        <v>36708</v>
      </c>
      <c r="D40" s="14" t="n">
        <f aca="false">+D24+H24</f>
        <v>87885.446698262</v>
      </c>
    </row>
    <row r="41" customFormat="false" ht="12.75" hidden="false" customHeight="false" outlineLevel="0" collapsed="false">
      <c r="A41" s="7" t="n">
        <v>36739</v>
      </c>
      <c r="D41" s="14" t="n">
        <f aca="false">+D25+H25</f>
        <v>87885.446698262</v>
      </c>
    </row>
    <row r="42" customFormat="false" ht="12.75" hidden="false" customHeight="false" outlineLevel="0" collapsed="false">
      <c r="A42" s="7" t="n">
        <v>36770</v>
      </c>
      <c r="D42" s="14" t="n">
        <f aca="false">+D26+H26</f>
        <v>87885.446698262</v>
      </c>
    </row>
    <row r="43" customFormat="false" ht="12.75" hidden="false" customHeight="false" outlineLevel="0" collapsed="false">
      <c r="A43" s="7" t="n">
        <v>36800</v>
      </c>
      <c r="D43" s="14" t="n">
        <f aca="false">+D27+H27</f>
        <v>39548.4510142179</v>
      </c>
    </row>
    <row r="44" customFormat="false" ht="12.75" hidden="false" customHeight="false" outlineLevel="0" collapsed="false">
      <c r="A44" s="7" t="n">
        <v>36831</v>
      </c>
      <c r="D44" s="14" t="n">
        <f aca="false">+D28+H28</f>
        <v>39548.4510142179</v>
      </c>
    </row>
    <row r="45" customFormat="false" ht="12.75" hidden="false" customHeight="false" outlineLevel="0" collapsed="false">
      <c r="A45" s="7" t="n">
        <v>36861</v>
      </c>
      <c r="D45" s="14" t="n">
        <f aca="false">+D29+H29</f>
        <v>39548.4510142179</v>
      </c>
    </row>
    <row r="46" customFormat="false" ht="12.75" hidden="false" customHeight="false" outlineLevel="0" collapsed="false">
      <c r="A46" s="7" t="n">
        <v>36892</v>
      </c>
      <c r="D46" s="14" t="n">
        <f aca="false">+D30+H30</f>
        <v>39548.4510142179</v>
      </c>
    </row>
    <row r="47" customFormat="false" ht="12.75" hidden="false" customHeight="false" outlineLevel="0" collapsed="false">
      <c r="A47" s="7" t="n">
        <v>36923</v>
      </c>
      <c r="D47" s="14" t="n">
        <f aca="false">+D31+H31</f>
        <v>39548.4510142179</v>
      </c>
    </row>
    <row r="48" customFormat="false" ht="12.75" hidden="false" customHeight="false" outlineLevel="0" collapsed="false">
      <c r="A48" s="7" t="n">
        <v>36951</v>
      </c>
      <c r="D48" s="14" t="n">
        <f aca="false">+D32+H32</f>
        <v>39548.4510142179</v>
      </c>
    </row>
    <row r="49" customFormat="false" ht="12.75" hidden="false" customHeight="false" outlineLevel="0" collapsed="false">
      <c r="A49" s="7" t="n">
        <v>36982</v>
      </c>
      <c r="D49" s="14" t="n">
        <f aca="false">+D33+H33</f>
        <v>39548.4510142179</v>
      </c>
    </row>
    <row r="50" customFormat="false" ht="12.75" hidden="false" customHeight="false" outlineLevel="0" collapsed="false">
      <c r="D50" s="14"/>
    </row>
    <row r="51" customFormat="false" ht="12.75" hidden="false" customHeight="false" outlineLevel="0" collapsed="false">
      <c r="D51" s="14"/>
    </row>
    <row r="52" customFormat="false" ht="12.75" hidden="false" customHeight="false" outlineLevel="0" collapsed="false">
      <c r="D52" s="14"/>
    </row>
    <row r="53" customFormat="false" ht="12.75" hidden="false" customHeight="false" outlineLevel="0" collapsed="false">
      <c r="D53" s="14"/>
    </row>
    <row r="54" customFormat="false" ht="12.75" hidden="false" customHeight="false" outlineLevel="0" collapsed="false">
      <c r="D54" s="14"/>
    </row>
    <row r="55" customFormat="false" ht="12.75" hidden="false" customHeight="false" outlineLevel="0" collapsed="false">
      <c r="D55" s="14"/>
    </row>
    <row r="56" customFormat="false" ht="12.75" hidden="false" customHeight="false" outlineLevel="0" collapsed="false">
      <c r="D56" s="14"/>
    </row>
  </sheetData>
  <mergeCells count="4">
    <mergeCell ref="A1:J1"/>
    <mergeCell ref="A20:H20"/>
    <mergeCell ref="J20:L20"/>
    <mergeCell ref="A37:D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13.14"/>
    <col collapsed="false" customWidth="true" hidden="false" outlineLevel="0" max="2" min="2" style="25" width="9.85"/>
    <col collapsed="false" customWidth="true" hidden="false" outlineLevel="0" max="3" min="3" style="25" width="10.13"/>
    <col collapsed="false" customWidth="true" hidden="false" outlineLevel="0" max="4" min="4" style="25" width="8.56"/>
    <col collapsed="false" customWidth="true" hidden="false" outlineLevel="0" max="5" min="5" style="25" width="13.99"/>
    <col collapsed="false" customWidth="true" hidden="false" outlineLevel="0" max="6" min="6" style="25" width="6.85"/>
    <col collapsed="false" customWidth="true" hidden="false" outlineLevel="0" max="8" min="7" style="25" width="5.71"/>
    <col collapsed="false" customWidth="true" hidden="false" outlineLevel="0" max="9" min="9" style="25" width="7.7"/>
    <col collapsed="false" customWidth="true" hidden="false" outlineLevel="0" max="10" min="10" style="25" width="7.42"/>
    <col collapsed="false" customWidth="true" hidden="false" outlineLevel="0" max="11" min="11" style="25" width="7.7"/>
    <col collapsed="false" customWidth="true" hidden="false" outlineLevel="0" max="12" min="12" style="25" width="10.56"/>
    <col collapsed="false" customWidth="true" hidden="false" outlineLevel="0" max="13" min="13" style="25" width="10.99"/>
    <col collapsed="false" customWidth="true" hidden="false" outlineLevel="0" max="14" min="14" style="25" width="8.56"/>
    <col collapsed="false" customWidth="true" hidden="false" outlineLevel="0" max="15" min="15" style="25" width="7.7"/>
    <col collapsed="false" customWidth="false" hidden="false" outlineLevel="0" max="17" min="16" style="25" width="9.14"/>
    <col collapsed="false" customWidth="true" hidden="false" outlineLevel="0" max="18" min="18" style="25" width="7.14"/>
    <col collapsed="false" customWidth="true" hidden="false" outlineLevel="0" max="19" min="19" style="25" width="4.85"/>
    <col collapsed="false" customWidth="true" hidden="false" outlineLevel="0" max="20" min="20" style="25" width="12.85"/>
    <col collapsed="false" customWidth="true" hidden="false" outlineLevel="0" max="21" min="21" style="25" width="14.41"/>
    <col collapsed="false" customWidth="true" hidden="false" outlineLevel="0" max="22" min="22" style="25" width="10.71"/>
    <col collapsed="false" customWidth="false" hidden="false" outlineLevel="0" max="257" min="23" style="25" width="9.14"/>
  </cols>
  <sheetData>
    <row r="1" customFormat="false" ht="13.5" hidden="false" customHeight="false" outlineLevel="0" collapsed="false"/>
    <row r="2" customFormat="false" ht="20.25" hidden="false" customHeight="true" outlineLevel="0" collapsed="false">
      <c r="A2" s="26" t="s">
        <v>23</v>
      </c>
      <c r="B2" s="27" t="e">
        <f aca="false">+#REF!</f>
        <v>#REF!</v>
      </c>
      <c r="C2" s="28"/>
      <c r="D2" s="28"/>
      <c r="E2" s="29"/>
      <c r="I2" s="30" t="s">
        <v>24</v>
      </c>
      <c r="J2" s="31"/>
      <c r="K2" s="32"/>
      <c r="M2" s="33" t="s">
        <v>25</v>
      </c>
      <c r="N2" s="34" t="n">
        <v>712988</v>
      </c>
    </row>
    <row r="3" customFormat="false" ht="13.5" hidden="false" customHeight="false" outlineLevel="0" collapsed="false">
      <c r="A3" s="35"/>
      <c r="B3" s="36"/>
      <c r="C3" s="36"/>
      <c r="D3" s="36"/>
    </row>
    <row r="4" customFormat="false" ht="26.25" hidden="false" customHeight="false" outlineLevel="0" collapsed="false">
      <c r="A4" s="37" t="s">
        <v>26</v>
      </c>
      <c r="B4" s="38" t="s">
        <v>27</v>
      </c>
      <c r="C4" s="38" t="s">
        <v>28</v>
      </c>
      <c r="D4" s="38" t="s">
        <v>29</v>
      </c>
      <c r="E4" s="38" t="s">
        <v>30</v>
      </c>
      <c r="F4" s="39" t="s">
        <v>31</v>
      </c>
      <c r="G4" s="40" t="s">
        <v>32</v>
      </c>
      <c r="H4" s="40" t="s">
        <v>33</v>
      </c>
      <c r="I4" s="40" t="s">
        <v>34</v>
      </c>
      <c r="J4" s="40" t="s">
        <v>35</v>
      </c>
      <c r="K4" s="40" t="s">
        <v>36</v>
      </c>
      <c r="L4" s="40" t="s">
        <v>37</v>
      </c>
      <c r="M4" s="40" t="s">
        <v>38</v>
      </c>
      <c r="N4" s="40" t="s">
        <v>39</v>
      </c>
      <c r="O4" s="40" t="s">
        <v>40</v>
      </c>
      <c r="P4" s="40" t="s">
        <v>41</v>
      </c>
      <c r="Q4" s="40" t="s">
        <v>42</v>
      </c>
      <c r="R4" s="40" t="s">
        <v>43</v>
      </c>
      <c r="S4" s="40" t="s">
        <v>44</v>
      </c>
      <c r="T4" s="41" t="s">
        <v>45</v>
      </c>
      <c r="U4" s="42" t="s">
        <v>46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</row>
    <row r="5" customFormat="false" ht="12.75" hidden="false" customHeight="false" outlineLevel="0" collapsed="false">
      <c r="A5" s="44" t="n">
        <v>36647</v>
      </c>
      <c r="B5" s="45" t="n">
        <f aca="false">-VLOOKUP(A5,'Deal Volumes'!$A$3:$J$16,10)</f>
        <v>-116250</v>
      </c>
      <c r="C5" s="44" t="n">
        <f aca="false">+A5</f>
        <v>36647</v>
      </c>
      <c r="D5" s="46" t="n">
        <f aca="false">EOMONTH(C5,0)</f>
        <v>36677</v>
      </c>
      <c r="E5" s="25" t="s">
        <v>20</v>
      </c>
      <c r="F5" s="47" t="s">
        <v>47</v>
      </c>
      <c r="G5" s="48" t="n">
        <v>2.571</v>
      </c>
      <c r="H5" s="49" t="n">
        <f aca="false">G5</f>
        <v>2.571</v>
      </c>
      <c r="I5" s="50" t="e">
        <f aca="false">+A5-$B$2</f>
        <v>#REF!</v>
      </c>
      <c r="J5" s="47" t="n">
        <f aca="false">+C5-A5</f>
        <v>0</v>
      </c>
      <c r="K5" s="45" t="n">
        <f aca="false">+D5-C5+1</f>
        <v>31</v>
      </c>
      <c r="L5" s="47" t="n">
        <v>1</v>
      </c>
      <c r="M5" s="51" t="n">
        <v>0.061739896749392</v>
      </c>
      <c r="N5" s="52" t="n">
        <f aca="false">+O5</f>
        <v>0.45</v>
      </c>
      <c r="O5" s="53" t="n">
        <v>0.45</v>
      </c>
      <c r="P5" s="52" t="n">
        <v>1</v>
      </c>
      <c r="Q5" s="54" t="n">
        <v>0</v>
      </c>
      <c r="R5" s="47" t="n">
        <f aca="false">IF(F5="Call",1,0)</f>
        <v>1</v>
      </c>
      <c r="S5" s="43" t="n">
        <v>0</v>
      </c>
      <c r="T5" s="55" t="e">
        <f aca="false">OSTRIP(G5,H5,I5,J5,K5,L5,M5,N5,O5,P5,Q5,R5,S5)</f>
        <v>#NAME?</v>
      </c>
      <c r="U5" s="56" t="e">
        <f aca="false">T5*B5</f>
        <v>#NAME?</v>
      </c>
      <c r="V5" s="57"/>
      <c r="W5" s="58"/>
      <c r="X5" s="47"/>
      <c r="Y5" s="47"/>
      <c r="Z5" s="47"/>
    </row>
    <row r="6" customFormat="false" ht="12.75" hidden="false" customHeight="false" outlineLevel="0" collapsed="false">
      <c r="A6" s="44" t="n">
        <v>36678</v>
      </c>
      <c r="B6" s="45" t="n">
        <f aca="false">-VLOOKUP(A6,'Deal Volumes'!$A$3:$J$16,10)</f>
        <v>-112500</v>
      </c>
      <c r="C6" s="44" t="n">
        <f aca="false">+A6</f>
        <v>36678</v>
      </c>
      <c r="D6" s="46" t="n">
        <f aca="false">EOMONTH(C6,0)</f>
        <v>36707</v>
      </c>
      <c r="E6" s="25" t="s">
        <v>20</v>
      </c>
      <c r="F6" s="47" t="s">
        <v>47</v>
      </c>
      <c r="G6" s="48" t="n">
        <v>2.5905</v>
      </c>
      <c r="H6" s="49" t="n">
        <f aca="false">G6</f>
        <v>2.5905</v>
      </c>
      <c r="I6" s="50" t="e">
        <f aca="false">+A6-$B$2</f>
        <v>#REF!</v>
      </c>
      <c r="J6" s="47" t="n">
        <f aca="false">+C6-A6</f>
        <v>0</v>
      </c>
      <c r="K6" s="45" t="n">
        <f aca="false">+D6-C6+1</f>
        <v>30</v>
      </c>
      <c r="L6" s="47" t="n">
        <v>1</v>
      </c>
      <c r="M6" s="51" t="n">
        <v>0.062588347760124</v>
      </c>
      <c r="N6" s="52" t="n">
        <f aca="false">+O6</f>
        <v>0.5</v>
      </c>
      <c r="O6" s="53" t="n">
        <v>0.5</v>
      </c>
      <c r="P6" s="52" t="n">
        <v>1</v>
      </c>
      <c r="Q6" s="54" t="n">
        <v>0</v>
      </c>
      <c r="R6" s="47" t="n">
        <f aca="false">IF(F6="Call",1,0)</f>
        <v>1</v>
      </c>
      <c r="S6" s="43" t="n">
        <v>0</v>
      </c>
      <c r="T6" s="55" t="e">
        <f aca="false">OSTRIP(G6,H6,I6,J6,K6,L6,M6,N6,O6,P6,Q6,R6,S6)</f>
        <v>#NAME?</v>
      </c>
      <c r="U6" s="56" t="e">
        <f aca="false">T6*B6</f>
        <v>#NAME?</v>
      </c>
      <c r="V6" s="57"/>
      <c r="W6" s="58"/>
      <c r="X6" s="47"/>
      <c r="Y6" s="47"/>
      <c r="Z6" s="47"/>
    </row>
    <row r="7" customFormat="false" ht="12.75" hidden="false" customHeight="false" outlineLevel="0" collapsed="false">
      <c r="A7" s="44" t="n">
        <v>36708</v>
      </c>
      <c r="B7" s="45" t="n">
        <f aca="false">-VLOOKUP(A7,'Deal Volumes'!$A$3:$J$16,10)</f>
        <v>-155000</v>
      </c>
      <c r="C7" s="44" t="n">
        <f aca="false">+A7</f>
        <v>36708</v>
      </c>
      <c r="D7" s="46" t="n">
        <f aca="false">EOMONTH(C7,0)</f>
        <v>36738</v>
      </c>
      <c r="E7" s="25" t="s">
        <v>20</v>
      </c>
      <c r="F7" s="47" t="s">
        <v>47</v>
      </c>
      <c r="G7" s="48" t="n">
        <v>2.607</v>
      </c>
      <c r="H7" s="49" t="n">
        <f aca="false">G7</f>
        <v>2.607</v>
      </c>
      <c r="I7" s="50" t="e">
        <f aca="false">+A7-$B$2</f>
        <v>#REF!</v>
      </c>
      <c r="J7" s="47" t="n">
        <f aca="false">+C7-A7</f>
        <v>0</v>
      </c>
      <c r="K7" s="45" t="n">
        <f aca="false">+D7-C7+1</f>
        <v>31</v>
      </c>
      <c r="L7" s="47" t="n">
        <v>1</v>
      </c>
      <c r="M7" s="51" t="n">
        <v>0.063435677173907</v>
      </c>
      <c r="N7" s="52" t="n">
        <f aca="false">+O7</f>
        <v>0.5</v>
      </c>
      <c r="O7" s="53" t="n">
        <v>0.5</v>
      </c>
      <c r="P7" s="52" t="n">
        <v>1</v>
      </c>
      <c r="Q7" s="54" t="n">
        <v>0</v>
      </c>
      <c r="R7" s="47" t="n">
        <f aca="false">IF(F7="Call",1,0)</f>
        <v>1</v>
      </c>
      <c r="S7" s="43" t="n">
        <v>0</v>
      </c>
      <c r="T7" s="55" t="e">
        <f aca="false">OSTRIP(G7,H7,I7,J7,K7,L7,M7,N7,O7,P7,Q7,R7,S7)</f>
        <v>#NAME?</v>
      </c>
      <c r="U7" s="56" t="e">
        <f aca="false">T7*B7</f>
        <v>#NAME?</v>
      </c>
      <c r="V7" s="57"/>
      <c r="W7" s="58"/>
      <c r="X7" s="47"/>
      <c r="Y7" s="47"/>
      <c r="Z7" s="47"/>
    </row>
    <row r="8" customFormat="false" ht="12.75" hidden="false" customHeight="false" outlineLevel="0" collapsed="false">
      <c r="A8" s="44" t="n">
        <v>36739</v>
      </c>
      <c r="B8" s="45" t="n">
        <f aca="false">-VLOOKUP(A8,'Deal Volumes'!$A$3:$J$16,10)</f>
        <v>-155000</v>
      </c>
      <c r="C8" s="44" t="n">
        <f aca="false">+A8</f>
        <v>36739</v>
      </c>
      <c r="D8" s="46" t="n">
        <f aca="false">EOMONTH(C8,0)</f>
        <v>36769</v>
      </c>
      <c r="E8" s="25" t="s">
        <v>20</v>
      </c>
      <c r="F8" s="47" t="s">
        <v>47</v>
      </c>
      <c r="G8" s="48" t="n">
        <v>2.6235</v>
      </c>
      <c r="H8" s="49" t="n">
        <f aca="false">G8</f>
        <v>2.6235</v>
      </c>
      <c r="I8" s="50" t="e">
        <f aca="false">+A8-$B$2</f>
        <v>#REF!</v>
      </c>
      <c r="J8" s="47" t="n">
        <f aca="false">+C8-A8</f>
        <v>0</v>
      </c>
      <c r="K8" s="45" t="n">
        <f aca="false">+D8-C8+1</f>
        <v>31</v>
      </c>
      <c r="L8" s="47" t="n">
        <v>1</v>
      </c>
      <c r="M8" s="51" t="n">
        <v>0.064112455868493</v>
      </c>
      <c r="N8" s="52" t="n">
        <f aca="false">+O8</f>
        <v>0.55</v>
      </c>
      <c r="O8" s="53" t="n">
        <v>0.55</v>
      </c>
      <c r="P8" s="52" t="n">
        <v>1</v>
      </c>
      <c r="Q8" s="54" t="n">
        <v>0</v>
      </c>
      <c r="R8" s="47" t="n">
        <f aca="false">IF(F8="Call",1,0)</f>
        <v>1</v>
      </c>
      <c r="S8" s="43" t="n">
        <v>0</v>
      </c>
      <c r="T8" s="55" t="e">
        <f aca="false">OSTRIP(G8,H8,I8,J8,K8,L8,M8,N8,O8,P8,Q8,R8,S8)</f>
        <v>#NAME?</v>
      </c>
      <c r="U8" s="56" t="e">
        <f aca="false">T8*B8</f>
        <v>#NAME?</v>
      </c>
      <c r="V8" s="57"/>
      <c r="W8" s="58"/>
      <c r="X8" s="47"/>
      <c r="Y8" s="47"/>
      <c r="Z8" s="47"/>
    </row>
    <row r="9" customFormat="false" ht="12.75" hidden="false" customHeight="false" outlineLevel="0" collapsed="false">
      <c r="A9" s="44" t="n">
        <v>36770</v>
      </c>
      <c r="B9" s="45" t="n">
        <f aca="false">-VLOOKUP(A9,'Deal Volumes'!$A$3:$J$16,10)</f>
        <v>-150000</v>
      </c>
      <c r="C9" s="44" t="n">
        <f aca="false">+A9</f>
        <v>36770</v>
      </c>
      <c r="D9" s="46" t="n">
        <f aca="false">EOMONTH(C9,0)</f>
        <v>36799</v>
      </c>
      <c r="E9" s="25" t="s">
        <v>20</v>
      </c>
      <c r="F9" s="47" t="s">
        <v>47</v>
      </c>
      <c r="G9" s="48" t="n">
        <v>2.623</v>
      </c>
      <c r="H9" s="49" t="n">
        <f aca="false">G9</f>
        <v>2.623</v>
      </c>
      <c r="I9" s="50" t="e">
        <f aca="false">+A9-$B$2</f>
        <v>#REF!</v>
      </c>
      <c r="J9" s="47" t="n">
        <f aca="false">+C9-A9</f>
        <v>0</v>
      </c>
      <c r="K9" s="45" t="n">
        <f aca="false">+D9-C9+1</f>
        <v>30</v>
      </c>
      <c r="L9" s="47" t="n">
        <v>1</v>
      </c>
      <c r="M9" s="51" t="n">
        <v>0.064789234714962</v>
      </c>
      <c r="N9" s="52" t="n">
        <f aca="false">+O9</f>
        <v>0.55</v>
      </c>
      <c r="O9" s="53" t="n">
        <v>0.55</v>
      </c>
      <c r="P9" s="52" t="n">
        <v>1</v>
      </c>
      <c r="Q9" s="54" t="n">
        <v>0</v>
      </c>
      <c r="R9" s="47" t="n">
        <f aca="false">IF(F9="Call",1,0)</f>
        <v>1</v>
      </c>
      <c r="S9" s="43" t="n">
        <v>0</v>
      </c>
      <c r="T9" s="55" t="e">
        <f aca="false">OSTRIP(G9,H9,I9,J9,K9,L9,M9,N9,O9,P9,Q9,R9,S9)</f>
        <v>#NAME?</v>
      </c>
      <c r="U9" s="56" t="e">
        <f aca="false">T9*B9</f>
        <v>#NAME?</v>
      </c>
      <c r="V9" s="57"/>
      <c r="W9" s="58"/>
      <c r="X9" s="47"/>
      <c r="Y9" s="47"/>
      <c r="Z9" s="47"/>
    </row>
    <row r="10" customFormat="false" ht="12.75" hidden="false" customHeight="false" outlineLevel="0" collapsed="false">
      <c r="A10" s="44" t="n">
        <v>36800</v>
      </c>
      <c r="B10" s="45" t="n">
        <f aca="false">-VLOOKUP(A10,'Deal Volumes'!$A$3:$J$16,10)</f>
        <v>-69750</v>
      </c>
      <c r="C10" s="44" t="n">
        <f aca="false">+A10</f>
        <v>36800</v>
      </c>
      <c r="D10" s="46" t="n">
        <f aca="false">EOMONTH(C10,0)</f>
        <v>36830</v>
      </c>
      <c r="E10" s="25" t="s">
        <v>20</v>
      </c>
      <c r="F10" s="47" t="s">
        <v>47</v>
      </c>
      <c r="G10" s="48" t="n">
        <v>2.648</v>
      </c>
      <c r="H10" s="49" t="n">
        <f aca="false">G10</f>
        <v>2.648</v>
      </c>
      <c r="I10" s="50" t="e">
        <f aca="false">+A10-$B$2</f>
        <v>#REF!</v>
      </c>
      <c r="J10" s="47" t="n">
        <f aca="false">+C10-A10</f>
        <v>0</v>
      </c>
      <c r="K10" s="45" t="n">
        <f aca="false">+D10-C10+1</f>
        <v>31</v>
      </c>
      <c r="L10" s="47" t="n">
        <v>1</v>
      </c>
      <c r="M10" s="51" t="n">
        <v>0.065417688435194</v>
      </c>
      <c r="N10" s="52" t="n">
        <f aca="false">+O10</f>
        <v>0.5</v>
      </c>
      <c r="O10" s="53" t="n">
        <v>0.5</v>
      </c>
      <c r="P10" s="52" t="n">
        <v>1</v>
      </c>
      <c r="Q10" s="54" t="n">
        <v>0</v>
      </c>
      <c r="R10" s="47" t="n">
        <f aca="false">IF(F10="Call",1,0)</f>
        <v>1</v>
      </c>
      <c r="S10" s="43" t="n">
        <v>0</v>
      </c>
      <c r="T10" s="55" t="e">
        <f aca="false">OSTRIP(G10,H10,I10,J10,K10,L10,M10,N10,O10,P10,Q10,R10,S10)</f>
        <v>#NAME?</v>
      </c>
      <c r="U10" s="56" t="e">
        <f aca="false">T10*B10</f>
        <v>#NAME?</v>
      </c>
      <c r="V10" s="57"/>
      <c r="W10" s="58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2.75" hidden="false" customHeight="false" outlineLevel="0" collapsed="false">
      <c r="A11" s="44" t="n">
        <v>36831</v>
      </c>
      <c r="B11" s="45" t="n">
        <f aca="false">-VLOOKUP(A11,'Deal Volumes'!$A$3:$J$16,10)</f>
        <v>-67500</v>
      </c>
      <c r="C11" s="44" t="n">
        <f aca="false">+A11</f>
        <v>36831</v>
      </c>
      <c r="D11" s="46" t="n">
        <f aca="false">EOMONTH(C11,0)</f>
        <v>36860</v>
      </c>
      <c r="E11" s="25" t="s">
        <v>20</v>
      </c>
      <c r="F11" s="47" t="s">
        <v>47</v>
      </c>
      <c r="G11" s="48" t="n">
        <v>2.743</v>
      </c>
      <c r="H11" s="49" t="n">
        <f aca="false">G11</f>
        <v>2.743</v>
      </c>
      <c r="I11" s="50" t="e">
        <f aca="false">+A11-$B$2</f>
        <v>#REF!</v>
      </c>
      <c r="J11" s="47" t="n">
        <f aca="false">+C11-A11</f>
        <v>0</v>
      </c>
      <c r="K11" s="45" t="n">
        <f aca="false">+D11-C11+1</f>
        <v>30</v>
      </c>
      <c r="L11" s="47" t="n">
        <v>1</v>
      </c>
      <c r="M11" s="51" t="n">
        <v>0.066017878160483</v>
      </c>
      <c r="N11" s="52" t="n">
        <f aca="false">+O11</f>
        <v>0.85</v>
      </c>
      <c r="O11" s="53" t="n">
        <v>0.85</v>
      </c>
      <c r="P11" s="52" t="n">
        <v>1</v>
      </c>
      <c r="Q11" s="54" t="n">
        <v>0</v>
      </c>
      <c r="R11" s="47" t="n">
        <f aca="false">IF(F11="Call",1,0)</f>
        <v>1</v>
      </c>
      <c r="S11" s="43" t="n">
        <v>0</v>
      </c>
      <c r="T11" s="55" t="e">
        <f aca="false">OSTRIP(G11,H11,I11,J11,K11,L11,M11,N11,O11,P11,Q11,R11,S11)</f>
        <v>#NAME?</v>
      </c>
      <c r="U11" s="56" t="e">
        <f aca="false">T11*B11</f>
        <v>#NAME?</v>
      </c>
      <c r="V11" s="57"/>
      <c r="W11" s="58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2.75" hidden="false" customHeight="false" outlineLevel="0" collapsed="false">
      <c r="A12" s="44" t="n">
        <v>36861</v>
      </c>
      <c r="B12" s="45" t="n">
        <f aca="false">-VLOOKUP(A12,'Deal Volumes'!$A$3:$J$16,10)</f>
        <v>-69750</v>
      </c>
      <c r="C12" s="44" t="n">
        <f aca="false">+A12</f>
        <v>36861</v>
      </c>
      <c r="D12" s="46" t="n">
        <f aca="false">EOMONTH(C12,0)</f>
        <v>36891</v>
      </c>
      <c r="E12" s="25" t="s">
        <v>20</v>
      </c>
      <c r="F12" s="47" t="s">
        <v>47</v>
      </c>
      <c r="G12" s="48" t="n">
        <v>2.8455</v>
      </c>
      <c r="H12" s="49" t="n">
        <f aca="false">G12</f>
        <v>2.8455</v>
      </c>
      <c r="I12" s="50" t="e">
        <f aca="false">+A12-$B$2</f>
        <v>#REF!</v>
      </c>
      <c r="J12" s="47" t="n">
        <f aca="false">+C12-A12</f>
        <v>0</v>
      </c>
      <c r="K12" s="45" t="n">
        <f aca="false">+D12-C12+1</f>
        <v>31</v>
      </c>
      <c r="L12" s="47" t="n">
        <v>1</v>
      </c>
      <c r="M12" s="51" t="n">
        <v>0.066598707040522</v>
      </c>
      <c r="N12" s="52" t="n">
        <f aca="false">+O12</f>
        <v>1.05</v>
      </c>
      <c r="O12" s="53" t="n">
        <v>1.05</v>
      </c>
      <c r="P12" s="52" t="n">
        <v>1</v>
      </c>
      <c r="Q12" s="54" t="n">
        <v>0</v>
      </c>
      <c r="R12" s="47" t="n">
        <f aca="false">IF(F12="Call",1,0)</f>
        <v>1</v>
      </c>
      <c r="S12" s="43" t="n">
        <v>0</v>
      </c>
      <c r="T12" s="55" t="e">
        <f aca="false">OSTRIP(G12,H12,I12,J12,K12,L12,M12,N12,O12,P12,Q12,R12,S12)</f>
        <v>#NAME?</v>
      </c>
      <c r="U12" s="56" t="e">
        <f aca="false">T12*B12</f>
        <v>#NAME?</v>
      </c>
      <c r="V12" s="57"/>
      <c r="W12" s="58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</row>
    <row r="13" customFormat="false" ht="12.75" hidden="false" customHeight="false" outlineLevel="0" collapsed="false">
      <c r="A13" s="44" t="n">
        <v>36892</v>
      </c>
      <c r="B13" s="45" t="n">
        <f aca="false">-VLOOKUP(A13,'Deal Volumes'!$A$3:$J$16,10)</f>
        <v>-69750</v>
      </c>
      <c r="C13" s="44" t="n">
        <f aca="false">+A13</f>
        <v>36892</v>
      </c>
      <c r="D13" s="46" t="n">
        <f aca="false">EOMONTH(C13,0)</f>
        <v>36922</v>
      </c>
      <c r="E13" s="25" t="s">
        <v>20</v>
      </c>
      <c r="F13" s="47" t="s">
        <v>47</v>
      </c>
      <c r="G13" s="48" t="n">
        <v>2.868</v>
      </c>
      <c r="H13" s="49" t="n">
        <f aca="false">G13</f>
        <v>2.868</v>
      </c>
      <c r="I13" s="50" t="e">
        <f aca="false">+A13-$B$2</f>
        <v>#REF!</v>
      </c>
      <c r="J13" s="47" t="n">
        <f aca="false">+C13-A13</f>
        <v>0</v>
      </c>
      <c r="K13" s="45" t="n">
        <f aca="false">+D13-C13+1</f>
        <v>31</v>
      </c>
      <c r="L13" s="47" t="n">
        <v>1</v>
      </c>
      <c r="M13" s="51" t="n">
        <v>0.06717047581431</v>
      </c>
      <c r="N13" s="52" t="n">
        <f aca="false">+O13</f>
        <v>1.05</v>
      </c>
      <c r="O13" s="53" t="n">
        <v>1.05</v>
      </c>
      <c r="P13" s="52" t="n">
        <v>1</v>
      </c>
      <c r="Q13" s="54" t="n">
        <v>0</v>
      </c>
      <c r="R13" s="47" t="n">
        <f aca="false">IF(F13="Call",1,0)</f>
        <v>1</v>
      </c>
      <c r="S13" s="43" t="n">
        <v>0</v>
      </c>
      <c r="T13" s="55" t="e">
        <f aca="false">OSTRIP(G13,H13,I13,J13,K13,L13,M13,N13,O13,P13,Q13,R13,S13)</f>
        <v>#NAME?</v>
      </c>
      <c r="U13" s="56" t="e">
        <f aca="false">T13*B13</f>
        <v>#NAME?</v>
      </c>
      <c r="V13" s="57"/>
      <c r="W13" s="58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2.75" hidden="false" customHeight="false" outlineLevel="0" collapsed="false">
      <c r="A14" s="44" t="n">
        <v>36923</v>
      </c>
      <c r="B14" s="45" t="n">
        <f aca="false">-VLOOKUP(A14,'Deal Volumes'!$A$3:$J$16,10)</f>
        <v>-63000</v>
      </c>
      <c r="C14" s="44" t="n">
        <f aca="false">+A14</f>
        <v>36923</v>
      </c>
      <c r="D14" s="46" t="n">
        <f aca="false">EOMONTH(C14,0)</f>
        <v>36950</v>
      </c>
      <c r="E14" s="25" t="s">
        <v>20</v>
      </c>
      <c r="F14" s="47" t="s">
        <v>47</v>
      </c>
      <c r="G14" s="48" t="n">
        <v>2.7335</v>
      </c>
      <c r="H14" s="49" t="n">
        <f aca="false">G14</f>
        <v>2.7335</v>
      </c>
      <c r="I14" s="50" t="e">
        <f aca="false">+A14-$B$2</f>
        <v>#REF!</v>
      </c>
      <c r="J14" s="47" t="n">
        <f aca="false">+C14-A14</f>
        <v>0</v>
      </c>
      <c r="K14" s="45" t="n">
        <f aca="false">+D14-C14+1</f>
        <v>28</v>
      </c>
      <c r="L14" s="47" t="n">
        <v>1</v>
      </c>
      <c r="M14" s="51" t="n">
        <v>0.067697244476729</v>
      </c>
      <c r="N14" s="52" t="n">
        <f aca="false">+O14</f>
        <v>1.05</v>
      </c>
      <c r="O14" s="53" t="n">
        <v>1.05</v>
      </c>
      <c r="P14" s="52" t="n">
        <v>1</v>
      </c>
      <c r="Q14" s="54" t="n">
        <v>0</v>
      </c>
      <c r="R14" s="47" t="n">
        <f aca="false">IF(F14="Call",1,0)</f>
        <v>1</v>
      </c>
      <c r="S14" s="43" t="n">
        <v>0</v>
      </c>
      <c r="T14" s="55" t="e">
        <f aca="false">OSTRIP(G14,H14,I14,J14,K14,L14,M14,N14,O14,P14,Q14,R14,S14)</f>
        <v>#NAME?</v>
      </c>
      <c r="U14" s="56" t="e">
        <f aca="false">T14*B14</f>
        <v>#NAME?</v>
      </c>
      <c r="V14" s="57"/>
      <c r="W14" s="58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2.75" hidden="false" customHeight="false" outlineLevel="0" collapsed="false">
      <c r="A15" s="44" t="n">
        <v>36951</v>
      </c>
      <c r="B15" s="45" t="n">
        <f aca="false">-VLOOKUP(A15,'Deal Volumes'!$A$3:$J$16,10)</f>
        <v>-69750</v>
      </c>
      <c r="C15" s="44" t="n">
        <f aca="false">+A15</f>
        <v>36951</v>
      </c>
      <c r="D15" s="46" t="n">
        <f aca="false">EOMONTH(C15,0)</f>
        <v>36981</v>
      </c>
      <c r="E15" s="25" t="s">
        <v>20</v>
      </c>
      <c r="F15" s="47" t="s">
        <v>47</v>
      </c>
      <c r="G15" s="48" t="n">
        <v>2.613</v>
      </c>
      <c r="H15" s="49" t="n">
        <f aca="false">G15</f>
        <v>2.613</v>
      </c>
      <c r="I15" s="50" t="e">
        <f aca="false">+A15-$B$2</f>
        <v>#REF!</v>
      </c>
      <c r="J15" s="47" t="n">
        <f aca="false">+C15-A15</f>
        <v>0</v>
      </c>
      <c r="K15" s="45" t="n">
        <f aca="false">+D15-C15+1</f>
        <v>31</v>
      </c>
      <c r="L15" s="47" t="n">
        <v>1</v>
      </c>
      <c r="M15" s="51" t="n">
        <v>0.068173035605607</v>
      </c>
      <c r="N15" s="52" t="n">
        <f aca="false">+O15</f>
        <v>0.8</v>
      </c>
      <c r="O15" s="53" t="n">
        <v>0.8</v>
      </c>
      <c r="P15" s="52" t="n">
        <v>1</v>
      </c>
      <c r="Q15" s="54" t="n">
        <v>0</v>
      </c>
      <c r="R15" s="47" t="n">
        <f aca="false">IF(F15="Call",1,0)</f>
        <v>1</v>
      </c>
      <c r="S15" s="43" t="n">
        <v>0</v>
      </c>
      <c r="T15" s="55" t="e">
        <f aca="false">OSTRIP(G15,H15,I15,J15,K15,L15,M15,N15,O15,P15,Q15,R15,S15)</f>
        <v>#NAME?</v>
      </c>
      <c r="U15" s="56" t="e">
        <f aca="false">T15*B15</f>
        <v>#NAME?</v>
      </c>
      <c r="V15" s="57"/>
      <c r="W15" s="58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2.75" hidden="false" customHeight="false" outlineLevel="0" collapsed="false">
      <c r="A16" s="44" t="n">
        <v>36982</v>
      </c>
      <c r="B16" s="45" t="n">
        <f aca="false">-VLOOKUP(A16,'Deal Volumes'!$A$3:$J$16,10)</f>
        <v>-67500</v>
      </c>
      <c r="C16" s="44" t="n">
        <f aca="false">+A16</f>
        <v>36982</v>
      </c>
      <c r="D16" s="46" t="n">
        <f aca="false">EOMONTH(C16,0)</f>
        <v>37011</v>
      </c>
      <c r="E16" s="25" t="s">
        <v>20</v>
      </c>
      <c r="F16" s="47" t="s">
        <v>47</v>
      </c>
      <c r="G16" s="48" t="n">
        <v>2.523</v>
      </c>
      <c r="H16" s="49" t="n">
        <f aca="false">G16</f>
        <v>2.523</v>
      </c>
      <c r="I16" s="50" t="e">
        <f aca="false">+A16-$B$2</f>
        <v>#REF!</v>
      </c>
      <c r="J16" s="47" t="n">
        <f aca="false">+C16-A16</f>
        <v>0</v>
      </c>
      <c r="K16" s="45" t="n">
        <f aca="false">+D16-C16+1</f>
        <v>30</v>
      </c>
      <c r="L16" s="47" t="n">
        <v>1</v>
      </c>
      <c r="M16" s="51" t="n">
        <v>0.068656219094093</v>
      </c>
      <c r="N16" s="52" t="n">
        <f aca="false">+O16</f>
        <v>0.45</v>
      </c>
      <c r="O16" s="53" t="n">
        <v>0.45</v>
      </c>
      <c r="P16" s="52" t="n">
        <v>1</v>
      </c>
      <c r="Q16" s="54" t="n">
        <v>0</v>
      </c>
      <c r="R16" s="47" t="n">
        <f aca="false">IF(F16="Call",1,0)</f>
        <v>1</v>
      </c>
      <c r="S16" s="43" t="n">
        <v>0</v>
      </c>
      <c r="T16" s="55" t="e">
        <f aca="false">OSTRIP(G16,H16,I16,J16,K16,L16,M16,N16,O16,P16,Q16,R16,S16)</f>
        <v>#NAME?</v>
      </c>
      <c r="U16" s="56" t="e">
        <f aca="false">T16*B16</f>
        <v>#NAME?</v>
      </c>
      <c r="V16" s="57"/>
      <c r="W16" s="58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</row>
    <row r="17" customFormat="false" ht="12.75" hidden="false" customHeight="false" outlineLevel="0" collapsed="false">
      <c r="A17" s="44" t="n">
        <v>37012</v>
      </c>
      <c r="B17" s="45" t="n">
        <f aca="false">-VLOOKUP(A17,'Deal Volumes'!$A$3:$J$16,10)</f>
        <v>-116250</v>
      </c>
      <c r="C17" s="44" t="n">
        <f aca="false">+A17</f>
        <v>37012</v>
      </c>
      <c r="D17" s="46" t="n">
        <f aca="false">EOMONTH(C17,0)</f>
        <v>37042</v>
      </c>
      <c r="E17" s="25" t="s">
        <v>20</v>
      </c>
      <c r="F17" s="47" t="s">
        <v>47</v>
      </c>
      <c r="G17" s="48" t="n">
        <v>2.488</v>
      </c>
      <c r="H17" s="49" t="n">
        <f aca="false">G17</f>
        <v>2.488</v>
      </c>
      <c r="I17" s="50" t="e">
        <f aca="false">+A17-$B$2</f>
        <v>#REF!</v>
      </c>
      <c r="J17" s="47" t="n">
        <f aca="false">+C17-A17</f>
        <v>0</v>
      </c>
      <c r="K17" s="45" t="n">
        <f aca="false">+D17-C17+1</f>
        <v>31</v>
      </c>
      <c r="L17" s="47" t="n">
        <v>1</v>
      </c>
      <c r="M17" s="51" t="n">
        <v>0.069045363608288</v>
      </c>
      <c r="N17" s="52" t="n">
        <f aca="false">+O17</f>
        <v>0.5</v>
      </c>
      <c r="O17" s="53" t="n">
        <v>0.5</v>
      </c>
      <c r="P17" s="52" t="n">
        <v>1</v>
      </c>
      <c r="Q17" s="54" t="n">
        <v>0</v>
      </c>
      <c r="R17" s="47" t="n">
        <f aca="false">IF(F17="Call",1,0)</f>
        <v>1</v>
      </c>
      <c r="S17" s="43" t="n">
        <v>0</v>
      </c>
      <c r="T17" s="55" t="e">
        <f aca="false">OSTRIP(G17,H17,I17,J17,K17,L17,M17,N17,O17,P17,Q17,R17,S17)</f>
        <v>#NAME?</v>
      </c>
      <c r="U17" s="56" t="e">
        <f aca="false">T17*B17</f>
        <v>#NAME?</v>
      </c>
      <c r="V17" s="57"/>
      <c r="W17" s="58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</row>
    <row r="18" customFormat="false" ht="12.75" hidden="false" customHeight="false" outlineLevel="0" collapsed="false">
      <c r="A18" s="44" t="n">
        <v>37043</v>
      </c>
      <c r="B18" s="45" t="n">
        <f aca="false">-VLOOKUP(A18,'Deal Volumes'!$A$3:$J$16,10)</f>
        <v>-112500</v>
      </c>
      <c r="C18" s="44" t="n">
        <f aca="false">+A18</f>
        <v>37043</v>
      </c>
      <c r="D18" s="46" t="n">
        <f aca="false">EOMONTH(C18,0)</f>
        <v>37072</v>
      </c>
      <c r="E18" s="25" t="s">
        <v>20</v>
      </c>
      <c r="F18" s="47" t="s">
        <v>47</v>
      </c>
      <c r="G18" s="48" t="n">
        <v>2.4955</v>
      </c>
      <c r="H18" s="49" t="n">
        <f aca="false">G18</f>
        <v>2.4955</v>
      </c>
      <c r="I18" s="50" t="e">
        <f aca="false">+A18-$B$2</f>
        <v>#REF!</v>
      </c>
      <c r="J18" s="47" t="n">
        <f aca="false">+C18-A18</f>
        <v>0</v>
      </c>
      <c r="K18" s="45" t="n">
        <f aca="false">+D18-C18+1</f>
        <v>30</v>
      </c>
      <c r="L18" s="47" t="n">
        <v>1</v>
      </c>
      <c r="M18" s="51" t="n">
        <v>0.069447479658918</v>
      </c>
      <c r="N18" s="52" t="n">
        <f aca="false">+O18</f>
        <v>0.5</v>
      </c>
      <c r="O18" s="53" t="n">
        <v>0.5</v>
      </c>
      <c r="P18" s="52" t="n">
        <v>1</v>
      </c>
      <c r="Q18" s="54" t="n">
        <v>0</v>
      </c>
      <c r="R18" s="47" t="n">
        <f aca="false">IF(F18="Call",1,0)</f>
        <v>1</v>
      </c>
      <c r="S18" s="43" t="n">
        <v>0</v>
      </c>
      <c r="T18" s="55" t="e">
        <f aca="false">OSTRIP(G18,H18,I18,J18,K18,L18,M18,N18,O18,P18,Q18,R18,S18)</f>
        <v>#NAME?</v>
      </c>
      <c r="U18" s="59" t="e">
        <f aca="false">T18*B18</f>
        <v>#NAME?</v>
      </c>
      <c r="V18" s="57"/>
      <c r="W18" s="58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</row>
    <row r="19" customFormat="false" ht="12.75" hidden="false" customHeight="false" outlineLevel="0" collapsed="false">
      <c r="A19" s="44"/>
      <c r="B19" s="45"/>
      <c r="C19" s="46"/>
      <c r="D19" s="46"/>
      <c r="E19" s="47"/>
      <c r="F19" s="47"/>
      <c r="G19" s="60"/>
      <c r="H19" s="49"/>
      <c r="I19" s="50"/>
      <c r="J19" s="47"/>
      <c r="K19" s="45"/>
      <c r="L19" s="47"/>
      <c r="M19" s="47"/>
      <c r="N19" s="52"/>
      <c r="O19" s="52"/>
      <c r="P19" s="52"/>
      <c r="Q19" s="54"/>
      <c r="R19" s="47"/>
      <c r="S19" s="43"/>
      <c r="T19" s="55"/>
      <c r="U19" s="56" t="e">
        <f aca="false">SUBTOTAL(9,U5:U18)</f>
        <v>#NAME?</v>
      </c>
      <c r="V19" s="56"/>
      <c r="W19" s="56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</row>
    <row r="20" customFormat="false" ht="12.75" hidden="false" customHeight="false" outlineLevel="0" collapsed="false">
      <c r="A20" s="44"/>
      <c r="B20" s="45"/>
      <c r="C20" s="46"/>
      <c r="D20" s="46"/>
      <c r="E20" s="47"/>
      <c r="F20" s="47"/>
      <c r="G20" s="60"/>
      <c r="H20" s="49"/>
      <c r="I20" s="50"/>
      <c r="J20" s="47"/>
      <c r="K20" s="45"/>
      <c r="L20" s="47"/>
      <c r="M20" s="47"/>
      <c r="N20" s="52"/>
      <c r="O20" s="52"/>
      <c r="P20" s="52"/>
      <c r="Q20" s="54"/>
      <c r="R20" s="47"/>
      <c r="S20" s="43"/>
      <c r="T20" s="55"/>
      <c r="U20" s="56"/>
      <c r="V20" s="58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12.75" hidden="false" customHeight="false" outlineLevel="0" collapsed="false">
      <c r="A21" s="44" t="n">
        <f aca="false">+A5</f>
        <v>36647</v>
      </c>
      <c r="B21" s="45" t="n">
        <f aca="false">+B5</f>
        <v>-116250</v>
      </c>
      <c r="C21" s="44" t="n">
        <f aca="false">+C5</f>
        <v>36647</v>
      </c>
      <c r="D21" s="46" t="n">
        <f aca="false">EOMONTH(C21,0)</f>
        <v>36677</v>
      </c>
      <c r="E21" s="25" t="s">
        <v>20</v>
      </c>
      <c r="F21" s="47" t="s">
        <v>48</v>
      </c>
      <c r="G21" s="60" t="n">
        <f aca="false">+G5</f>
        <v>2.571</v>
      </c>
      <c r="H21" s="49" t="n">
        <f aca="false">+H5</f>
        <v>2.571</v>
      </c>
      <c r="I21" s="50" t="e">
        <f aca="false">+A21-$B$2</f>
        <v>#REF!</v>
      </c>
      <c r="J21" s="47" t="n">
        <f aca="false">+C21-A21</f>
        <v>0</v>
      </c>
      <c r="K21" s="45" t="n">
        <f aca="false">+D21-C21+1</f>
        <v>31</v>
      </c>
      <c r="L21" s="47" t="n">
        <f aca="false">+L5</f>
        <v>1</v>
      </c>
      <c r="M21" s="61" t="n">
        <f aca="false">+M5</f>
        <v>0.061739896749392</v>
      </c>
      <c r="N21" s="52" t="n">
        <f aca="false">+N5</f>
        <v>0.45</v>
      </c>
      <c r="O21" s="52" t="n">
        <f aca="false">+O5</f>
        <v>0.45</v>
      </c>
      <c r="P21" s="52" t="n">
        <f aca="false">+P5</f>
        <v>1</v>
      </c>
      <c r="Q21" s="54" t="n">
        <f aca="false">+Q5</f>
        <v>0</v>
      </c>
      <c r="R21" s="47" t="n">
        <f aca="false">IF(F21="Call",1,0)</f>
        <v>0</v>
      </c>
      <c r="S21" s="43" t="n">
        <v>0</v>
      </c>
      <c r="T21" s="55" t="e">
        <f aca="false">OSTRIP(G21,H21,I21,J21,K21,L21,M21,N21,O21,P21,Q21,R21,S21)</f>
        <v>#NAME?</v>
      </c>
      <c r="U21" s="56" t="e">
        <f aca="false">T21*B21</f>
        <v>#NAME?</v>
      </c>
      <c r="V21" s="58"/>
      <c r="W21" s="47"/>
      <c r="X21" s="47"/>
      <c r="Y21" s="47"/>
      <c r="Z21" s="47"/>
    </row>
    <row r="22" customFormat="false" ht="12.75" hidden="false" customHeight="false" outlineLevel="0" collapsed="false">
      <c r="A22" s="44" t="n">
        <f aca="false">+A6</f>
        <v>36678</v>
      </c>
      <c r="B22" s="45" t="n">
        <f aca="false">+B6</f>
        <v>-112500</v>
      </c>
      <c r="C22" s="44" t="n">
        <f aca="false">+C6</f>
        <v>36678</v>
      </c>
      <c r="D22" s="46" t="n">
        <f aca="false">EOMONTH(C22,0)</f>
        <v>36707</v>
      </c>
      <c r="E22" s="25" t="s">
        <v>20</v>
      </c>
      <c r="F22" s="47" t="s">
        <v>48</v>
      </c>
      <c r="G22" s="60" t="n">
        <f aca="false">+G6</f>
        <v>2.5905</v>
      </c>
      <c r="H22" s="49" t="n">
        <f aca="false">+H6</f>
        <v>2.5905</v>
      </c>
      <c r="I22" s="50" t="e">
        <f aca="false">+A22-$B$2</f>
        <v>#REF!</v>
      </c>
      <c r="J22" s="47" t="n">
        <f aca="false">+C22-A22</f>
        <v>0</v>
      </c>
      <c r="K22" s="45" t="n">
        <f aca="false">+D22-C22+1</f>
        <v>30</v>
      </c>
      <c r="L22" s="47" t="n">
        <f aca="false">+L6</f>
        <v>1</v>
      </c>
      <c r="M22" s="61" t="n">
        <f aca="false">+M6</f>
        <v>0.062588347760124</v>
      </c>
      <c r="N22" s="52" t="n">
        <f aca="false">+N6</f>
        <v>0.5</v>
      </c>
      <c r="O22" s="52" t="n">
        <f aca="false">+O6</f>
        <v>0.5</v>
      </c>
      <c r="P22" s="52" t="n">
        <f aca="false">+P6</f>
        <v>1</v>
      </c>
      <c r="Q22" s="54" t="n">
        <f aca="false">+Q6</f>
        <v>0</v>
      </c>
      <c r="R22" s="47" t="n">
        <f aca="false">IF(F22="Call",1,0)</f>
        <v>0</v>
      </c>
      <c r="S22" s="43" t="n">
        <v>0</v>
      </c>
      <c r="T22" s="55" t="e">
        <f aca="false">OSTRIP(G22,H22,I22,J22,K22,L22,M22,N22,O22,P22,Q22,R22,S22)</f>
        <v>#NAME?</v>
      </c>
      <c r="U22" s="56" t="e">
        <f aca="false">T22*B22</f>
        <v>#NAME?</v>
      </c>
      <c r="V22" s="58"/>
      <c r="W22" s="47"/>
      <c r="X22" s="47"/>
      <c r="Y22" s="47"/>
      <c r="Z22" s="47"/>
    </row>
    <row r="23" customFormat="false" ht="12.75" hidden="false" customHeight="false" outlineLevel="0" collapsed="false">
      <c r="A23" s="44" t="n">
        <f aca="false">+A7</f>
        <v>36708</v>
      </c>
      <c r="B23" s="45" t="n">
        <f aca="false">+B7</f>
        <v>-155000</v>
      </c>
      <c r="C23" s="44" t="n">
        <f aca="false">+C7</f>
        <v>36708</v>
      </c>
      <c r="D23" s="46" t="n">
        <f aca="false">EOMONTH(C23,0)</f>
        <v>36738</v>
      </c>
      <c r="E23" s="25" t="s">
        <v>20</v>
      </c>
      <c r="F23" s="47" t="s">
        <v>48</v>
      </c>
      <c r="G23" s="60" t="n">
        <f aca="false">+G7</f>
        <v>2.607</v>
      </c>
      <c r="H23" s="49" t="n">
        <f aca="false">+H7</f>
        <v>2.607</v>
      </c>
      <c r="I23" s="50" t="e">
        <f aca="false">+A23-$B$2</f>
        <v>#REF!</v>
      </c>
      <c r="J23" s="47" t="n">
        <f aca="false">+C23-A23</f>
        <v>0</v>
      </c>
      <c r="K23" s="45" t="n">
        <f aca="false">+D23-C23+1</f>
        <v>31</v>
      </c>
      <c r="L23" s="47" t="n">
        <f aca="false">+L7</f>
        <v>1</v>
      </c>
      <c r="M23" s="61" t="n">
        <f aca="false">+M7</f>
        <v>0.063435677173907</v>
      </c>
      <c r="N23" s="52" t="n">
        <f aca="false">+N7</f>
        <v>0.5</v>
      </c>
      <c r="O23" s="52" t="n">
        <f aca="false">+O7</f>
        <v>0.5</v>
      </c>
      <c r="P23" s="52" t="n">
        <f aca="false">+P7</f>
        <v>1</v>
      </c>
      <c r="Q23" s="54" t="n">
        <f aca="false">+Q7</f>
        <v>0</v>
      </c>
      <c r="R23" s="47" t="n">
        <f aca="false">IF(F23="Call",1,0)</f>
        <v>0</v>
      </c>
      <c r="S23" s="43" t="n">
        <v>0</v>
      </c>
      <c r="T23" s="55" t="e">
        <f aca="false">OSTRIP(G23,H23,I23,J23,K23,L23,M23,N23,O23,P23,Q23,R23,S23)</f>
        <v>#NAME?</v>
      </c>
      <c r="U23" s="56" t="e">
        <f aca="false">T23*B23</f>
        <v>#NAME?</v>
      </c>
      <c r="V23" s="58"/>
      <c r="W23" s="47"/>
      <c r="X23" s="47"/>
      <c r="Y23" s="47"/>
      <c r="Z23" s="47"/>
    </row>
    <row r="24" customFormat="false" ht="12.75" hidden="false" customHeight="false" outlineLevel="0" collapsed="false">
      <c r="A24" s="44" t="n">
        <f aca="false">+A8</f>
        <v>36739</v>
      </c>
      <c r="B24" s="45" t="n">
        <f aca="false">+B8</f>
        <v>-155000</v>
      </c>
      <c r="C24" s="44" t="n">
        <f aca="false">+C8</f>
        <v>36739</v>
      </c>
      <c r="D24" s="46" t="n">
        <f aca="false">EOMONTH(C24,0)</f>
        <v>36769</v>
      </c>
      <c r="E24" s="25" t="s">
        <v>20</v>
      </c>
      <c r="F24" s="47" t="s">
        <v>48</v>
      </c>
      <c r="G24" s="60" t="n">
        <f aca="false">+G8</f>
        <v>2.6235</v>
      </c>
      <c r="H24" s="49" t="n">
        <f aca="false">+H8</f>
        <v>2.6235</v>
      </c>
      <c r="I24" s="50" t="e">
        <f aca="false">+A24-$B$2</f>
        <v>#REF!</v>
      </c>
      <c r="J24" s="47" t="n">
        <f aca="false">+C24-A24</f>
        <v>0</v>
      </c>
      <c r="K24" s="45" t="n">
        <f aca="false">+D24-C24+1</f>
        <v>31</v>
      </c>
      <c r="L24" s="47" t="n">
        <f aca="false">+L8</f>
        <v>1</v>
      </c>
      <c r="M24" s="61" t="n">
        <f aca="false">+M8</f>
        <v>0.064112455868493</v>
      </c>
      <c r="N24" s="52" t="n">
        <f aca="false">+N8</f>
        <v>0.55</v>
      </c>
      <c r="O24" s="52" t="n">
        <f aca="false">+O8</f>
        <v>0.55</v>
      </c>
      <c r="P24" s="52" t="n">
        <f aca="false">+P8</f>
        <v>1</v>
      </c>
      <c r="Q24" s="54" t="n">
        <f aca="false">+Q8</f>
        <v>0</v>
      </c>
      <c r="R24" s="47" t="n">
        <f aca="false">IF(F24="Call",1,0)</f>
        <v>0</v>
      </c>
      <c r="S24" s="43" t="n">
        <v>0</v>
      </c>
      <c r="T24" s="55" t="e">
        <f aca="false">OSTRIP(G24,H24,I24,J24,K24,L24,M24,N24,O24,P24,Q24,R24,S24)</f>
        <v>#NAME?</v>
      </c>
      <c r="U24" s="56" t="e">
        <f aca="false">T24*B24</f>
        <v>#NAME?</v>
      </c>
      <c r="V24" s="47"/>
      <c r="W24" s="47"/>
      <c r="X24" s="47"/>
      <c r="Y24" s="47"/>
      <c r="Z24" s="47"/>
    </row>
    <row r="25" customFormat="false" ht="12.75" hidden="false" customHeight="false" outlineLevel="0" collapsed="false">
      <c r="A25" s="44" t="n">
        <f aca="false">+A9</f>
        <v>36770</v>
      </c>
      <c r="B25" s="45" t="n">
        <f aca="false">+B9</f>
        <v>-150000</v>
      </c>
      <c r="C25" s="44" t="n">
        <f aca="false">+C9</f>
        <v>36770</v>
      </c>
      <c r="D25" s="46" t="n">
        <f aca="false">EOMONTH(C25,0)</f>
        <v>36799</v>
      </c>
      <c r="E25" s="25" t="s">
        <v>20</v>
      </c>
      <c r="F25" s="47" t="s">
        <v>48</v>
      </c>
      <c r="G25" s="60" t="n">
        <f aca="false">+G9</f>
        <v>2.623</v>
      </c>
      <c r="H25" s="49" t="n">
        <f aca="false">+H9</f>
        <v>2.623</v>
      </c>
      <c r="I25" s="50" t="e">
        <f aca="false">+A25-$B$2</f>
        <v>#REF!</v>
      </c>
      <c r="J25" s="47" t="n">
        <f aca="false">+C25-A25</f>
        <v>0</v>
      </c>
      <c r="K25" s="45" t="n">
        <f aca="false">+D25-C25+1</f>
        <v>30</v>
      </c>
      <c r="L25" s="47" t="n">
        <f aca="false">+L9</f>
        <v>1</v>
      </c>
      <c r="M25" s="61" t="n">
        <f aca="false">+M9</f>
        <v>0.064789234714962</v>
      </c>
      <c r="N25" s="52" t="n">
        <f aca="false">+N9</f>
        <v>0.55</v>
      </c>
      <c r="O25" s="52" t="n">
        <f aca="false">+O9</f>
        <v>0.55</v>
      </c>
      <c r="P25" s="52" t="n">
        <f aca="false">+P9</f>
        <v>1</v>
      </c>
      <c r="Q25" s="54" t="n">
        <f aca="false">+Q9</f>
        <v>0</v>
      </c>
      <c r="R25" s="47" t="n">
        <f aca="false">IF(F25="Call",1,0)</f>
        <v>0</v>
      </c>
      <c r="S25" s="43" t="n">
        <v>0</v>
      </c>
      <c r="T25" s="55" t="e">
        <f aca="false">OSTRIP(G25,H25,I25,J25,K25,L25,M25,N25,O25,P25,Q25,R25,S25)</f>
        <v>#NAME?</v>
      </c>
      <c r="U25" s="56" t="e">
        <f aca="false">T25*B25</f>
        <v>#NAME?</v>
      </c>
      <c r="V25" s="47"/>
      <c r="W25" s="47"/>
      <c r="X25" s="47"/>
      <c r="Y25" s="47"/>
      <c r="Z25" s="47"/>
    </row>
    <row r="26" customFormat="false" ht="12.75" hidden="false" customHeight="false" outlineLevel="0" collapsed="false">
      <c r="A26" s="44" t="n">
        <f aca="false">+A10</f>
        <v>36800</v>
      </c>
      <c r="B26" s="45" t="n">
        <f aca="false">+B10</f>
        <v>-69750</v>
      </c>
      <c r="C26" s="44" t="n">
        <f aca="false">+C10</f>
        <v>36800</v>
      </c>
      <c r="D26" s="46" t="n">
        <f aca="false">EOMONTH(C26,0)</f>
        <v>36830</v>
      </c>
      <c r="E26" s="25" t="s">
        <v>20</v>
      </c>
      <c r="F26" s="47" t="s">
        <v>48</v>
      </c>
      <c r="G26" s="60" t="n">
        <f aca="false">+G10</f>
        <v>2.648</v>
      </c>
      <c r="H26" s="49" t="n">
        <f aca="false">+H10</f>
        <v>2.648</v>
      </c>
      <c r="I26" s="50" t="e">
        <f aca="false">+A26-$B$2</f>
        <v>#REF!</v>
      </c>
      <c r="J26" s="47" t="n">
        <f aca="false">+C26-A26</f>
        <v>0</v>
      </c>
      <c r="K26" s="45" t="n">
        <f aca="false">+D26-C26+1</f>
        <v>31</v>
      </c>
      <c r="L26" s="47" t="n">
        <f aca="false">+L10</f>
        <v>1</v>
      </c>
      <c r="M26" s="61" t="n">
        <f aca="false">+M10</f>
        <v>0.065417688435194</v>
      </c>
      <c r="N26" s="52" t="n">
        <f aca="false">+N10</f>
        <v>0.5</v>
      </c>
      <c r="O26" s="52" t="n">
        <f aca="false">+O10</f>
        <v>0.5</v>
      </c>
      <c r="P26" s="52" t="n">
        <f aca="false">+P10</f>
        <v>1</v>
      </c>
      <c r="Q26" s="54" t="n">
        <f aca="false">+Q10</f>
        <v>0</v>
      </c>
      <c r="R26" s="47" t="n">
        <f aca="false">IF(F26="Call",1,0)</f>
        <v>0</v>
      </c>
      <c r="S26" s="43" t="n">
        <v>0</v>
      </c>
      <c r="T26" s="55" t="e">
        <f aca="false">OSTRIP(G26,H26,I26,J26,K26,L26,M26,N26,O26,P26,Q26,R26,S26)</f>
        <v>#NAME?</v>
      </c>
      <c r="U26" s="56" t="e">
        <f aca="false">T26*B26</f>
        <v>#NAME?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2.75" hidden="false" customHeight="false" outlineLevel="0" collapsed="false">
      <c r="A27" s="44" t="n">
        <f aca="false">+A11</f>
        <v>36831</v>
      </c>
      <c r="B27" s="45" t="n">
        <f aca="false">+B11</f>
        <v>-67500</v>
      </c>
      <c r="C27" s="44" t="n">
        <f aca="false">+C11</f>
        <v>36831</v>
      </c>
      <c r="D27" s="46" t="n">
        <f aca="false">EOMONTH(C27,0)</f>
        <v>36860</v>
      </c>
      <c r="E27" s="25" t="s">
        <v>20</v>
      </c>
      <c r="F27" s="47" t="s">
        <v>48</v>
      </c>
      <c r="G27" s="60" t="n">
        <f aca="false">+G11</f>
        <v>2.743</v>
      </c>
      <c r="H27" s="49" t="n">
        <f aca="false">+H11</f>
        <v>2.743</v>
      </c>
      <c r="I27" s="50" t="e">
        <f aca="false">+A27-$B$2</f>
        <v>#REF!</v>
      </c>
      <c r="J27" s="47" t="n">
        <f aca="false">+C27-A27</f>
        <v>0</v>
      </c>
      <c r="K27" s="45" t="n">
        <f aca="false">+D27-C27+1</f>
        <v>30</v>
      </c>
      <c r="L27" s="47" t="n">
        <f aca="false">+L11</f>
        <v>1</v>
      </c>
      <c r="M27" s="61" t="n">
        <f aca="false">+M11</f>
        <v>0.066017878160483</v>
      </c>
      <c r="N27" s="52" t="n">
        <f aca="false">+N11</f>
        <v>0.85</v>
      </c>
      <c r="O27" s="52" t="n">
        <f aca="false">+O11</f>
        <v>0.85</v>
      </c>
      <c r="P27" s="52" t="n">
        <f aca="false">+P11</f>
        <v>1</v>
      </c>
      <c r="Q27" s="54" t="n">
        <f aca="false">+Q11</f>
        <v>0</v>
      </c>
      <c r="R27" s="47" t="n">
        <f aca="false">IF(F27="Call",1,0)</f>
        <v>0</v>
      </c>
      <c r="S27" s="43" t="n">
        <v>0</v>
      </c>
      <c r="T27" s="55" t="e">
        <f aca="false">OSTRIP(G27,H27,I27,J27,K27,L27,M27,N27,O27,P27,Q27,R27,S27)</f>
        <v>#NAME?</v>
      </c>
      <c r="U27" s="56" t="e">
        <f aca="false">T27*B27</f>
        <v>#NAME?</v>
      </c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2.75" hidden="false" customHeight="false" outlineLevel="0" collapsed="false">
      <c r="A28" s="44" t="n">
        <f aca="false">+A12</f>
        <v>36861</v>
      </c>
      <c r="B28" s="45" t="n">
        <f aca="false">+B12</f>
        <v>-69750</v>
      </c>
      <c r="C28" s="44" t="n">
        <f aca="false">+C12</f>
        <v>36861</v>
      </c>
      <c r="D28" s="46" t="n">
        <f aca="false">EOMONTH(C28,0)</f>
        <v>36891</v>
      </c>
      <c r="E28" s="25" t="s">
        <v>20</v>
      </c>
      <c r="F28" s="47" t="s">
        <v>48</v>
      </c>
      <c r="G28" s="60" t="n">
        <f aca="false">+G12</f>
        <v>2.8455</v>
      </c>
      <c r="H28" s="49" t="n">
        <f aca="false">+H12</f>
        <v>2.8455</v>
      </c>
      <c r="I28" s="50" t="e">
        <f aca="false">+A28-$B$2</f>
        <v>#REF!</v>
      </c>
      <c r="J28" s="47" t="n">
        <f aca="false">+C28-A28</f>
        <v>0</v>
      </c>
      <c r="K28" s="45" t="n">
        <f aca="false">+D28-C28+1</f>
        <v>31</v>
      </c>
      <c r="L28" s="47" t="n">
        <f aca="false">+L12</f>
        <v>1</v>
      </c>
      <c r="M28" s="61" t="n">
        <f aca="false">+M12</f>
        <v>0.066598707040522</v>
      </c>
      <c r="N28" s="52" t="n">
        <f aca="false">+N12</f>
        <v>1.05</v>
      </c>
      <c r="O28" s="52" t="n">
        <f aca="false">+O12</f>
        <v>1.05</v>
      </c>
      <c r="P28" s="52" t="n">
        <f aca="false">+P12</f>
        <v>1</v>
      </c>
      <c r="Q28" s="54" t="n">
        <f aca="false">+Q12</f>
        <v>0</v>
      </c>
      <c r="R28" s="47" t="n">
        <f aca="false">IF(F28="Call",1,0)</f>
        <v>0</v>
      </c>
      <c r="S28" s="43" t="n">
        <v>0</v>
      </c>
      <c r="T28" s="55" t="e">
        <f aca="false">OSTRIP(G28,H28,I28,J28,K28,L28,M28,N28,O28,P28,Q28,R28,S28)</f>
        <v>#NAME?</v>
      </c>
      <c r="U28" s="56" t="e">
        <f aca="false">T28*B28</f>
        <v>#NAME?</v>
      </c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2.75" hidden="false" customHeight="false" outlineLevel="0" collapsed="false">
      <c r="A29" s="44" t="n">
        <f aca="false">+A13</f>
        <v>36892</v>
      </c>
      <c r="B29" s="45" t="n">
        <f aca="false">+B13</f>
        <v>-69750</v>
      </c>
      <c r="C29" s="44" t="n">
        <f aca="false">+C13</f>
        <v>36892</v>
      </c>
      <c r="D29" s="46" t="n">
        <f aca="false">EOMONTH(C29,0)</f>
        <v>36922</v>
      </c>
      <c r="E29" s="25" t="s">
        <v>20</v>
      </c>
      <c r="F29" s="47" t="s">
        <v>48</v>
      </c>
      <c r="G29" s="60" t="n">
        <f aca="false">+G13</f>
        <v>2.868</v>
      </c>
      <c r="H29" s="49" t="n">
        <f aca="false">+H13</f>
        <v>2.868</v>
      </c>
      <c r="I29" s="50" t="e">
        <f aca="false">+A29-$B$2</f>
        <v>#REF!</v>
      </c>
      <c r="J29" s="47" t="n">
        <f aca="false">+C29-A29</f>
        <v>0</v>
      </c>
      <c r="K29" s="45" t="n">
        <f aca="false">+D29-C29+1</f>
        <v>31</v>
      </c>
      <c r="L29" s="47" t="n">
        <f aca="false">+L13</f>
        <v>1</v>
      </c>
      <c r="M29" s="61" t="n">
        <f aca="false">+M13</f>
        <v>0.06717047581431</v>
      </c>
      <c r="N29" s="52" t="n">
        <f aca="false">+N13</f>
        <v>1.05</v>
      </c>
      <c r="O29" s="52" t="n">
        <f aca="false">+O13</f>
        <v>1.05</v>
      </c>
      <c r="P29" s="52" t="n">
        <f aca="false">+P13</f>
        <v>1</v>
      </c>
      <c r="Q29" s="54" t="n">
        <f aca="false">+Q13</f>
        <v>0</v>
      </c>
      <c r="R29" s="47" t="n">
        <f aca="false">IF(F29="Call",1,0)</f>
        <v>0</v>
      </c>
      <c r="S29" s="43" t="n">
        <v>0</v>
      </c>
      <c r="T29" s="55" t="e">
        <f aca="false">OSTRIP(G29,H29,I29,J29,K29,L29,M29,N29,O29,P29,Q29,R29,S29)</f>
        <v>#NAME?</v>
      </c>
      <c r="U29" s="56" t="e">
        <f aca="false">T29*B29</f>
        <v>#NAME?</v>
      </c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2.75" hidden="false" customHeight="false" outlineLevel="0" collapsed="false">
      <c r="A30" s="44" t="n">
        <f aca="false">+A14</f>
        <v>36923</v>
      </c>
      <c r="B30" s="45" t="n">
        <f aca="false">+B14</f>
        <v>-63000</v>
      </c>
      <c r="C30" s="44" t="n">
        <f aca="false">+C14</f>
        <v>36923</v>
      </c>
      <c r="D30" s="46" t="n">
        <f aca="false">EOMONTH(C30,0)</f>
        <v>36950</v>
      </c>
      <c r="E30" s="25" t="s">
        <v>20</v>
      </c>
      <c r="F30" s="47" t="s">
        <v>48</v>
      </c>
      <c r="G30" s="60" t="n">
        <f aca="false">+G14</f>
        <v>2.7335</v>
      </c>
      <c r="H30" s="49" t="n">
        <f aca="false">+H14</f>
        <v>2.7335</v>
      </c>
      <c r="I30" s="50" t="e">
        <f aca="false">+A30-$B$2</f>
        <v>#REF!</v>
      </c>
      <c r="J30" s="47" t="n">
        <f aca="false">+C30-A30</f>
        <v>0</v>
      </c>
      <c r="K30" s="45" t="n">
        <f aca="false">+D30-C30+1</f>
        <v>28</v>
      </c>
      <c r="L30" s="47" t="n">
        <f aca="false">+L14</f>
        <v>1</v>
      </c>
      <c r="M30" s="61" t="n">
        <f aca="false">+M14</f>
        <v>0.067697244476729</v>
      </c>
      <c r="N30" s="52" t="n">
        <f aca="false">+N14</f>
        <v>1.05</v>
      </c>
      <c r="O30" s="52" t="n">
        <f aca="false">+O14</f>
        <v>1.05</v>
      </c>
      <c r="P30" s="52" t="n">
        <f aca="false">+P14</f>
        <v>1</v>
      </c>
      <c r="Q30" s="54" t="n">
        <f aca="false">+Q14</f>
        <v>0</v>
      </c>
      <c r="R30" s="47" t="n">
        <f aca="false">IF(F30="Call",1,0)</f>
        <v>0</v>
      </c>
      <c r="S30" s="43" t="n">
        <v>0</v>
      </c>
      <c r="T30" s="55" t="e">
        <f aca="false">OSTRIP(G30,H30,I30,J30,K30,L30,M30,N30,O30,P30,Q30,R30,S30)</f>
        <v>#NAME?</v>
      </c>
      <c r="U30" s="56" t="e">
        <f aca="false">T30*B30</f>
        <v>#NAME?</v>
      </c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2.75" hidden="false" customHeight="false" outlineLevel="0" collapsed="false">
      <c r="A31" s="44" t="n">
        <f aca="false">+A15</f>
        <v>36951</v>
      </c>
      <c r="B31" s="45" t="n">
        <f aca="false">+B15</f>
        <v>-69750</v>
      </c>
      <c r="C31" s="44" t="n">
        <f aca="false">+C15</f>
        <v>36951</v>
      </c>
      <c r="D31" s="46" t="n">
        <f aca="false">EOMONTH(C31,0)</f>
        <v>36981</v>
      </c>
      <c r="E31" s="25" t="s">
        <v>20</v>
      </c>
      <c r="F31" s="47" t="s">
        <v>48</v>
      </c>
      <c r="G31" s="60" t="n">
        <f aca="false">+G15</f>
        <v>2.613</v>
      </c>
      <c r="H31" s="49" t="n">
        <f aca="false">+H15</f>
        <v>2.613</v>
      </c>
      <c r="I31" s="50" t="e">
        <f aca="false">+A31-$B$2</f>
        <v>#REF!</v>
      </c>
      <c r="J31" s="47" t="n">
        <f aca="false">+C31-A31</f>
        <v>0</v>
      </c>
      <c r="K31" s="45" t="n">
        <f aca="false">+D31-C31+1</f>
        <v>31</v>
      </c>
      <c r="L31" s="47" t="n">
        <f aca="false">+L15</f>
        <v>1</v>
      </c>
      <c r="M31" s="61" t="n">
        <f aca="false">+M15</f>
        <v>0.068173035605607</v>
      </c>
      <c r="N31" s="52" t="n">
        <f aca="false">+N15</f>
        <v>0.8</v>
      </c>
      <c r="O31" s="52" t="n">
        <f aca="false">+O15</f>
        <v>0.8</v>
      </c>
      <c r="P31" s="52" t="n">
        <f aca="false">+P15</f>
        <v>1</v>
      </c>
      <c r="Q31" s="54" t="n">
        <f aca="false">+Q15</f>
        <v>0</v>
      </c>
      <c r="R31" s="47" t="n">
        <f aca="false">IF(F31="Call",1,0)</f>
        <v>0</v>
      </c>
      <c r="S31" s="43" t="n">
        <v>0</v>
      </c>
      <c r="T31" s="55" t="e">
        <f aca="false">OSTRIP(G31,H31,I31,J31,K31,L31,M31,N31,O31,P31,Q31,R31,S31)</f>
        <v>#NAME?</v>
      </c>
      <c r="U31" s="56" t="e">
        <f aca="false">T31*B31</f>
        <v>#NAME?</v>
      </c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2.75" hidden="false" customHeight="false" outlineLevel="0" collapsed="false">
      <c r="A32" s="44" t="n">
        <f aca="false">+A16</f>
        <v>36982</v>
      </c>
      <c r="B32" s="45" t="n">
        <f aca="false">+B16</f>
        <v>-67500</v>
      </c>
      <c r="C32" s="44" t="n">
        <f aca="false">+C16</f>
        <v>36982</v>
      </c>
      <c r="D32" s="46" t="n">
        <f aca="false">EOMONTH(C32,0)</f>
        <v>37011</v>
      </c>
      <c r="E32" s="25" t="s">
        <v>20</v>
      </c>
      <c r="F32" s="47" t="s">
        <v>48</v>
      </c>
      <c r="G32" s="60" t="n">
        <f aca="false">+G16</f>
        <v>2.523</v>
      </c>
      <c r="H32" s="49" t="n">
        <f aca="false">+H16</f>
        <v>2.523</v>
      </c>
      <c r="I32" s="50" t="e">
        <f aca="false">+A32-$B$2</f>
        <v>#REF!</v>
      </c>
      <c r="J32" s="47" t="n">
        <f aca="false">+C32-A32</f>
        <v>0</v>
      </c>
      <c r="K32" s="45" t="n">
        <f aca="false">+D32-C32+1</f>
        <v>30</v>
      </c>
      <c r="L32" s="47" t="n">
        <f aca="false">+L16</f>
        <v>1</v>
      </c>
      <c r="M32" s="61" t="n">
        <f aca="false">+M16</f>
        <v>0.068656219094093</v>
      </c>
      <c r="N32" s="52" t="n">
        <f aca="false">+N16</f>
        <v>0.45</v>
      </c>
      <c r="O32" s="52" t="n">
        <f aca="false">+O16</f>
        <v>0.45</v>
      </c>
      <c r="P32" s="52" t="n">
        <f aca="false">+P16</f>
        <v>1</v>
      </c>
      <c r="Q32" s="54" t="n">
        <f aca="false">+Q16</f>
        <v>0</v>
      </c>
      <c r="R32" s="47" t="n">
        <f aca="false">IF(F32="Call",1,0)</f>
        <v>0</v>
      </c>
      <c r="S32" s="43" t="n">
        <v>0</v>
      </c>
      <c r="T32" s="55" t="e">
        <f aca="false">OSTRIP(G32,H32,I32,J32,K32,L32,M32,N32,O32,P32,Q32,R32,S32)</f>
        <v>#NAME?</v>
      </c>
      <c r="U32" s="56" t="e">
        <f aca="false">T32*B32</f>
        <v>#NAME?</v>
      </c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2.75" hidden="false" customHeight="false" outlineLevel="0" collapsed="false">
      <c r="A33" s="44" t="n">
        <f aca="false">+A17</f>
        <v>37012</v>
      </c>
      <c r="B33" s="45" t="n">
        <f aca="false">+B17</f>
        <v>-116250</v>
      </c>
      <c r="C33" s="44" t="n">
        <f aca="false">+C17</f>
        <v>37012</v>
      </c>
      <c r="D33" s="46" t="n">
        <f aca="false">EOMONTH(C33,0)</f>
        <v>37042</v>
      </c>
      <c r="E33" s="25" t="s">
        <v>20</v>
      </c>
      <c r="F33" s="47" t="s">
        <v>48</v>
      </c>
      <c r="G33" s="60" t="n">
        <f aca="false">+G17</f>
        <v>2.488</v>
      </c>
      <c r="H33" s="49" t="n">
        <f aca="false">+H17</f>
        <v>2.488</v>
      </c>
      <c r="I33" s="50" t="e">
        <f aca="false">+A33-$B$2</f>
        <v>#REF!</v>
      </c>
      <c r="J33" s="47" t="n">
        <f aca="false">+C33-A33</f>
        <v>0</v>
      </c>
      <c r="K33" s="45" t="n">
        <f aca="false">+D33-C33+1</f>
        <v>31</v>
      </c>
      <c r="L33" s="47" t="n">
        <f aca="false">+L17</f>
        <v>1</v>
      </c>
      <c r="M33" s="61" t="n">
        <f aca="false">+M17</f>
        <v>0.069045363608288</v>
      </c>
      <c r="N33" s="52" t="n">
        <f aca="false">+N17</f>
        <v>0.5</v>
      </c>
      <c r="O33" s="52" t="n">
        <f aca="false">+O17</f>
        <v>0.5</v>
      </c>
      <c r="P33" s="52" t="n">
        <f aca="false">+P17</f>
        <v>1</v>
      </c>
      <c r="Q33" s="54" t="n">
        <f aca="false">+Q17</f>
        <v>0</v>
      </c>
      <c r="R33" s="47" t="n">
        <f aca="false">IF(F33="Call",1,0)</f>
        <v>0</v>
      </c>
      <c r="S33" s="43" t="n">
        <v>0</v>
      </c>
      <c r="T33" s="55" t="e">
        <f aca="false">OSTRIP(G33,H33,I33,J33,K33,L33,M33,N33,O33,P33,Q33,R33,S33)</f>
        <v>#NAME?</v>
      </c>
      <c r="U33" s="56" t="e">
        <f aca="false">T33*B33</f>
        <v>#NAME?</v>
      </c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2.75" hidden="false" customHeight="false" outlineLevel="0" collapsed="false">
      <c r="A34" s="44" t="n">
        <f aca="false">+A18</f>
        <v>37043</v>
      </c>
      <c r="B34" s="45" t="n">
        <f aca="false">+B18</f>
        <v>-112500</v>
      </c>
      <c r="C34" s="44" t="n">
        <f aca="false">+C18</f>
        <v>37043</v>
      </c>
      <c r="D34" s="46" t="n">
        <f aca="false">EOMONTH(C34,0)</f>
        <v>37072</v>
      </c>
      <c r="E34" s="25" t="s">
        <v>20</v>
      </c>
      <c r="F34" s="47" t="s">
        <v>48</v>
      </c>
      <c r="G34" s="60" t="n">
        <f aca="false">+G18</f>
        <v>2.4955</v>
      </c>
      <c r="H34" s="49" t="n">
        <f aca="false">+H18</f>
        <v>2.4955</v>
      </c>
      <c r="I34" s="50" t="e">
        <f aca="false">+A34-$B$2</f>
        <v>#REF!</v>
      </c>
      <c r="J34" s="47" t="n">
        <f aca="false">+C34-A34</f>
        <v>0</v>
      </c>
      <c r="K34" s="45" t="n">
        <f aca="false">+D34-C34+1</f>
        <v>30</v>
      </c>
      <c r="L34" s="47" t="n">
        <f aca="false">+L18</f>
        <v>1</v>
      </c>
      <c r="M34" s="61" t="n">
        <f aca="false">+M18</f>
        <v>0.069447479658918</v>
      </c>
      <c r="N34" s="52" t="n">
        <f aca="false">+N18</f>
        <v>0.5</v>
      </c>
      <c r="O34" s="52" t="n">
        <f aca="false">+O18</f>
        <v>0.5</v>
      </c>
      <c r="P34" s="52" t="n">
        <f aca="false">+P18</f>
        <v>1</v>
      </c>
      <c r="Q34" s="54" t="n">
        <f aca="false">+Q18</f>
        <v>0</v>
      </c>
      <c r="R34" s="47" t="n">
        <f aca="false">IF(F34="Call",1,0)</f>
        <v>0</v>
      </c>
      <c r="S34" s="43" t="n">
        <v>0</v>
      </c>
      <c r="T34" s="55" t="e">
        <f aca="false">OSTRIP(G34,H34,I34,J34,K34,L34,M34,N34,O34,P34,Q34,R34,S34)</f>
        <v>#NAME?</v>
      </c>
      <c r="U34" s="59" t="e">
        <f aca="false">T34*B34</f>
        <v>#NAME?</v>
      </c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2.75" hidden="false" customHeight="false" outlineLevel="0" collapsed="false">
      <c r="A35" s="47"/>
      <c r="B35" s="62"/>
      <c r="C35" s="45"/>
      <c r="D35" s="47"/>
      <c r="E35" s="46"/>
      <c r="F35" s="47"/>
      <c r="G35" s="47"/>
      <c r="H35" s="63"/>
      <c r="I35" s="47"/>
      <c r="J35" s="50"/>
      <c r="K35" s="47"/>
      <c r="L35" s="45"/>
      <c r="M35" s="47"/>
      <c r="N35" s="47"/>
      <c r="O35" s="64"/>
      <c r="P35" s="52"/>
      <c r="Q35" s="52"/>
      <c r="R35" s="54"/>
      <c r="S35" s="47"/>
      <c r="T35" s="47"/>
      <c r="U35" s="56" t="e">
        <f aca="false">SUBTOTAL(9,U21:U34)</f>
        <v>#NAME?</v>
      </c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3.5" hidden="false" customHeight="false" outlineLevel="0" collapsed="false">
      <c r="A36" s="65"/>
      <c r="B36" s="62"/>
      <c r="C36" s="45"/>
      <c r="D36" s="46"/>
      <c r="E36" s="46"/>
      <c r="F36" s="47"/>
      <c r="G36" s="47"/>
      <c r="H36" s="63"/>
      <c r="I36" s="47"/>
      <c r="J36" s="50"/>
      <c r="K36" s="47"/>
      <c r="L36" s="45"/>
      <c r="M36" s="47"/>
      <c r="N36" s="47"/>
      <c r="O36" s="64"/>
      <c r="P36" s="52"/>
      <c r="Q36" s="52"/>
      <c r="R36" s="54"/>
      <c r="S36" s="47"/>
      <c r="T36" s="47"/>
      <c r="U36" s="66"/>
      <c r="V36" s="6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13.5" hidden="false" customHeight="false" outlineLevel="0" collapsed="false">
      <c r="A37" s="47"/>
      <c r="B37" s="62"/>
      <c r="C37" s="45"/>
      <c r="D37" s="47"/>
      <c r="E37" s="46"/>
      <c r="F37" s="47"/>
      <c r="G37" s="47"/>
      <c r="H37" s="63"/>
      <c r="I37" s="47"/>
      <c r="J37" s="47"/>
      <c r="K37" s="47"/>
      <c r="L37" s="45"/>
      <c r="M37" s="47"/>
      <c r="N37" s="47"/>
      <c r="O37" s="64"/>
      <c r="P37" s="47"/>
      <c r="Q37" s="52"/>
      <c r="R37" s="47"/>
      <c r="S37" s="68" t="s">
        <v>49</v>
      </c>
      <c r="T37" s="69"/>
      <c r="U37" s="70" t="e">
        <f aca="false">SUBTOTAL(9,U5:U35)</f>
        <v>#NAME?</v>
      </c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</row>
    <row r="38" customFormat="false" ht="12.75" hidden="false" customHeight="false" outlineLevel="0" collapsed="false">
      <c r="B38" s="71"/>
      <c r="C38" s="72"/>
      <c r="E38" s="73"/>
      <c r="H38" s="74"/>
      <c r="L38" s="75"/>
      <c r="O38" s="76"/>
      <c r="Q38" s="77"/>
      <c r="R38" s="47"/>
      <c r="S38" s="78"/>
      <c r="T38" s="35"/>
      <c r="U38" s="79" t="e">
        <f aca="false">+U37/'Deal Volumes'!H17</f>
        <v>#NAME?</v>
      </c>
      <c r="V38" s="75"/>
    </row>
    <row r="39" customFormat="false" ht="12.75" hidden="false" customHeight="false" outlineLevel="0" collapsed="false">
      <c r="B39" s="71"/>
      <c r="C39" s="72"/>
      <c r="E39" s="73"/>
      <c r="H39" s="74"/>
      <c r="L39" s="75"/>
      <c r="O39" s="76"/>
      <c r="Q39" s="77"/>
      <c r="R39" s="47"/>
      <c r="S39" s="78"/>
      <c r="T39" s="35"/>
      <c r="U39" s="80"/>
      <c r="V39" s="75"/>
    </row>
    <row r="40" customFormat="false" ht="12.75" hidden="false" customHeight="false" outlineLevel="0" collapsed="false">
      <c r="B40" s="71"/>
      <c r="C40" s="72"/>
      <c r="E40" s="73"/>
      <c r="H40" s="74"/>
      <c r="L40" s="75"/>
      <c r="O40" s="76"/>
      <c r="Q40" s="77"/>
      <c r="R40" s="81"/>
      <c r="U40" s="82"/>
      <c r="V40" s="75"/>
    </row>
    <row r="41" customFormat="false" ht="12.75" hidden="false" customHeight="false" outlineLevel="0" collapsed="false">
      <c r="B41" s="71"/>
      <c r="C41" s="72"/>
      <c r="E41" s="73"/>
      <c r="H41" s="74"/>
      <c r="L41" s="75"/>
      <c r="O41" s="76"/>
      <c r="Q41" s="77"/>
      <c r="R41" s="83" t="s">
        <v>50</v>
      </c>
      <c r="S41" s="84" t="n">
        <v>0</v>
      </c>
      <c r="T41" s="84" t="s">
        <v>51</v>
      </c>
      <c r="U41" s="85"/>
      <c r="V41" s="75"/>
    </row>
    <row r="42" customFormat="false" ht="12.75" hidden="false" customHeight="false" outlineLevel="0" collapsed="false">
      <c r="B42" s="71"/>
      <c r="C42" s="72"/>
      <c r="E42" s="73"/>
      <c r="H42" s="74"/>
      <c r="L42" s="75"/>
      <c r="O42" s="76"/>
      <c r="Q42" s="77"/>
      <c r="R42" s="86"/>
      <c r="S42" s="87" t="n">
        <v>1</v>
      </c>
      <c r="T42" s="87" t="s">
        <v>52</v>
      </c>
      <c r="U42" s="88"/>
      <c r="V42" s="75"/>
    </row>
    <row r="43" customFormat="false" ht="12.75" hidden="false" customHeight="false" outlineLevel="0" collapsed="false">
      <c r="B43" s="71"/>
      <c r="C43" s="72"/>
      <c r="E43" s="73"/>
      <c r="H43" s="74"/>
      <c r="L43" s="75"/>
      <c r="O43" s="76"/>
      <c r="Q43" s="77"/>
      <c r="R43" s="86"/>
      <c r="S43" s="87" t="n">
        <v>2</v>
      </c>
      <c r="T43" s="87" t="s">
        <v>53</v>
      </c>
      <c r="U43" s="88"/>
      <c r="V43" s="75"/>
    </row>
    <row r="44" customFormat="false" ht="12.75" hidden="false" customHeight="false" outlineLevel="0" collapsed="false">
      <c r="B44" s="71"/>
      <c r="C44" s="72"/>
      <c r="E44" s="73"/>
      <c r="H44" s="74"/>
      <c r="L44" s="75"/>
      <c r="O44" s="76"/>
      <c r="Q44" s="77"/>
      <c r="R44" s="86"/>
      <c r="S44" s="87" t="n">
        <v>3</v>
      </c>
      <c r="T44" s="87" t="s">
        <v>54</v>
      </c>
      <c r="U44" s="88"/>
      <c r="V44" s="75"/>
    </row>
    <row r="45" customFormat="false" ht="12.75" hidden="false" customHeight="false" outlineLevel="0" collapsed="false">
      <c r="B45" s="71"/>
      <c r="C45" s="72"/>
      <c r="E45" s="73"/>
      <c r="H45" s="74"/>
      <c r="L45" s="75"/>
      <c r="O45" s="76"/>
      <c r="Q45" s="77"/>
      <c r="R45" s="86"/>
      <c r="S45" s="87" t="n">
        <v>4</v>
      </c>
      <c r="T45" s="87" t="s">
        <v>55</v>
      </c>
      <c r="U45" s="88"/>
      <c r="V45" s="75"/>
    </row>
    <row r="46" customFormat="false" ht="12.75" hidden="false" customHeight="false" outlineLevel="0" collapsed="false">
      <c r="B46" s="71"/>
      <c r="C46" s="72"/>
      <c r="E46" s="73"/>
      <c r="H46" s="74"/>
      <c r="L46" s="75"/>
      <c r="O46" s="76"/>
      <c r="Q46" s="77"/>
      <c r="R46" s="86"/>
      <c r="S46" s="87" t="n">
        <v>5</v>
      </c>
      <c r="T46" s="87" t="s">
        <v>56</v>
      </c>
      <c r="U46" s="88"/>
      <c r="V46" s="75"/>
    </row>
    <row r="47" customFormat="false" ht="12.75" hidden="false" customHeight="false" outlineLevel="0" collapsed="false">
      <c r="B47" s="71"/>
      <c r="C47" s="72"/>
      <c r="E47" s="73"/>
      <c r="H47" s="74"/>
      <c r="L47" s="75"/>
      <c r="O47" s="76"/>
      <c r="Q47" s="77"/>
      <c r="R47" s="89"/>
      <c r="S47" s="90" t="n">
        <v>6</v>
      </c>
      <c r="T47" s="90" t="s">
        <v>57</v>
      </c>
      <c r="U47" s="91"/>
      <c r="V47" s="75"/>
    </row>
    <row r="48" customFormat="false" ht="12.75" hidden="false" customHeight="false" outlineLevel="0" collapsed="false">
      <c r="B48" s="71"/>
      <c r="C48" s="72"/>
      <c r="E48" s="73"/>
      <c r="H48" s="74"/>
      <c r="L48" s="75"/>
      <c r="O48" s="76"/>
      <c r="Q48" s="77"/>
      <c r="R48" s="81"/>
      <c r="U48" s="82"/>
      <c r="V48" s="75"/>
    </row>
    <row r="49" customFormat="false" ht="12.75" hidden="false" customHeight="false" outlineLevel="0" collapsed="false">
      <c r="B49" s="71"/>
      <c r="C49" s="72"/>
      <c r="E49" s="73"/>
      <c r="H49" s="74"/>
      <c r="L49" s="75"/>
      <c r="O49" s="76"/>
      <c r="Q49" s="77"/>
      <c r="R49" s="81"/>
      <c r="U49" s="82"/>
      <c r="V49" s="75"/>
    </row>
    <row r="50" customFormat="false" ht="12.75" hidden="false" customHeight="false" outlineLevel="0" collapsed="false">
      <c r="B50" s="71"/>
      <c r="C50" s="72"/>
      <c r="E50" s="73"/>
      <c r="H50" s="74"/>
      <c r="L50" s="75"/>
      <c r="O50" s="76"/>
      <c r="Q50" s="77"/>
      <c r="R50" s="81"/>
      <c r="U50" s="82"/>
      <c r="V50" s="75"/>
    </row>
    <row r="51" customFormat="false" ht="12.75" hidden="false" customHeight="false" outlineLevel="0" collapsed="false">
      <c r="B51" s="71"/>
      <c r="C51" s="72"/>
      <c r="E51" s="73"/>
      <c r="H51" s="74"/>
      <c r="L51" s="75"/>
      <c r="O51" s="76"/>
      <c r="Q51" s="77"/>
      <c r="R51" s="81"/>
      <c r="U51" s="82"/>
      <c r="V51" s="75"/>
    </row>
    <row r="52" customFormat="false" ht="12.75" hidden="false" customHeight="false" outlineLevel="0" collapsed="false">
      <c r="B52" s="71"/>
      <c r="C52" s="72"/>
      <c r="E52" s="73"/>
      <c r="H52" s="74"/>
      <c r="L52" s="75"/>
      <c r="O52" s="76"/>
      <c r="Q52" s="77"/>
      <c r="R52" s="81"/>
      <c r="U52" s="82"/>
      <c r="V52" s="75"/>
    </row>
    <row r="53" customFormat="false" ht="12.75" hidden="false" customHeight="false" outlineLevel="0" collapsed="false">
      <c r="B53" s="71"/>
      <c r="C53" s="72"/>
      <c r="E53" s="73"/>
      <c r="H53" s="74"/>
      <c r="L53" s="75"/>
      <c r="O53" s="76"/>
      <c r="Q53" s="77"/>
      <c r="R53" s="81"/>
      <c r="U53" s="82"/>
      <c r="V53" s="75"/>
    </row>
    <row r="54" customFormat="false" ht="12.75" hidden="false" customHeight="false" outlineLevel="0" collapsed="false">
      <c r="B54" s="71"/>
      <c r="C54" s="72"/>
      <c r="E54" s="73"/>
      <c r="H54" s="74"/>
      <c r="L54" s="75"/>
      <c r="O54" s="76"/>
      <c r="Q54" s="77"/>
      <c r="R54" s="81"/>
      <c r="U54" s="82"/>
      <c r="V54" s="75"/>
    </row>
    <row r="55" customFormat="false" ht="12.75" hidden="false" customHeight="false" outlineLevel="0" collapsed="false">
      <c r="B55" s="71"/>
      <c r="C55" s="72"/>
      <c r="E55" s="73"/>
      <c r="H55" s="74"/>
      <c r="L55" s="75"/>
      <c r="O55" s="76"/>
      <c r="Q55" s="77"/>
      <c r="R55" s="81"/>
      <c r="U55" s="82"/>
      <c r="V55" s="75"/>
    </row>
    <row r="56" customFormat="false" ht="12.75" hidden="false" customHeight="false" outlineLevel="0" collapsed="false">
      <c r="B56" s="71"/>
      <c r="C56" s="72"/>
      <c r="E56" s="73"/>
      <c r="H56" s="74"/>
      <c r="L56" s="75"/>
      <c r="O56" s="76"/>
      <c r="Q56" s="77"/>
      <c r="R56" s="81"/>
      <c r="U56" s="82"/>
      <c r="V56" s="75"/>
    </row>
    <row r="57" customFormat="false" ht="12.75" hidden="false" customHeight="false" outlineLevel="0" collapsed="false">
      <c r="B57" s="71"/>
      <c r="C57" s="72"/>
      <c r="E57" s="73"/>
      <c r="H57" s="74"/>
      <c r="L57" s="75"/>
      <c r="O57" s="76"/>
      <c r="Q57" s="77"/>
      <c r="R57" s="81"/>
      <c r="U57" s="82"/>
      <c r="V57" s="75"/>
    </row>
    <row r="58" customFormat="false" ht="12.75" hidden="false" customHeight="false" outlineLevel="0" collapsed="false">
      <c r="B58" s="71"/>
      <c r="C58" s="72"/>
      <c r="E58" s="73"/>
      <c r="H58" s="74"/>
      <c r="L58" s="75"/>
      <c r="O58" s="76"/>
      <c r="Q58" s="77"/>
      <c r="R58" s="81"/>
      <c r="U58" s="82"/>
      <c r="V58" s="75"/>
    </row>
    <row r="59" customFormat="false" ht="12.75" hidden="false" customHeight="false" outlineLevel="0" collapsed="false">
      <c r="H59" s="74"/>
      <c r="R59" s="81"/>
      <c r="U59" s="82"/>
    </row>
    <row r="60" customFormat="false" ht="12.75" hidden="false" customHeight="false" outlineLevel="0" collapsed="false">
      <c r="H60" s="74"/>
      <c r="R60" s="81"/>
      <c r="U60" s="82"/>
    </row>
    <row r="61" customFormat="false" ht="12.75" hidden="false" customHeight="false" outlineLevel="0" collapsed="false">
      <c r="H61" s="74"/>
    </row>
    <row r="62" customFormat="false" ht="12.75" hidden="false" customHeight="false" outlineLevel="0" collapsed="false">
      <c r="H62" s="74"/>
    </row>
    <row r="63" customFormat="false" ht="12.75" hidden="false" customHeight="false" outlineLevel="0" collapsed="false">
      <c r="H63" s="74"/>
    </row>
    <row r="64" customFormat="false" ht="12.75" hidden="false" customHeight="false" outlineLevel="0" collapsed="false">
      <c r="H64" s="74"/>
    </row>
    <row r="65" customFormat="false" ht="12.75" hidden="false" customHeight="false" outlineLevel="0" collapsed="false">
      <c r="H65" s="74"/>
    </row>
    <row r="66" customFormat="false" ht="12.75" hidden="false" customHeight="false" outlineLevel="0" collapsed="false">
      <c r="H66" s="74"/>
    </row>
    <row r="67" customFormat="false" ht="12.75" hidden="false" customHeight="false" outlineLevel="0" collapsed="false">
      <c r="H67" s="74"/>
    </row>
    <row r="68" customFormat="false" ht="12.75" hidden="false" customHeight="false" outlineLevel="0" collapsed="false">
      <c r="H68" s="74"/>
    </row>
    <row r="69" customFormat="false" ht="12.75" hidden="false" customHeight="false" outlineLevel="0" collapsed="false">
      <c r="H69" s="74"/>
    </row>
    <row r="70" customFormat="false" ht="12.75" hidden="false" customHeight="false" outlineLevel="0" collapsed="false">
      <c r="H70" s="74"/>
    </row>
    <row r="71" customFormat="false" ht="12.75" hidden="false" customHeight="false" outlineLevel="0" collapsed="false">
      <c r="H71" s="74"/>
    </row>
    <row r="72" customFormat="false" ht="12.75" hidden="false" customHeight="false" outlineLevel="0" collapsed="false">
      <c r="H72" s="74"/>
    </row>
    <row r="73" customFormat="false" ht="12.75" hidden="false" customHeight="false" outlineLevel="0" collapsed="false">
      <c r="H73" s="74"/>
    </row>
    <row r="74" customFormat="false" ht="12.75" hidden="false" customHeight="false" outlineLevel="0" collapsed="false">
      <c r="H74" s="74"/>
    </row>
    <row r="75" customFormat="false" ht="12.75" hidden="false" customHeight="false" outlineLevel="0" collapsed="false">
      <c r="H75" s="74"/>
    </row>
    <row r="76" customFormat="false" ht="12.75" hidden="false" customHeight="false" outlineLevel="0" collapsed="false">
      <c r="H76" s="74"/>
    </row>
    <row r="77" customFormat="false" ht="12.75" hidden="false" customHeight="false" outlineLevel="0" collapsed="false">
      <c r="H77" s="74"/>
    </row>
    <row r="78" customFormat="false" ht="12.75" hidden="false" customHeight="false" outlineLevel="0" collapsed="false">
      <c r="H78" s="74"/>
    </row>
    <row r="79" customFormat="false" ht="12.75" hidden="false" customHeight="false" outlineLevel="0" collapsed="false">
      <c r="H79" s="74"/>
    </row>
    <row r="80" customFormat="false" ht="12.75" hidden="false" customHeight="false" outlineLevel="0" collapsed="false">
      <c r="H80" s="74"/>
    </row>
    <row r="81" customFormat="false" ht="12.75" hidden="false" customHeight="false" outlineLevel="0" collapsed="false">
      <c r="H81" s="74"/>
    </row>
    <row r="82" customFormat="false" ht="12.75" hidden="false" customHeight="false" outlineLevel="0" collapsed="false">
      <c r="H82" s="74"/>
    </row>
    <row r="83" customFormat="false" ht="12.75" hidden="false" customHeight="false" outlineLevel="0" collapsed="false">
      <c r="H83" s="74"/>
    </row>
    <row r="84" customFormat="false" ht="12.75" hidden="false" customHeight="false" outlineLevel="0" collapsed="false">
      <c r="H84" s="74"/>
    </row>
    <row r="85" customFormat="false" ht="12.75" hidden="false" customHeight="false" outlineLevel="0" collapsed="false">
      <c r="H85" s="74"/>
    </row>
    <row r="86" customFormat="false" ht="12.75" hidden="false" customHeight="false" outlineLevel="0" collapsed="false">
      <c r="H86" s="74"/>
    </row>
    <row r="87" customFormat="false" ht="12.75" hidden="false" customHeight="false" outlineLevel="0" collapsed="false">
      <c r="H87" s="74"/>
    </row>
    <row r="88" customFormat="false" ht="12.75" hidden="false" customHeight="false" outlineLevel="0" collapsed="false">
      <c r="H88" s="74"/>
    </row>
    <row r="89" customFormat="false" ht="12.75" hidden="false" customHeight="false" outlineLevel="0" collapsed="false">
      <c r="H89" s="74"/>
    </row>
    <row r="90" customFormat="false" ht="12.75" hidden="false" customHeight="false" outlineLevel="0" collapsed="false">
      <c r="H90" s="74"/>
    </row>
    <row r="91" customFormat="false" ht="12.75" hidden="false" customHeight="false" outlineLevel="0" collapsed="false">
      <c r="H91" s="74"/>
    </row>
    <row r="92" customFormat="false" ht="12.75" hidden="false" customHeight="false" outlineLevel="0" collapsed="false">
      <c r="H92" s="74"/>
    </row>
    <row r="93" customFormat="false" ht="12.75" hidden="false" customHeight="false" outlineLevel="0" collapsed="false">
      <c r="H93" s="74"/>
    </row>
    <row r="94" customFormat="false" ht="12.75" hidden="false" customHeight="false" outlineLevel="0" collapsed="false">
      <c r="H94" s="74"/>
    </row>
    <row r="95" customFormat="false" ht="12.75" hidden="false" customHeight="false" outlineLevel="0" collapsed="false">
      <c r="H95" s="74"/>
    </row>
    <row r="96" customFormat="false" ht="12.75" hidden="false" customHeight="false" outlineLevel="0" collapsed="false">
      <c r="H96" s="74"/>
    </row>
    <row r="97" customFormat="false" ht="12.75" hidden="false" customHeight="false" outlineLevel="0" collapsed="false">
      <c r="H97" s="74"/>
    </row>
    <row r="98" customFormat="false" ht="12.75" hidden="false" customHeight="false" outlineLevel="0" collapsed="false">
      <c r="H98" s="74"/>
    </row>
    <row r="99" customFormat="false" ht="12.75" hidden="false" customHeight="false" outlineLevel="0" collapsed="false">
      <c r="H99" s="74"/>
    </row>
    <row r="100" customFormat="false" ht="12.75" hidden="false" customHeight="false" outlineLevel="0" collapsed="false">
      <c r="H100" s="74"/>
    </row>
    <row r="101" customFormat="false" ht="12.75" hidden="false" customHeight="false" outlineLevel="0" collapsed="false">
      <c r="H101" s="74"/>
    </row>
    <row r="102" customFormat="false" ht="12.75" hidden="false" customHeight="false" outlineLevel="0" collapsed="false">
      <c r="H102" s="74"/>
    </row>
    <row r="103" customFormat="false" ht="12.75" hidden="false" customHeight="false" outlineLevel="0" collapsed="false">
      <c r="H103" s="74"/>
    </row>
    <row r="104" customFormat="false" ht="12.75" hidden="false" customHeight="false" outlineLevel="0" collapsed="false">
      <c r="H104" s="74"/>
    </row>
    <row r="105" customFormat="false" ht="12.75" hidden="false" customHeight="false" outlineLevel="0" collapsed="false">
      <c r="H105" s="74"/>
    </row>
    <row r="106" customFormat="false" ht="12.75" hidden="false" customHeight="false" outlineLevel="0" collapsed="false">
      <c r="H106" s="74"/>
    </row>
    <row r="107" customFormat="false" ht="12.75" hidden="false" customHeight="false" outlineLevel="0" collapsed="false">
      <c r="H107" s="74"/>
    </row>
    <row r="108" customFormat="false" ht="12.75" hidden="false" customHeight="false" outlineLevel="0" collapsed="false">
      <c r="H108" s="74"/>
    </row>
    <row r="109" customFormat="false" ht="12.75" hidden="false" customHeight="false" outlineLevel="0" collapsed="false">
      <c r="H109" s="74"/>
    </row>
    <row r="110" customFormat="false" ht="12.75" hidden="false" customHeight="false" outlineLevel="0" collapsed="false">
      <c r="H110" s="74"/>
    </row>
    <row r="111" customFormat="false" ht="12.75" hidden="false" customHeight="false" outlineLevel="0" collapsed="false">
      <c r="H111" s="74"/>
    </row>
    <row r="112" customFormat="false" ht="12.75" hidden="false" customHeight="false" outlineLevel="0" collapsed="false">
      <c r="H112" s="74"/>
    </row>
    <row r="113" customFormat="false" ht="12.75" hidden="false" customHeight="false" outlineLevel="0" collapsed="false">
      <c r="H113" s="74"/>
    </row>
    <row r="114" customFormat="false" ht="12.75" hidden="false" customHeight="false" outlineLevel="0" collapsed="false">
      <c r="H114" s="74"/>
    </row>
    <row r="115" customFormat="false" ht="12.75" hidden="false" customHeight="false" outlineLevel="0" collapsed="false">
      <c r="H115" s="74"/>
    </row>
    <row r="116" customFormat="false" ht="12.75" hidden="false" customHeight="false" outlineLevel="0" collapsed="false">
      <c r="H116" s="74"/>
    </row>
    <row r="117" customFormat="false" ht="12.75" hidden="false" customHeight="false" outlineLevel="0" collapsed="false">
      <c r="H117" s="74"/>
    </row>
    <row r="118" customFormat="false" ht="12.75" hidden="false" customHeight="false" outlineLevel="0" collapsed="false">
      <c r="H118" s="74"/>
    </row>
    <row r="119" customFormat="false" ht="12.75" hidden="false" customHeight="false" outlineLevel="0" collapsed="false">
      <c r="H119" s="74"/>
    </row>
    <row r="120" customFormat="false" ht="12.75" hidden="false" customHeight="false" outlineLevel="0" collapsed="false">
      <c r="H120" s="74"/>
    </row>
    <row r="121" customFormat="false" ht="12.75" hidden="false" customHeight="false" outlineLevel="0" collapsed="false">
      <c r="H121" s="74"/>
    </row>
    <row r="122" customFormat="false" ht="12.75" hidden="false" customHeight="false" outlineLevel="0" collapsed="false">
      <c r="H122" s="74"/>
    </row>
    <row r="123" customFormat="false" ht="12.75" hidden="false" customHeight="false" outlineLevel="0" collapsed="false">
      <c r="H123" s="74"/>
    </row>
    <row r="124" customFormat="false" ht="12.75" hidden="false" customHeight="false" outlineLevel="0" collapsed="false">
      <c r="H124" s="74"/>
    </row>
    <row r="125" customFormat="false" ht="12.75" hidden="false" customHeight="false" outlineLevel="0" collapsed="false">
      <c r="H125" s="74"/>
    </row>
    <row r="126" customFormat="false" ht="12.75" hidden="false" customHeight="false" outlineLevel="0" collapsed="false">
      <c r="H126" s="74"/>
    </row>
    <row r="127" customFormat="false" ht="12.75" hidden="false" customHeight="false" outlineLevel="0" collapsed="false">
      <c r="H127" s="74"/>
    </row>
    <row r="128" customFormat="false" ht="12.75" hidden="false" customHeight="false" outlineLevel="0" collapsed="false">
      <c r="H128" s="74"/>
    </row>
    <row r="129" customFormat="false" ht="12.75" hidden="false" customHeight="false" outlineLevel="0" collapsed="false">
      <c r="H129" s="74"/>
    </row>
    <row r="130" customFormat="false" ht="12.75" hidden="false" customHeight="false" outlineLevel="0" collapsed="false">
      <c r="H130" s="74"/>
    </row>
    <row r="131" customFormat="false" ht="12.75" hidden="false" customHeight="false" outlineLevel="0" collapsed="false">
      <c r="H131" s="74"/>
    </row>
    <row r="132" customFormat="false" ht="12.75" hidden="false" customHeight="false" outlineLevel="0" collapsed="false">
      <c r="H132" s="74"/>
    </row>
    <row r="133" customFormat="false" ht="12.75" hidden="false" customHeight="false" outlineLevel="0" collapsed="false">
      <c r="H133" s="74"/>
    </row>
    <row r="134" customFormat="false" ht="12.75" hidden="false" customHeight="false" outlineLevel="0" collapsed="false">
      <c r="H134" s="74"/>
    </row>
    <row r="135" customFormat="false" ht="12.75" hidden="false" customHeight="false" outlineLevel="0" collapsed="false">
      <c r="H135" s="74"/>
    </row>
    <row r="136" customFormat="false" ht="12.75" hidden="false" customHeight="false" outlineLevel="0" collapsed="false">
      <c r="H136" s="74"/>
    </row>
    <row r="137" customFormat="false" ht="12.75" hidden="false" customHeight="false" outlineLevel="0" collapsed="false">
      <c r="H137" s="74"/>
    </row>
    <row r="138" customFormat="false" ht="12.75" hidden="false" customHeight="false" outlineLevel="0" collapsed="false">
      <c r="H138" s="74"/>
    </row>
    <row r="139" customFormat="false" ht="12.75" hidden="false" customHeight="false" outlineLevel="0" collapsed="false">
      <c r="H139" s="74"/>
    </row>
    <row r="140" customFormat="false" ht="12.75" hidden="false" customHeight="false" outlineLevel="0" collapsed="false">
      <c r="H140" s="74"/>
    </row>
    <row r="141" customFormat="false" ht="12.75" hidden="false" customHeight="false" outlineLevel="0" collapsed="false">
      <c r="H141" s="74"/>
    </row>
    <row r="142" customFormat="false" ht="12.75" hidden="false" customHeight="false" outlineLevel="0" collapsed="false">
      <c r="H142" s="74"/>
    </row>
    <row r="143" customFormat="false" ht="12.75" hidden="false" customHeight="false" outlineLevel="0" collapsed="false">
      <c r="H143" s="74"/>
    </row>
    <row r="144" customFormat="false" ht="12.75" hidden="false" customHeight="false" outlineLevel="0" collapsed="false">
      <c r="H144" s="74"/>
    </row>
    <row r="145" customFormat="false" ht="12.75" hidden="false" customHeight="false" outlineLevel="0" collapsed="false">
      <c r="H145" s="74"/>
    </row>
    <row r="146" customFormat="false" ht="12.75" hidden="false" customHeight="false" outlineLevel="0" collapsed="false">
      <c r="H146" s="74"/>
    </row>
    <row r="147" customFormat="false" ht="12.75" hidden="false" customHeight="false" outlineLevel="0" collapsed="false">
      <c r="H147" s="74"/>
    </row>
    <row r="148" customFormat="false" ht="12.75" hidden="false" customHeight="false" outlineLevel="0" collapsed="false">
      <c r="H148" s="74"/>
    </row>
    <row r="149" customFormat="false" ht="12.75" hidden="false" customHeight="false" outlineLevel="0" collapsed="false">
      <c r="H149" s="74"/>
    </row>
    <row r="150" customFormat="false" ht="12.75" hidden="false" customHeight="false" outlineLevel="0" collapsed="false">
      <c r="H150" s="74"/>
    </row>
    <row r="151" customFormat="false" ht="12.75" hidden="false" customHeight="false" outlineLevel="0" collapsed="false">
      <c r="H151" s="74"/>
    </row>
    <row r="152" customFormat="false" ht="12.75" hidden="false" customHeight="false" outlineLevel="0" collapsed="false">
      <c r="H152" s="74"/>
    </row>
    <row r="153" customFormat="false" ht="12.75" hidden="false" customHeight="false" outlineLevel="0" collapsed="false">
      <c r="H153" s="74"/>
    </row>
    <row r="154" customFormat="false" ht="12.75" hidden="false" customHeight="false" outlineLevel="0" collapsed="false">
      <c r="H154" s="74"/>
    </row>
    <row r="155" customFormat="false" ht="12.75" hidden="false" customHeight="false" outlineLevel="0" collapsed="false">
      <c r="H155" s="74"/>
    </row>
    <row r="156" customFormat="false" ht="12.75" hidden="false" customHeight="false" outlineLevel="0" collapsed="false">
      <c r="H156" s="74"/>
    </row>
    <row r="157" customFormat="false" ht="12.75" hidden="false" customHeight="false" outlineLevel="0" collapsed="false">
      <c r="H157" s="74"/>
    </row>
    <row r="158" customFormat="false" ht="12.75" hidden="false" customHeight="false" outlineLevel="0" collapsed="false">
      <c r="H158" s="74"/>
    </row>
    <row r="159" customFormat="false" ht="12.75" hidden="false" customHeight="false" outlineLevel="0" collapsed="false">
      <c r="H159" s="74"/>
    </row>
    <row r="160" customFormat="false" ht="12.75" hidden="false" customHeight="false" outlineLevel="0" collapsed="false">
      <c r="H160" s="74"/>
    </row>
    <row r="161" customFormat="false" ht="12.75" hidden="false" customHeight="false" outlineLevel="0" collapsed="false">
      <c r="H161" s="74"/>
    </row>
    <row r="162" customFormat="false" ht="12.75" hidden="false" customHeight="false" outlineLevel="0" collapsed="false">
      <c r="H162" s="74"/>
    </row>
    <row r="163" customFormat="false" ht="12.75" hidden="false" customHeight="false" outlineLevel="0" collapsed="false">
      <c r="H163" s="74"/>
    </row>
    <row r="164" customFormat="false" ht="12.75" hidden="false" customHeight="false" outlineLevel="0" collapsed="false">
      <c r="H164" s="74"/>
    </row>
    <row r="165" customFormat="false" ht="12.75" hidden="false" customHeight="false" outlineLevel="0" collapsed="false">
      <c r="H165" s="74"/>
    </row>
    <row r="166" customFormat="false" ht="12.75" hidden="false" customHeight="false" outlineLevel="0" collapsed="false">
      <c r="H166" s="74"/>
    </row>
    <row r="167" customFormat="false" ht="12.75" hidden="false" customHeight="false" outlineLevel="0" collapsed="false">
      <c r="H167" s="74"/>
    </row>
    <row r="168" customFormat="false" ht="12.75" hidden="false" customHeight="false" outlineLevel="0" collapsed="false">
      <c r="H168" s="74"/>
    </row>
    <row r="169" customFormat="false" ht="12.75" hidden="false" customHeight="false" outlineLevel="0" collapsed="false">
      <c r="H169" s="74"/>
    </row>
    <row r="170" customFormat="false" ht="12.75" hidden="false" customHeight="false" outlineLevel="0" collapsed="false">
      <c r="H170" s="74"/>
    </row>
    <row r="171" customFormat="false" ht="12.75" hidden="false" customHeight="false" outlineLevel="0" collapsed="false">
      <c r="H171" s="74"/>
    </row>
    <row r="172" customFormat="false" ht="12.75" hidden="false" customHeight="false" outlineLevel="0" collapsed="false">
      <c r="H172" s="74"/>
    </row>
    <row r="173" customFormat="false" ht="12.75" hidden="false" customHeight="false" outlineLevel="0" collapsed="false">
      <c r="H173" s="74"/>
    </row>
    <row r="174" customFormat="false" ht="12.75" hidden="false" customHeight="false" outlineLevel="0" collapsed="false">
      <c r="H174" s="74"/>
    </row>
    <row r="175" customFormat="false" ht="12.75" hidden="false" customHeight="false" outlineLevel="0" collapsed="false">
      <c r="H175" s="74"/>
    </row>
    <row r="176" customFormat="false" ht="12.75" hidden="false" customHeight="false" outlineLevel="0" collapsed="false">
      <c r="H176" s="74"/>
    </row>
    <row r="177" customFormat="false" ht="12.75" hidden="false" customHeight="false" outlineLevel="0" collapsed="false">
      <c r="H177" s="74"/>
    </row>
    <row r="178" customFormat="false" ht="12.75" hidden="false" customHeight="false" outlineLevel="0" collapsed="false">
      <c r="H178" s="74"/>
    </row>
    <row r="179" customFormat="false" ht="12.75" hidden="false" customHeight="false" outlineLevel="0" collapsed="false">
      <c r="H179" s="74"/>
    </row>
    <row r="180" customFormat="false" ht="12.75" hidden="false" customHeight="false" outlineLevel="0" collapsed="false">
      <c r="H180" s="74"/>
    </row>
    <row r="181" customFormat="false" ht="12.75" hidden="false" customHeight="false" outlineLevel="0" collapsed="false">
      <c r="H181" s="74"/>
    </row>
    <row r="182" customFormat="false" ht="12.75" hidden="false" customHeight="false" outlineLevel="0" collapsed="false">
      <c r="H182" s="74"/>
    </row>
    <row r="183" customFormat="false" ht="12.75" hidden="false" customHeight="false" outlineLevel="0" collapsed="false">
      <c r="H183" s="74"/>
    </row>
    <row r="184" customFormat="false" ht="12.75" hidden="false" customHeight="false" outlineLevel="0" collapsed="false">
      <c r="H184" s="74"/>
    </row>
    <row r="185" customFormat="false" ht="12.75" hidden="false" customHeight="false" outlineLevel="0" collapsed="false">
      <c r="H185" s="74"/>
    </row>
    <row r="186" customFormat="false" ht="12.75" hidden="false" customHeight="false" outlineLevel="0" collapsed="false">
      <c r="H186" s="74"/>
    </row>
    <row r="187" customFormat="false" ht="12.75" hidden="false" customHeight="false" outlineLevel="0" collapsed="false">
      <c r="H187" s="74"/>
    </row>
    <row r="188" customFormat="false" ht="12.75" hidden="false" customHeight="false" outlineLevel="0" collapsed="false">
      <c r="H188" s="74"/>
    </row>
    <row r="189" customFormat="false" ht="12.75" hidden="false" customHeight="false" outlineLevel="0" collapsed="false">
      <c r="H189" s="74"/>
    </row>
    <row r="190" customFormat="false" ht="12.75" hidden="false" customHeight="false" outlineLevel="0" collapsed="false">
      <c r="H190" s="74"/>
    </row>
    <row r="191" customFormat="false" ht="12.75" hidden="false" customHeight="false" outlineLevel="0" collapsed="false">
      <c r="H191" s="74"/>
    </row>
    <row r="192" customFormat="false" ht="12.75" hidden="false" customHeight="false" outlineLevel="0" collapsed="false">
      <c r="H192" s="74"/>
    </row>
    <row r="193" customFormat="false" ht="12.75" hidden="false" customHeight="false" outlineLevel="0" collapsed="false">
      <c r="H193" s="74"/>
    </row>
    <row r="194" customFormat="false" ht="12.75" hidden="false" customHeight="false" outlineLevel="0" collapsed="false">
      <c r="H194" s="74"/>
    </row>
    <row r="195" customFormat="false" ht="12.75" hidden="false" customHeight="false" outlineLevel="0" collapsed="false">
      <c r="H195" s="74"/>
    </row>
    <row r="196" customFormat="false" ht="12.75" hidden="false" customHeight="false" outlineLevel="0" collapsed="false">
      <c r="H196" s="74"/>
    </row>
    <row r="197" customFormat="false" ht="12.75" hidden="false" customHeight="false" outlineLevel="0" collapsed="false">
      <c r="H197" s="74"/>
    </row>
    <row r="198" customFormat="false" ht="12.75" hidden="false" customHeight="false" outlineLevel="0" collapsed="false">
      <c r="H198" s="74"/>
    </row>
    <row r="199" customFormat="false" ht="12.75" hidden="false" customHeight="false" outlineLevel="0" collapsed="false">
      <c r="H199" s="74"/>
    </row>
    <row r="200" customFormat="false" ht="12.75" hidden="false" customHeight="false" outlineLevel="0" collapsed="false">
      <c r="H200" s="74"/>
    </row>
    <row r="201" customFormat="false" ht="12.75" hidden="false" customHeight="false" outlineLevel="0" collapsed="false">
      <c r="H201" s="74"/>
    </row>
    <row r="202" customFormat="false" ht="12.75" hidden="false" customHeight="false" outlineLevel="0" collapsed="false">
      <c r="H202" s="74"/>
    </row>
    <row r="203" customFormat="false" ht="12.75" hidden="false" customHeight="false" outlineLevel="0" collapsed="false">
      <c r="H203" s="74"/>
    </row>
    <row r="204" customFormat="false" ht="12.75" hidden="false" customHeight="false" outlineLevel="0" collapsed="false">
      <c r="H204" s="74"/>
    </row>
    <row r="205" customFormat="false" ht="12.75" hidden="false" customHeight="false" outlineLevel="0" collapsed="false">
      <c r="H205" s="74"/>
    </row>
    <row r="206" customFormat="false" ht="12.75" hidden="false" customHeight="false" outlineLevel="0" collapsed="false">
      <c r="H206" s="74"/>
    </row>
    <row r="207" customFormat="false" ht="12.75" hidden="false" customHeight="false" outlineLevel="0" collapsed="false">
      <c r="H207" s="74"/>
    </row>
    <row r="208" customFormat="false" ht="12.75" hidden="false" customHeight="false" outlineLevel="0" collapsed="false">
      <c r="H208" s="74"/>
    </row>
    <row r="209" customFormat="false" ht="12.75" hidden="false" customHeight="false" outlineLevel="0" collapsed="false">
      <c r="H209" s="74"/>
    </row>
    <row r="210" customFormat="false" ht="12.75" hidden="false" customHeight="false" outlineLevel="0" collapsed="false">
      <c r="H210" s="74"/>
    </row>
    <row r="211" customFormat="false" ht="12.75" hidden="false" customHeight="false" outlineLevel="0" collapsed="false">
      <c r="H211" s="74"/>
    </row>
    <row r="212" customFormat="false" ht="12.75" hidden="false" customHeight="false" outlineLevel="0" collapsed="false">
      <c r="H212" s="74"/>
    </row>
    <row r="213" customFormat="false" ht="12.75" hidden="false" customHeight="false" outlineLevel="0" collapsed="false">
      <c r="H213" s="74"/>
    </row>
    <row r="214" customFormat="false" ht="12.75" hidden="false" customHeight="false" outlineLevel="0" collapsed="false">
      <c r="H214" s="74"/>
    </row>
    <row r="215" customFormat="false" ht="12.75" hidden="false" customHeight="false" outlineLevel="0" collapsed="false">
      <c r="H215" s="74"/>
    </row>
    <row r="216" customFormat="false" ht="12.75" hidden="false" customHeight="false" outlineLevel="0" collapsed="false">
      <c r="H216" s="74"/>
    </row>
    <row r="217" customFormat="false" ht="12.75" hidden="false" customHeight="false" outlineLevel="0" collapsed="false">
      <c r="H217" s="74"/>
    </row>
    <row r="218" customFormat="false" ht="12.75" hidden="false" customHeight="false" outlineLevel="0" collapsed="false">
      <c r="H218" s="74"/>
    </row>
    <row r="219" customFormat="false" ht="12.75" hidden="false" customHeight="false" outlineLevel="0" collapsed="false">
      <c r="H219" s="74"/>
    </row>
    <row r="220" customFormat="false" ht="12.75" hidden="false" customHeight="false" outlineLevel="0" collapsed="false">
      <c r="H220" s="74"/>
    </row>
    <row r="221" customFormat="false" ht="12.75" hidden="false" customHeight="false" outlineLevel="0" collapsed="false">
      <c r="H221" s="74"/>
    </row>
    <row r="222" customFormat="false" ht="12.75" hidden="false" customHeight="false" outlineLevel="0" collapsed="false">
      <c r="H222" s="74"/>
    </row>
    <row r="223" customFormat="false" ht="12.75" hidden="false" customHeight="false" outlineLevel="0" collapsed="false">
      <c r="H223" s="74"/>
    </row>
    <row r="224" customFormat="false" ht="12.75" hidden="false" customHeight="false" outlineLevel="0" collapsed="false">
      <c r="H224" s="74"/>
    </row>
    <row r="225" customFormat="false" ht="12.75" hidden="false" customHeight="false" outlineLevel="0" collapsed="false">
      <c r="H225" s="74"/>
    </row>
    <row r="226" customFormat="false" ht="12.75" hidden="false" customHeight="false" outlineLevel="0" collapsed="false">
      <c r="H226" s="74"/>
    </row>
    <row r="227" customFormat="false" ht="12.75" hidden="false" customHeight="false" outlineLevel="0" collapsed="false">
      <c r="H227" s="74"/>
    </row>
    <row r="228" customFormat="false" ht="12.75" hidden="false" customHeight="false" outlineLevel="0" collapsed="false">
      <c r="H228" s="74"/>
    </row>
    <row r="229" customFormat="false" ht="12.75" hidden="false" customHeight="false" outlineLevel="0" collapsed="false">
      <c r="H229" s="74"/>
    </row>
    <row r="230" customFormat="false" ht="12.75" hidden="false" customHeight="false" outlineLevel="0" collapsed="false">
      <c r="H230" s="74"/>
    </row>
    <row r="231" customFormat="false" ht="12.75" hidden="false" customHeight="false" outlineLevel="0" collapsed="false">
      <c r="H231" s="74"/>
    </row>
    <row r="232" customFormat="false" ht="12.75" hidden="false" customHeight="false" outlineLevel="0" collapsed="false">
      <c r="H232" s="74"/>
    </row>
    <row r="233" customFormat="false" ht="12.75" hidden="false" customHeight="false" outlineLevel="0" collapsed="false">
      <c r="H233" s="74"/>
    </row>
    <row r="234" customFormat="false" ht="12.75" hidden="false" customHeight="false" outlineLevel="0" collapsed="false">
      <c r="H234" s="74"/>
    </row>
    <row r="235" customFormat="false" ht="12.75" hidden="false" customHeight="false" outlineLevel="0" collapsed="false">
      <c r="H235" s="74"/>
    </row>
    <row r="236" customFormat="false" ht="12.75" hidden="false" customHeight="false" outlineLevel="0" collapsed="false">
      <c r="H236" s="74"/>
    </row>
    <row r="237" customFormat="false" ht="12.75" hidden="false" customHeight="false" outlineLevel="0" collapsed="false">
      <c r="H237" s="74"/>
    </row>
    <row r="238" customFormat="false" ht="12.75" hidden="false" customHeight="false" outlineLevel="0" collapsed="false">
      <c r="H238" s="74"/>
    </row>
    <row r="239" customFormat="false" ht="12.75" hidden="false" customHeight="false" outlineLevel="0" collapsed="false">
      <c r="H239" s="74"/>
    </row>
    <row r="240" customFormat="false" ht="12.75" hidden="false" customHeight="false" outlineLevel="0" collapsed="false">
      <c r="H240" s="74"/>
    </row>
    <row r="241" customFormat="false" ht="12.75" hidden="false" customHeight="false" outlineLevel="0" collapsed="false">
      <c r="H241" s="74"/>
    </row>
    <row r="242" customFormat="false" ht="12.75" hidden="false" customHeight="false" outlineLevel="0" collapsed="false">
      <c r="H242" s="74"/>
    </row>
    <row r="243" customFormat="false" ht="12.75" hidden="false" customHeight="false" outlineLevel="0" collapsed="false">
      <c r="H243" s="74"/>
    </row>
    <row r="244" customFormat="false" ht="12.75" hidden="false" customHeight="false" outlineLevel="0" collapsed="false">
      <c r="H244" s="74"/>
    </row>
    <row r="245" customFormat="false" ht="12.75" hidden="false" customHeight="false" outlineLevel="0" collapsed="false">
      <c r="H245" s="74"/>
    </row>
    <row r="246" customFormat="false" ht="12.75" hidden="false" customHeight="false" outlineLevel="0" collapsed="false">
      <c r="H246" s="74"/>
    </row>
    <row r="247" customFormat="false" ht="12.75" hidden="false" customHeight="false" outlineLevel="0" collapsed="false">
      <c r="H247" s="74"/>
    </row>
    <row r="248" customFormat="false" ht="12.75" hidden="false" customHeight="false" outlineLevel="0" collapsed="false">
      <c r="H248" s="74"/>
    </row>
    <row r="249" customFormat="false" ht="12.75" hidden="false" customHeight="false" outlineLevel="0" collapsed="false">
      <c r="H249" s="74"/>
    </row>
    <row r="250" customFormat="false" ht="12.75" hidden="false" customHeight="false" outlineLevel="0" collapsed="false">
      <c r="H250" s="74"/>
    </row>
    <row r="251" customFormat="false" ht="12.75" hidden="false" customHeight="false" outlineLevel="0" collapsed="false">
      <c r="H251" s="74"/>
    </row>
    <row r="252" customFormat="false" ht="12.75" hidden="false" customHeight="false" outlineLevel="0" collapsed="false">
      <c r="H252" s="74"/>
    </row>
    <row r="253" customFormat="false" ht="12.75" hidden="false" customHeight="false" outlineLevel="0" collapsed="false">
      <c r="H253" s="74"/>
    </row>
    <row r="254" customFormat="false" ht="12.75" hidden="false" customHeight="false" outlineLevel="0" collapsed="false">
      <c r="H254" s="74"/>
    </row>
    <row r="255" customFormat="false" ht="12.75" hidden="false" customHeight="false" outlineLevel="0" collapsed="false">
      <c r="H255" s="74"/>
    </row>
    <row r="256" customFormat="false" ht="12.75" hidden="false" customHeight="false" outlineLevel="0" collapsed="false">
      <c r="H256" s="74"/>
    </row>
    <row r="257" customFormat="false" ht="12.75" hidden="false" customHeight="false" outlineLevel="0" collapsed="false">
      <c r="H257" s="74"/>
    </row>
    <row r="258" customFormat="false" ht="12.75" hidden="false" customHeight="false" outlineLevel="0" collapsed="false">
      <c r="H258" s="74"/>
    </row>
    <row r="259" customFormat="false" ht="12.75" hidden="false" customHeight="false" outlineLevel="0" collapsed="false">
      <c r="H259" s="74"/>
    </row>
    <row r="260" customFormat="false" ht="12.75" hidden="false" customHeight="false" outlineLevel="0" collapsed="false">
      <c r="H260" s="74"/>
    </row>
    <row r="261" customFormat="false" ht="12.75" hidden="false" customHeight="false" outlineLevel="0" collapsed="false">
      <c r="H261" s="74"/>
    </row>
    <row r="262" customFormat="false" ht="12.75" hidden="false" customHeight="false" outlineLevel="0" collapsed="false">
      <c r="H262" s="74"/>
    </row>
    <row r="263" customFormat="false" ht="12.75" hidden="false" customHeight="false" outlineLevel="0" collapsed="false">
      <c r="H263" s="74"/>
    </row>
    <row r="264" customFormat="false" ht="12.75" hidden="false" customHeight="false" outlineLevel="0" collapsed="false">
      <c r="H264" s="74"/>
    </row>
    <row r="265" customFormat="false" ht="12.75" hidden="false" customHeight="false" outlineLevel="0" collapsed="false">
      <c r="H265" s="74"/>
    </row>
    <row r="266" customFormat="false" ht="12.75" hidden="false" customHeight="false" outlineLevel="0" collapsed="false">
      <c r="H266" s="74"/>
    </row>
    <row r="267" customFormat="false" ht="12.75" hidden="false" customHeight="false" outlineLevel="0" collapsed="false">
      <c r="H267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2" width="9.14"/>
    <col collapsed="false" customWidth="true" hidden="false" outlineLevel="0" max="2" min="2" style="0" width="16.28"/>
    <col collapsed="false" customWidth="true" hidden="false" outlineLevel="0" max="3" min="3" style="0" width="16.13"/>
    <col collapsed="false" customWidth="true" hidden="false" outlineLevel="0" max="4" min="4" style="0" width="12.85"/>
    <col collapsed="false" customWidth="true" hidden="false" outlineLevel="0" max="5" min="5" style="0" width="16.56"/>
    <col collapsed="false" customWidth="true" hidden="false" outlineLevel="0" max="9" min="9" style="0" width="15.28"/>
  </cols>
  <sheetData>
    <row r="1" customFormat="false" ht="12.75" hidden="false" customHeight="false" outlineLevel="0" collapsed="false">
      <c r="B1" s="92" t="s">
        <v>58</v>
      </c>
      <c r="C1" s="92" t="s">
        <v>19</v>
      </c>
      <c r="D1" s="92" t="s">
        <v>59</v>
      </c>
      <c r="E1" s="92" t="s">
        <v>20</v>
      </c>
      <c r="F1" s="92"/>
      <c r="G1" s="92" t="s">
        <v>60</v>
      </c>
      <c r="H1" s="92"/>
      <c r="I1" s="92" t="s">
        <v>61</v>
      </c>
    </row>
    <row r="2" customFormat="false" ht="12.75" hidden="false" customHeight="false" outlineLevel="0" collapsed="false">
      <c r="A2" s="7" t="n">
        <v>36647</v>
      </c>
      <c r="B2" s="93" t="n">
        <v>-0.005</v>
      </c>
      <c r="C2" s="93" t="n">
        <v>-0.005</v>
      </c>
      <c r="D2" s="93" t="n">
        <v>-0.025</v>
      </c>
      <c r="E2" s="93" t="n">
        <v>-0.005</v>
      </c>
    </row>
    <row r="3" customFormat="false" ht="12.75" hidden="false" customHeight="false" outlineLevel="0" collapsed="false">
      <c r="A3" s="7" t="n">
        <v>36678</v>
      </c>
      <c r="B3" s="93" t="n">
        <v>-0.005</v>
      </c>
      <c r="C3" s="93" t="n">
        <v>-0.005</v>
      </c>
      <c r="D3" s="93" t="n">
        <v>-0.02</v>
      </c>
      <c r="E3" s="93" t="n">
        <v>-0.005</v>
      </c>
    </row>
    <row r="4" customFormat="false" ht="12.75" hidden="false" customHeight="false" outlineLevel="0" collapsed="false">
      <c r="A4" s="7" t="n">
        <v>36708</v>
      </c>
      <c r="B4" s="93" t="n">
        <v>0</v>
      </c>
      <c r="C4" s="93" t="n">
        <v>0</v>
      </c>
      <c r="D4" s="93" t="n">
        <v>-0.0175</v>
      </c>
      <c r="E4" s="93" t="n">
        <v>-0.005</v>
      </c>
    </row>
    <row r="5" customFormat="false" ht="12.75" hidden="false" customHeight="false" outlineLevel="0" collapsed="false">
      <c r="A5" s="7" t="n">
        <v>36739</v>
      </c>
      <c r="B5" s="93" t="n">
        <v>0</v>
      </c>
      <c r="C5" s="93" t="n">
        <v>0</v>
      </c>
      <c r="D5" s="93" t="n">
        <v>-0.0175</v>
      </c>
      <c r="E5" s="93" t="n">
        <v>-0.005</v>
      </c>
    </row>
    <row r="6" customFormat="false" ht="12.75" hidden="false" customHeight="false" outlineLevel="0" collapsed="false">
      <c r="A6" s="7" t="n">
        <v>36770</v>
      </c>
      <c r="B6" s="93" t="n">
        <v>0</v>
      </c>
      <c r="C6" s="93" t="n">
        <v>0</v>
      </c>
      <c r="D6" s="93" t="n">
        <v>-0.02</v>
      </c>
      <c r="E6" s="93" t="n">
        <v>-0.005</v>
      </c>
    </row>
    <row r="7" customFormat="false" ht="12.75" hidden="false" customHeight="false" outlineLevel="0" collapsed="false">
      <c r="A7" s="7" t="n">
        <v>36800</v>
      </c>
      <c r="B7" s="93" t="n">
        <v>-0.005</v>
      </c>
      <c r="C7" s="93" t="n">
        <v>-0.005</v>
      </c>
      <c r="D7" s="93" t="n">
        <v>-0.025</v>
      </c>
      <c r="E7" s="93" t="n">
        <v>-0.005</v>
      </c>
    </row>
    <row r="8" customFormat="false" ht="12.75" hidden="false" customHeight="false" outlineLevel="0" collapsed="false">
      <c r="A8" s="7" t="n">
        <v>36831</v>
      </c>
      <c r="B8" s="93" t="n">
        <v>-0.005</v>
      </c>
      <c r="C8" s="93" t="n">
        <v>-0.005</v>
      </c>
      <c r="D8" s="93" t="n">
        <v>-0.03</v>
      </c>
      <c r="E8" s="93" t="n">
        <v>-0.005</v>
      </c>
    </row>
    <row r="9" customFormat="false" ht="12.75" hidden="false" customHeight="false" outlineLevel="0" collapsed="false">
      <c r="A9" s="7" t="n">
        <v>36861</v>
      </c>
      <c r="B9" s="93" t="n">
        <v>0</v>
      </c>
      <c r="C9" s="93" t="n">
        <v>0</v>
      </c>
      <c r="D9" s="93" t="n">
        <v>-0.035</v>
      </c>
      <c r="E9" s="93" t="n">
        <v>-0.005</v>
      </c>
    </row>
    <row r="10" customFormat="false" ht="12.75" hidden="false" customHeight="false" outlineLevel="0" collapsed="false">
      <c r="A10" s="7" t="n">
        <v>36892</v>
      </c>
      <c r="B10" s="93" t="n">
        <v>0</v>
      </c>
      <c r="C10" s="93" t="n">
        <v>0</v>
      </c>
      <c r="D10" s="93" t="n">
        <v>-0.035</v>
      </c>
      <c r="E10" s="93" t="n">
        <v>-0.005</v>
      </c>
    </row>
    <row r="11" customFormat="false" ht="12.75" hidden="false" customHeight="false" outlineLevel="0" collapsed="false">
      <c r="A11" s="7" t="n">
        <v>36923</v>
      </c>
      <c r="B11" s="93" t="n">
        <v>0</v>
      </c>
      <c r="C11" s="93" t="n">
        <v>0</v>
      </c>
      <c r="D11" s="93" t="n">
        <v>-0.035</v>
      </c>
      <c r="E11" s="93" t="n">
        <v>-0.005</v>
      </c>
    </row>
    <row r="12" customFormat="false" ht="12.75" hidden="false" customHeight="false" outlineLevel="0" collapsed="false">
      <c r="A12" s="7" t="n">
        <v>36951</v>
      </c>
      <c r="B12" s="93" t="n">
        <v>0</v>
      </c>
      <c r="C12" s="93" t="n">
        <v>0</v>
      </c>
      <c r="D12" s="93" t="n">
        <v>-0.035</v>
      </c>
      <c r="E12" s="93" t="n">
        <v>-0.005</v>
      </c>
    </row>
    <row r="13" customFormat="false" ht="12.75" hidden="false" customHeight="false" outlineLevel="0" collapsed="false">
      <c r="A13" s="7" t="n">
        <v>36982</v>
      </c>
      <c r="B13" s="93" t="n">
        <v>-0.005</v>
      </c>
      <c r="C13" s="93" t="n">
        <v>-0.005</v>
      </c>
      <c r="D13" s="93" t="n">
        <v>-0.03</v>
      </c>
      <c r="E13" s="93" t="n">
        <v>-0.005</v>
      </c>
    </row>
    <row r="14" customFormat="false" ht="12.75" hidden="false" customHeight="false" outlineLevel="0" collapsed="false">
      <c r="A14" s="7" t="n">
        <v>37012</v>
      </c>
      <c r="B14" s="93" t="n">
        <v>-0.005</v>
      </c>
      <c r="C14" s="93" t="n">
        <v>-0.005</v>
      </c>
      <c r="D14" s="93" t="n">
        <v>-0.025</v>
      </c>
      <c r="E14" s="93" t="n">
        <v>-0.005</v>
      </c>
    </row>
    <row r="15" customFormat="false" ht="12.75" hidden="false" customHeight="false" outlineLevel="0" collapsed="false">
      <c r="A15" s="7" t="n">
        <v>37043</v>
      </c>
      <c r="B15" s="93" t="n">
        <v>-0.005</v>
      </c>
      <c r="C15" s="93" t="n">
        <v>-0.005</v>
      </c>
      <c r="D15" s="93" t="n">
        <v>-0.02</v>
      </c>
      <c r="E15" s="93" t="n">
        <v>-0.005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4: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2.99"/>
    <col collapsed="false" customWidth="true" hidden="false" outlineLevel="0" max="3" min="3" style="0" width="9.85"/>
    <col collapsed="false" customWidth="true" hidden="false" outlineLevel="0" max="4" min="4" style="0" width="11.85"/>
    <col collapsed="false" customWidth="true" hidden="false" outlineLevel="0" max="5" min="5" style="0" width="21.99"/>
  </cols>
  <sheetData>
    <row r="2" customFormat="false" ht="12.75" hidden="false" customHeight="false" outlineLevel="0" collapsed="false">
      <c r="A2" s="94" t="s">
        <v>62</v>
      </c>
      <c r="B2" s="94" t="s">
        <v>63</v>
      </c>
      <c r="C2" s="94" t="s">
        <v>64</v>
      </c>
      <c r="D2" s="94" t="s">
        <v>65</v>
      </c>
      <c r="E2" s="94" t="s">
        <v>66</v>
      </c>
    </row>
    <row r="3" customFormat="false" ht="12.75" hidden="false" customHeight="false" outlineLevel="0" collapsed="false">
      <c r="A3" s="94"/>
      <c r="B3" s="94"/>
      <c r="C3" s="94"/>
      <c r="D3" s="94"/>
      <c r="E3" s="94"/>
    </row>
    <row r="4" customFormat="false" ht="12.75" hidden="false" customHeight="false" outlineLevel="0" collapsed="false">
      <c r="A4" s="3" t="s">
        <v>67</v>
      </c>
      <c r="B4" s="3" t="n">
        <v>1412</v>
      </c>
      <c r="C4" s="3" t="n">
        <v>6</v>
      </c>
      <c r="D4" s="3" t="s">
        <v>68</v>
      </c>
      <c r="E4" s="3" t="s">
        <v>69</v>
      </c>
    </row>
    <row r="5" customFormat="false" ht="12.75" hidden="false" customHeight="false" outlineLevel="0" collapsed="false">
      <c r="A5" s="3" t="s">
        <v>70</v>
      </c>
      <c r="B5" s="3" t="n">
        <v>1401</v>
      </c>
      <c r="C5" s="3" t="n">
        <v>4</v>
      </c>
      <c r="D5" s="3" t="s">
        <v>71</v>
      </c>
      <c r="E5" s="3" t="s">
        <v>69</v>
      </c>
    </row>
    <row r="6" customFormat="false" ht="12.75" hidden="false" customHeight="false" outlineLevel="0" collapsed="false">
      <c r="A6" s="3" t="s">
        <v>72</v>
      </c>
      <c r="B6" s="3" t="n">
        <v>1480</v>
      </c>
      <c r="C6" s="3" t="n">
        <v>16</v>
      </c>
      <c r="D6" s="3" t="s">
        <v>73</v>
      </c>
      <c r="E6" s="3" t="s">
        <v>60</v>
      </c>
    </row>
    <row r="7" customFormat="false" ht="12.75" hidden="false" customHeight="false" outlineLevel="0" collapsed="false">
      <c r="A7" s="3" t="s">
        <v>74</v>
      </c>
      <c r="B7" s="3" t="n">
        <v>1393</v>
      </c>
      <c r="C7" s="3" t="n">
        <v>17</v>
      </c>
      <c r="D7" s="3" t="s">
        <v>75</v>
      </c>
      <c r="E7" s="3" t="s">
        <v>60</v>
      </c>
    </row>
    <row r="8" customFormat="false" ht="12.75" hidden="false" customHeight="false" outlineLevel="0" collapsed="false">
      <c r="A8" s="3" t="s">
        <v>76</v>
      </c>
      <c r="B8" s="3" t="n">
        <v>1396</v>
      </c>
      <c r="C8" s="3" t="n">
        <v>10</v>
      </c>
      <c r="D8" s="3" t="s">
        <v>77</v>
      </c>
      <c r="E8" s="3" t="s">
        <v>60</v>
      </c>
    </row>
    <row r="9" customFormat="false" ht="12.75" hidden="false" customHeight="false" outlineLevel="0" collapsed="false">
      <c r="A9" s="3"/>
      <c r="B9" s="3"/>
      <c r="C9" s="3"/>
      <c r="D9" s="3"/>
      <c r="E9" s="3"/>
    </row>
    <row r="16" customFormat="false" ht="12.75" hidden="false" customHeight="false" outlineLevel="0" collapsed="false">
      <c r="A16" s="95"/>
      <c r="B16" s="96"/>
      <c r="C16" s="3"/>
      <c r="D16" s="3"/>
      <c r="E16" s="3"/>
    </row>
    <row r="17" customFormat="false" ht="12.75" hidden="false" customHeight="false" outlineLevel="0" collapsed="false">
      <c r="A17" s="95"/>
      <c r="B17" s="96"/>
      <c r="C17" s="3"/>
      <c r="D17" s="3"/>
      <c r="E17" s="3"/>
    </row>
    <row r="18" customFormat="false" ht="12.75" hidden="false" customHeight="false" outlineLevel="0" collapsed="false">
      <c r="A18" s="95"/>
      <c r="B18" s="96"/>
      <c r="C18" s="3"/>
      <c r="D18" s="3"/>
      <c r="E18" s="3"/>
    </row>
    <row r="19" customFormat="false" ht="12.75" hidden="false" customHeight="false" outlineLevel="0" collapsed="false">
      <c r="A19" s="95"/>
      <c r="B19" s="96"/>
      <c r="C19" s="3"/>
      <c r="D19" s="3"/>
      <c r="E19" s="3"/>
    </row>
    <row r="20" customFormat="false" ht="12.75" hidden="false" customHeight="false" outlineLevel="0" collapsed="false">
      <c r="A20" s="95"/>
      <c r="B20" s="96"/>
      <c r="C20" s="3"/>
      <c r="D20" s="3"/>
      <c r="E20" s="3"/>
    </row>
    <row r="21" customFormat="false" ht="12.75" hidden="false" customHeight="false" outlineLevel="0" collapsed="false">
      <c r="A21" s="95"/>
      <c r="B21" s="96"/>
      <c r="C21" s="3"/>
      <c r="D21" s="3"/>
      <c r="E21" s="3"/>
    </row>
    <row r="22" customFormat="false" ht="12.75" hidden="false" customHeight="false" outlineLevel="0" collapsed="false">
      <c r="A22" s="95"/>
      <c r="B22" s="96"/>
      <c r="C22" s="3"/>
      <c r="D22" s="3"/>
      <c r="E22" s="3"/>
    </row>
    <row r="23" customFormat="false" ht="12.75" hidden="false" customHeight="false" outlineLevel="0" collapsed="false">
      <c r="A23" s="95"/>
      <c r="B23" s="96"/>
      <c r="C23" s="3"/>
      <c r="D23" s="3"/>
      <c r="E23" s="3"/>
    </row>
    <row r="24" customFormat="false" ht="12.75" hidden="false" customHeight="false" outlineLevel="0" collapsed="false">
      <c r="A24" s="95"/>
      <c r="B24" s="96"/>
      <c r="C24" s="3"/>
      <c r="D24" s="3"/>
      <c r="E24" s="3"/>
    </row>
    <row r="25" customFormat="false" ht="12.75" hidden="false" customHeight="false" outlineLevel="0" collapsed="false">
      <c r="A25" s="95"/>
      <c r="B25" s="96"/>
      <c r="C25" s="3"/>
      <c r="D25" s="3"/>
      <c r="E25" s="3"/>
    </row>
    <row r="26" customFormat="false" ht="12.75" hidden="false" customHeight="false" outlineLevel="0" collapsed="false">
      <c r="A26" s="95"/>
      <c r="B26" s="96"/>
      <c r="C26" s="3"/>
      <c r="D26" s="3"/>
      <c r="E26" s="3"/>
    </row>
    <row r="27" customFormat="false" ht="12.75" hidden="false" customHeight="false" outlineLevel="0" collapsed="false">
      <c r="A27" s="95"/>
      <c r="B27" s="96"/>
      <c r="C27" s="3"/>
      <c r="D27" s="3"/>
      <c r="E27" s="3"/>
    </row>
    <row r="28" customFormat="false" ht="12.75" hidden="false" customHeight="false" outlineLevel="0" collapsed="false">
      <c r="A28" s="95"/>
      <c r="B28" s="96"/>
      <c r="C28" s="3"/>
      <c r="D28" s="3"/>
      <c r="E28" s="3"/>
    </row>
    <row r="29" customFormat="false" ht="12.75" hidden="false" customHeight="false" outlineLevel="0" collapsed="false">
      <c r="A29" s="95"/>
      <c r="B29" s="96"/>
      <c r="C29" s="3"/>
      <c r="D29" s="3"/>
      <c r="E2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19" activeCellId="0" sqref="D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13.99"/>
    <col collapsed="false" customWidth="true" hidden="false" outlineLevel="0" max="2" min="2" style="97" width="11.28"/>
    <col collapsed="false" customWidth="true" hidden="false" outlineLevel="0" max="3" min="3" style="97" width="18.99"/>
    <col collapsed="false" customWidth="true" hidden="false" outlineLevel="0" max="4" min="4" style="97" width="14.56"/>
    <col collapsed="false" customWidth="true" hidden="false" outlineLevel="0" max="5" min="5" style="97" width="15.85"/>
    <col collapsed="false" customWidth="true" hidden="false" outlineLevel="0" max="7" min="6" style="97" width="14.56"/>
    <col collapsed="false" customWidth="true" hidden="false" outlineLevel="0" max="8" min="8" style="97" width="14.41"/>
    <col collapsed="false" customWidth="true" hidden="false" outlineLevel="0" max="11" min="9" style="97" width="14.56"/>
    <col collapsed="false" customWidth="true" hidden="false" outlineLevel="0" max="12" min="12" style="97" width="12.85"/>
    <col collapsed="false" customWidth="true" hidden="false" outlineLevel="0" max="13" min="13" style="97" width="13.7"/>
    <col collapsed="false" customWidth="true" hidden="false" outlineLevel="0" max="14" min="14" style="97" width="12.56"/>
    <col collapsed="false" customWidth="true" hidden="false" outlineLevel="0" max="15" min="15" style="97" width="17.99"/>
    <col collapsed="false" customWidth="true" hidden="false" outlineLevel="0" max="16" min="16" style="97" width="14.56"/>
    <col collapsed="false" customWidth="true" hidden="false" outlineLevel="0" max="20" min="17" style="97" width="17.99"/>
    <col collapsed="false" customWidth="true" hidden="false" outlineLevel="0" max="21" min="21" style="97" width="12.7"/>
    <col collapsed="false" customWidth="true" hidden="false" outlineLevel="0" max="22" min="22" style="97" width="17.99"/>
    <col collapsed="false" customWidth="true" hidden="false" outlineLevel="0" max="23" min="23" style="97" width="15.41"/>
    <col collapsed="false" customWidth="true" hidden="false" outlineLevel="0" max="24" min="24" style="97" width="14.7"/>
    <col collapsed="false" customWidth="true" hidden="false" outlineLevel="0" max="25" min="25" style="97" width="10.13"/>
    <col collapsed="false" customWidth="true" hidden="false" outlineLevel="0" max="26" min="26" style="97" width="10.41"/>
    <col collapsed="false" customWidth="false" hidden="false" outlineLevel="0" max="27" min="27" style="97" width="9.14"/>
    <col collapsed="false" customWidth="true" hidden="false" outlineLevel="0" max="28" min="28" style="97" width="10.85"/>
    <col collapsed="false" customWidth="false" hidden="false" outlineLevel="0" max="257" min="29" style="97" width="9.14"/>
  </cols>
  <sheetData>
    <row r="1" customFormat="false" ht="12.75" hidden="false" customHeight="false" outlineLevel="0" collapsed="false">
      <c r="A1" s="98" t="s">
        <v>78</v>
      </c>
      <c r="B1" s="99" t="n">
        <f aca="true">TODAY()</f>
        <v>45926</v>
      </c>
      <c r="E1" s="100" t="s">
        <v>79</v>
      </c>
      <c r="F1" s="101" t="n">
        <v>0</v>
      </c>
      <c r="G1" s="102" t="s">
        <v>80</v>
      </c>
      <c r="H1" s="101" t="n">
        <v>0.0452238743134518</v>
      </c>
      <c r="R1" s="103" t="s">
        <v>81</v>
      </c>
      <c r="S1" s="104" t="n">
        <v>0.04</v>
      </c>
      <c r="T1" s="104" t="n">
        <v>0.033</v>
      </c>
    </row>
    <row r="2" customFormat="false" ht="12.75" hidden="false" customHeight="false" outlineLevel="0" collapsed="false">
      <c r="E2" s="100" t="s">
        <v>82</v>
      </c>
      <c r="F2" s="101" t="n">
        <v>-0.005</v>
      </c>
      <c r="G2" s="105"/>
    </row>
    <row r="3" customFormat="false" ht="12.75" hidden="false" customHeight="false" outlineLevel="0" collapsed="false">
      <c r="F3" s="106"/>
      <c r="G3" s="106"/>
      <c r="H3" s="106"/>
      <c r="I3" s="106"/>
      <c r="J3" s="105"/>
      <c r="K3" s="105"/>
      <c r="N3" s="107" t="n">
        <f aca="false">+H1-F1</f>
        <v>0.0452238743134518</v>
      </c>
    </row>
    <row r="4" customFormat="false" ht="12.75" hidden="false" customHeight="false" outlineLevel="0" collapsed="false">
      <c r="A4" s="108"/>
      <c r="B4" s="109"/>
      <c r="C4" s="109"/>
      <c r="D4" s="110" t="s">
        <v>83</v>
      </c>
      <c r="E4" s="110"/>
      <c r="F4" s="110"/>
      <c r="G4" s="110"/>
      <c r="H4" s="110"/>
      <c r="I4" s="110" t="s">
        <v>84</v>
      </c>
      <c r="J4" s="110"/>
      <c r="K4" s="110"/>
      <c r="L4" s="110" t="s">
        <v>85</v>
      </c>
      <c r="M4" s="110"/>
      <c r="N4" s="109"/>
      <c r="O4" s="110" t="s">
        <v>86</v>
      </c>
      <c r="P4" s="110"/>
      <c r="Q4" s="110"/>
      <c r="R4" s="110" t="s">
        <v>87</v>
      </c>
      <c r="S4" s="110"/>
      <c r="T4" s="110" t="s">
        <v>88</v>
      </c>
      <c r="U4" s="111"/>
      <c r="V4" s="112"/>
      <c r="W4" s="113"/>
      <c r="X4" s="114" t="s">
        <v>89</v>
      </c>
      <c r="Y4" s="114"/>
      <c r="Z4" s="114"/>
      <c r="AA4" s="114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customFormat="false" ht="25.5" hidden="false" customHeight="false" outlineLevel="0" collapsed="false">
      <c r="A5" s="115" t="s">
        <v>1</v>
      </c>
      <c r="B5" s="116" t="s">
        <v>90</v>
      </c>
      <c r="C5" s="116" t="s">
        <v>91</v>
      </c>
      <c r="D5" s="116" t="s">
        <v>92</v>
      </c>
      <c r="E5" s="116" t="s">
        <v>60</v>
      </c>
      <c r="F5" s="116" t="s">
        <v>93</v>
      </c>
      <c r="G5" s="116" t="s">
        <v>60</v>
      </c>
      <c r="H5" s="116" t="s">
        <v>94</v>
      </c>
      <c r="I5" s="116" t="str">
        <f aca="false">+F5</f>
        <v>IF-A/S EAST OFFER</v>
      </c>
      <c r="J5" s="116" t="str">
        <f aca="false">+G5</f>
        <v>HSC</v>
      </c>
      <c r="K5" s="116" t="s">
        <v>94</v>
      </c>
      <c r="L5" s="116" t="str">
        <f aca="false">+F5</f>
        <v>IF-A/S EAST OFFER</v>
      </c>
      <c r="M5" s="116" t="str">
        <f aca="false">+G5</f>
        <v>HSC</v>
      </c>
      <c r="N5" s="116" t="s">
        <v>95</v>
      </c>
      <c r="O5" s="116" t="str">
        <f aca="false">+F5</f>
        <v>IF-A/S EAST OFFER</v>
      </c>
      <c r="P5" s="116" t="str">
        <f aca="false">+G5</f>
        <v>HSC</v>
      </c>
      <c r="Q5" s="116" t="s">
        <v>94</v>
      </c>
      <c r="R5" s="116" t="s">
        <v>96</v>
      </c>
      <c r="S5" s="116" t="s">
        <v>97</v>
      </c>
      <c r="T5" s="116" t="s">
        <v>97</v>
      </c>
      <c r="U5" s="117" t="s">
        <v>98</v>
      </c>
      <c r="V5" s="118" t="s">
        <v>99</v>
      </c>
      <c r="W5" s="119"/>
      <c r="X5" s="120" t="s">
        <v>100</v>
      </c>
      <c r="Y5" s="121" t="s">
        <v>101</v>
      </c>
      <c r="Z5" s="121" t="s">
        <v>102</v>
      </c>
      <c r="AA5" s="122" t="s">
        <v>103</v>
      </c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12.75" hidden="false" customHeight="false" outlineLevel="0" collapsed="false">
      <c r="A6" s="123"/>
      <c r="B6" s="123"/>
      <c r="N6" s="124"/>
      <c r="R6" s="125"/>
      <c r="X6" s="126" t="n">
        <f aca="false">+$AA$6-SUM($Y$6:Z6)</f>
        <v>-0.000605727665086903</v>
      </c>
      <c r="Y6" s="127" t="n">
        <f aca="false">+$S$13/$K$13</f>
        <v>0.0128296019785387</v>
      </c>
      <c r="Z6" s="127" t="n">
        <f aca="false">+$T$1</f>
        <v>0.033</v>
      </c>
      <c r="AA6" s="128" t="n">
        <f aca="false">+$H$1</f>
        <v>0.0452238743134518</v>
      </c>
    </row>
    <row r="7" customFormat="false" ht="15" hidden="false" customHeight="false" outlineLevel="0" collapsed="false">
      <c r="A7" s="129" t="n">
        <v>36647</v>
      </c>
      <c r="B7" s="130" t="n">
        <f aca="false">+'GD Options'!M5</f>
        <v>0.061739896749392</v>
      </c>
      <c r="C7" s="131" t="n">
        <f aca="false">1/((1+B7/2)^(2*(A7-$B$1)/365.25))</f>
        <v>4.68679942932618</v>
      </c>
      <c r="D7" s="132" t="n">
        <f aca="false">IF($D$18=1,-'Deal Volumes'!D22-'Deal Volumes'!H22,'Model - Summer'!$D$19)</f>
        <v>-65914.0850236965</v>
      </c>
      <c r="E7" s="133" t="n">
        <f aca="false">IF($D$18=1,-'Deal Volumes'!F22-'Deal Volumes'!J22-'Deal Volumes'!L22,'Model - Summer'!$D$20)</f>
        <v>-9085.9149763035</v>
      </c>
      <c r="F7" s="134" t="n">
        <f aca="false">+(D7)*'Deal Volumes'!B22</f>
        <v>-2043336.63573459</v>
      </c>
      <c r="G7" s="133" t="n">
        <f aca="false">+E7*'Deal Volumes'!B22</f>
        <v>-281663.364265408</v>
      </c>
      <c r="H7" s="133" t="n">
        <f aca="false">+F7+G7</f>
        <v>-2325000</v>
      </c>
      <c r="I7" s="132" t="n">
        <f aca="false">+F7*$C7</f>
        <v>-9576708.97828216</v>
      </c>
      <c r="J7" s="134" t="n">
        <f aca="false">+G7*$C7</f>
        <v>-1320099.69490121</v>
      </c>
      <c r="K7" s="135" t="n">
        <f aca="false">SUM(I7:J7)</f>
        <v>-10896808.6731834</v>
      </c>
      <c r="L7" s="136" t="n">
        <f aca="false">+Curves!C2</f>
        <v>-0.005</v>
      </c>
      <c r="M7" s="137" t="n">
        <f aca="false">+Curves!E2</f>
        <v>-0.005</v>
      </c>
      <c r="N7" s="138" t="n">
        <f aca="false">+I7*(L7-$H$1)+J7*(M7-$H$1)</f>
        <v>547279.949219693</v>
      </c>
      <c r="O7" s="139" t="n">
        <f aca="false">-I7*(L7-$F$1)</f>
        <v>-47883.5448914108</v>
      </c>
      <c r="P7" s="140" t="n">
        <f aca="false">-J7*(M7-$F$2)</f>
        <v>0</v>
      </c>
      <c r="Q7" s="139" t="n">
        <f aca="false">SUM(O7:P7)</f>
        <v>-47883.5448914108</v>
      </c>
      <c r="R7" s="141" t="n">
        <f aca="false">-'Deal Volumes'!C22*C7</f>
        <v>-3495042.95283077</v>
      </c>
      <c r="S7" s="142" t="n">
        <f aca="false">+R7*$S$1</f>
        <v>-139801.718113231</v>
      </c>
      <c r="T7" s="132" t="n">
        <f aca="false">+$T$1*K7</f>
        <v>-359594.686215051</v>
      </c>
      <c r="U7" s="143" t="n">
        <f aca="false">+Q7+T7+S7</f>
        <v>-547279.949219693</v>
      </c>
      <c r="V7" s="144" t="n">
        <f aca="false">+N7+U7</f>
        <v>0</v>
      </c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" hidden="false" customHeight="false" outlineLevel="0" collapsed="false">
      <c r="A8" s="129" t="n">
        <v>36678</v>
      </c>
      <c r="B8" s="145" t="n">
        <f aca="false">+'GD Options'!M6</f>
        <v>0.062588347760124</v>
      </c>
      <c r="C8" s="146" t="n">
        <f aca="false">1/((1+B8/2)^(2*(A8-$B$1)/365.25))</f>
        <v>4.76083937441728</v>
      </c>
      <c r="D8" s="147" t="n">
        <f aca="false">IF($D$18=1,-'Deal Volumes'!D23-'Deal Volumes'!H23,'Model - Summer'!$D$19)</f>
        <v>-65914.0850236965</v>
      </c>
      <c r="E8" s="148" t="n">
        <f aca="false">IF($D$18=1,-'Deal Volumes'!F23-'Deal Volumes'!J23-'Deal Volumes'!L23,'Model - Summer'!$D$20)</f>
        <v>-9085.91497630349</v>
      </c>
      <c r="F8" s="149" t="n">
        <f aca="false">+(D8)*'Deal Volumes'!B23</f>
        <v>-1977422.5507109</v>
      </c>
      <c r="G8" s="148" t="n">
        <f aca="false">+E8*'Deal Volumes'!B23</f>
        <v>-272577.449289105</v>
      </c>
      <c r="H8" s="148" t="n">
        <f aca="false">+F8+G8</f>
        <v>-2250000</v>
      </c>
      <c r="I8" s="147" t="n">
        <f aca="false">+F8*$C8</f>
        <v>-9414191.13928507</v>
      </c>
      <c r="J8" s="149" t="n">
        <f aca="false">+G8*$C8</f>
        <v>-1297697.4531538</v>
      </c>
      <c r="K8" s="150" t="n">
        <f aca="false">SUM(I8:J8)</f>
        <v>-10711888.5924389</v>
      </c>
      <c r="L8" s="151" t="n">
        <f aca="false">+Curves!C3</f>
        <v>-0.005</v>
      </c>
      <c r="M8" s="152" t="n">
        <f aca="false">+Curves!E3</f>
        <v>-0.005</v>
      </c>
      <c r="N8" s="153" t="n">
        <f aca="false">+I8*(L8-$H$1)+J8*(M8-$H$1)</f>
        <v>537992.546326348</v>
      </c>
      <c r="O8" s="154" t="n">
        <f aca="false">-I8*(L8-$F$1)</f>
        <v>-47070.9556964254</v>
      </c>
      <c r="P8" s="155" t="n">
        <f aca="false">-J8*(M8-$F$2)</f>
        <v>0</v>
      </c>
      <c r="Q8" s="154" t="n">
        <f aca="false">SUM(O8:P8)</f>
        <v>-47070.9556964254</v>
      </c>
      <c r="R8" s="156" t="n">
        <f aca="false">-'Deal Volumes'!C23*C8</f>
        <v>-3435731.67698599</v>
      </c>
      <c r="S8" s="157" t="n">
        <f aca="false">+R8*$S$1</f>
        <v>-137429.26707944</v>
      </c>
      <c r="T8" s="147" t="n">
        <f aca="false">+$T$1*K8</f>
        <v>-353492.323550483</v>
      </c>
      <c r="U8" s="158" t="n">
        <f aca="false">+Q8+T8+S8</f>
        <v>-537992.546326348</v>
      </c>
      <c r="V8" s="159" t="n">
        <f aca="false">+N8+U8</f>
        <v>0</v>
      </c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customFormat="false" ht="15" hidden="false" customHeight="false" outlineLevel="0" collapsed="false">
      <c r="A9" s="129" t="n">
        <v>36708</v>
      </c>
      <c r="B9" s="145" t="n">
        <f aca="false">+'GD Options'!M7</f>
        <v>0.063435677173907</v>
      </c>
      <c r="C9" s="146" t="n">
        <f aca="false">1/((1+B9/2)^(2*(A9-$B$1)/365.25))</f>
        <v>4.83602636848189</v>
      </c>
      <c r="D9" s="147" t="n">
        <f aca="false">IF($D$18=1,-'Deal Volumes'!D24-'Deal Volumes'!H24,'Model - Summer'!$D$19)</f>
        <v>-87885.446698262</v>
      </c>
      <c r="E9" s="148" t="n">
        <f aca="false">IF($D$18=1,-'Deal Volumes'!F24-'Deal Volumes'!J24-'Deal Volumes'!L24,'Model - Summer'!$D$20)</f>
        <v>-12114.553301738</v>
      </c>
      <c r="F9" s="149" t="n">
        <f aca="false">+(D9)*'Deal Volumes'!B24</f>
        <v>-2724448.84764612</v>
      </c>
      <c r="G9" s="148" t="n">
        <f aca="false">+E9*'Deal Volumes'!B24</f>
        <v>-375551.152353878</v>
      </c>
      <c r="H9" s="148" t="n">
        <f aca="false">+F9+G9</f>
        <v>-3100000</v>
      </c>
      <c r="I9" s="147" t="n">
        <f aca="false">+F9*$C9</f>
        <v>-13175506.4667967</v>
      </c>
      <c r="J9" s="149" t="n">
        <f aca="false">+G9*$C9</f>
        <v>-1816175.27549711</v>
      </c>
      <c r="K9" s="150" t="n">
        <f aca="false">SUM(I9:J9)</f>
        <v>-14991681.7422939</v>
      </c>
      <c r="L9" s="151" t="n">
        <f aca="false">+Curves!C4</f>
        <v>0</v>
      </c>
      <c r="M9" s="152" t="n">
        <f aca="false">+Curves!E4</f>
        <v>-0.005</v>
      </c>
      <c r="N9" s="153" t="n">
        <f aca="false">+I9*(L9-$H$1)+J9*(M9-$H$1)</f>
        <v>687062.807238253</v>
      </c>
      <c r="O9" s="154" t="n">
        <f aca="false">-I9*(L9-$F$1)</f>
        <v>0</v>
      </c>
      <c r="P9" s="155" t="n">
        <f aca="false">-J9*(M9-$F$2)</f>
        <v>0</v>
      </c>
      <c r="Q9" s="154" t="n">
        <f aca="false">SUM(O9:P9)</f>
        <v>0</v>
      </c>
      <c r="R9" s="156" t="n">
        <f aca="false">-'Deal Volumes'!C24*C9</f>
        <v>-4808432.74356389</v>
      </c>
      <c r="S9" s="157" t="n">
        <f aca="false">+R9*$S$1</f>
        <v>-192337.309742556</v>
      </c>
      <c r="T9" s="147" t="n">
        <f aca="false">+$T$1*K9</f>
        <v>-494725.497495697</v>
      </c>
      <c r="U9" s="158" t="n">
        <f aca="false">+Q9+T9+S9</f>
        <v>-687062.807238253</v>
      </c>
      <c r="V9" s="159" t="n">
        <f aca="false">+N9+U9</f>
        <v>0</v>
      </c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5" hidden="false" customHeight="false" outlineLevel="0" collapsed="false">
      <c r="A10" s="129" t="n">
        <v>36739</v>
      </c>
      <c r="B10" s="145" t="n">
        <f aca="false">+'GD Options'!M8</f>
        <v>0.064112455868493</v>
      </c>
      <c r="C10" s="146" t="n">
        <f aca="false">1/((1+B10/2)^(2*(A10-$B$1)/365.25))</f>
        <v>4.89047649718721</v>
      </c>
      <c r="D10" s="147" t="n">
        <f aca="false">IF($D$18=1,-'Deal Volumes'!D25-'Deal Volumes'!H25,'Model - Summer'!$D$19)</f>
        <v>-87885.446698262</v>
      </c>
      <c r="E10" s="148" t="n">
        <f aca="false">IF($D$18=1,-'Deal Volumes'!F25-'Deal Volumes'!J25-'Deal Volumes'!L25,'Model - Summer'!$D$20)</f>
        <v>-12114.553301738</v>
      </c>
      <c r="F10" s="149" t="n">
        <f aca="false">+(D10)*'Deal Volumes'!B25</f>
        <v>-2724448.84764612</v>
      </c>
      <c r="G10" s="148" t="n">
        <f aca="false">+E10*'Deal Volumes'!B25</f>
        <v>-375551.152353878</v>
      </c>
      <c r="H10" s="148" t="n">
        <f aca="false">+F10+G10</f>
        <v>-3100000</v>
      </c>
      <c r="I10" s="147" t="n">
        <f aca="false">+F10*$C10</f>
        <v>-13323853.0572022</v>
      </c>
      <c r="J10" s="149" t="n">
        <f aca="false">+G10*$C10</f>
        <v>-1836624.08407821</v>
      </c>
      <c r="K10" s="150" t="n">
        <f aca="false">SUM(I10:J10)</f>
        <v>-15160477.1412804</v>
      </c>
      <c r="L10" s="151" t="n">
        <f aca="false">+Curves!C5</f>
        <v>0</v>
      </c>
      <c r="M10" s="152" t="n">
        <f aca="false">+Curves!E5</f>
        <v>-0.005</v>
      </c>
      <c r="N10" s="153" t="n">
        <f aca="false">+I10*(L10-$H$1)+J10*(M10-$H$1)</f>
        <v>694798.633189613</v>
      </c>
      <c r="O10" s="154" t="n">
        <f aca="false">-I10*(L10-$F$1)</f>
        <v>0</v>
      </c>
      <c r="P10" s="155" t="n">
        <f aca="false">-J10*(M10-$F$2)</f>
        <v>0</v>
      </c>
      <c r="Q10" s="154" t="n">
        <f aca="false">SUM(O10:P10)</f>
        <v>0</v>
      </c>
      <c r="R10" s="156" t="n">
        <f aca="false">-'Deal Volumes'!C25*C10</f>
        <v>-4862572.18818403</v>
      </c>
      <c r="S10" s="157" t="n">
        <f aca="false">+R10*$S$1</f>
        <v>-194502.887527361</v>
      </c>
      <c r="T10" s="147" t="n">
        <f aca="false">+$T$1*K10</f>
        <v>-500295.745662252</v>
      </c>
      <c r="U10" s="158" t="n">
        <f aca="false">+Q10+T10+S10</f>
        <v>-694798.633189613</v>
      </c>
      <c r="V10" s="159" t="n">
        <f aca="false">+N10+U10</f>
        <v>0</v>
      </c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5" hidden="false" customHeight="false" outlineLevel="0" collapsed="false">
      <c r="A11" s="129" t="n">
        <v>36770</v>
      </c>
      <c r="B11" s="160" t="n">
        <f aca="false">+'GD Options'!M9</f>
        <v>0.064789234714962</v>
      </c>
      <c r="C11" s="161" t="n">
        <f aca="false">1/((1+B11/2)^(2*(A11-$B$1)/365.25))</f>
        <v>4.94496249936633</v>
      </c>
      <c r="D11" s="162" t="n">
        <f aca="false">IF($D$18=1,-'Deal Volumes'!D26-'Deal Volumes'!H26,'Model - Summer'!$D$19)</f>
        <v>-87885.446698262</v>
      </c>
      <c r="E11" s="163" t="n">
        <f aca="false">IF($D$18=1,-'Deal Volumes'!F26-'Deal Volumes'!J26-'Deal Volumes'!L26,'Model - Summer'!$D$20)</f>
        <v>-12114.553301738</v>
      </c>
      <c r="F11" s="164" t="n">
        <f aca="false">+(D11)*'Deal Volumes'!B26</f>
        <v>-2636563.40094786</v>
      </c>
      <c r="G11" s="163" t="n">
        <f aca="false">+E11*'Deal Volumes'!B26</f>
        <v>-363436.59905214</v>
      </c>
      <c r="H11" s="163" t="n">
        <f aca="false">+F11+G11</f>
        <v>-3000000</v>
      </c>
      <c r="I11" s="162" t="n">
        <f aca="false">+F11*$C11</f>
        <v>-13037707.1448889</v>
      </c>
      <c r="J11" s="164" t="n">
        <f aca="false">+G11*$C11</f>
        <v>-1797180.35321007</v>
      </c>
      <c r="K11" s="165" t="n">
        <f aca="false">SUM(I11:J11)</f>
        <v>-14834887.498099</v>
      </c>
      <c r="L11" s="166" t="n">
        <f aca="false">+Curves!C6</f>
        <v>0</v>
      </c>
      <c r="M11" s="167" t="n">
        <f aca="false">+Curves!E6</f>
        <v>-0.005</v>
      </c>
      <c r="N11" s="168" t="n">
        <f aca="false">+I11*(L11-$H$1)+J11*(M11-$H$1)</f>
        <v>679876.989434277</v>
      </c>
      <c r="O11" s="169" t="n">
        <f aca="false">-I11*(L11-$F$1)</f>
        <v>0</v>
      </c>
      <c r="P11" s="170" t="n">
        <f aca="false">-J11*(M11-$F$2)</f>
        <v>0</v>
      </c>
      <c r="Q11" s="169" t="n">
        <f aca="false">SUM(O11:P11)</f>
        <v>0</v>
      </c>
      <c r="R11" s="171" t="n">
        <f aca="false">-'Deal Volumes'!C26*C11</f>
        <v>-4758142.54992524</v>
      </c>
      <c r="S11" s="172" t="n">
        <f aca="false">+R11*$S$1</f>
        <v>-190325.70199701</v>
      </c>
      <c r="T11" s="162" t="n">
        <f aca="false">+$T$1*K11</f>
        <v>-489551.287437267</v>
      </c>
      <c r="U11" s="173" t="n">
        <f aca="false">+Q11+T11+S11</f>
        <v>-679876.989434277</v>
      </c>
      <c r="V11" s="174" t="n">
        <f aca="false">+N11+U11</f>
        <v>0</v>
      </c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2.75" hidden="false" customHeight="false" outlineLevel="0" collapsed="false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75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18" hidden="false" customHeight="false" outlineLevel="0" collapsed="false">
      <c r="A13" s="176" t="s">
        <v>21</v>
      </c>
      <c r="B13" s="177"/>
      <c r="C13" s="177"/>
      <c r="D13" s="177"/>
      <c r="E13" s="177"/>
      <c r="F13" s="178" t="n">
        <f aca="false">SUM(F7:F11)</f>
        <v>-12106220.2826856</v>
      </c>
      <c r="G13" s="178" t="n">
        <f aca="false">SUM(G7:G11)</f>
        <v>-1668779.71731441</v>
      </c>
      <c r="H13" s="178" t="n">
        <f aca="false">SUM(H7:H11)</f>
        <v>-13775000</v>
      </c>
      <c r="I13" s="178" t="n">
        <f aca="false">SUM(I7:I11)</f>
        <v>-58527966.7864551</v>
      </c>
      <c r="J13" s="178" t="n">
        <f aca="false">SUM(J7:J11)</f>
        <v>-8067776.8608404</v>
      </c>
      <c r="K13" s="178" t="n">
        <f aca="false">SUM(K7:K11)</f>
        <v>-66595743.6472955</v>
      </c>
      <c r="L13" s="177"/>
      <c r="M13" s="177"/>
      <c r="N13" s="179" t="n">
        <f aca="false">SUM(N7:N11)</f>
        <v>3147010.92540818</v>
      </c>
      <c r="O13" s="179" t="n">
        <f aca="false">SUM(O7:O11)</f>
        <v>-94954.5005878362</v>
      </c>
      <c r="P13" s="179" t="n">
        <f aca="false">SUM(P7:P11)</f>
        <v>0</v>
      </c>
      <c r="Q13" s="179" t="n">
        <f aca="false">SUM(Q7:Q11)</f>
        <v>-94954.5005878362</v>
      </c>
      <c r="R13" s="178" t="n">
        <f aca="false">SUM(R7:R11)</f>
        <v>-21359922.1114899</v>
      </c>
      <c r="S13" s="179" t="n">
        <f aca="false">SUM(S7:S11)</f>
        <v>-854396.884459597</v>
      </c>
      <c r="T13" s="179" t="n">
        <f aca="false">SUM(T7:T11)</f>
        <v>-2197659.54036075</v>
      </c>
      <c r="U13" s="179" t="n">
        <f aca="false">SUM(U7:U11)</f>
        <v>-3147010.92540818</v>
      </c>
      <c r="V13" s="180" t="n">
        <f aca="false">SUM(V7:V11)</f>
        <v>0</v>
      </c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  <c r="HW13" s="181"/>
      <c r="HX13" s="181"/>
      <c r="HY13" s="181"/>
      <c r="HZ13" s="181"/>
      <c r="IA13" s="181"/>
      <c r="IB13" s="181"/>
      <c r="IC13" s="181"/>
      <c r="ID13" s="181"/>
      <c r="IE13" s="181"/>
      <c r="IF13" s="181"/>
      <c r="IG13" s="181"/>
      <c r="IH13" s="181"/>
      <c r="II13" s="181"/>
      <c r="IJ13" s="181"/>
      <c r="IK13" s="181"/>
      <c r="IL13" s="181"/>
      <c r="IM13" s="181"/>
      <c r="IN13" s="181"/>
      <c r="IO13" s="181"/>
      <c r="IP13" s="181"/>
      <c r="IQ13" s="181"/>
      <c r="IR13" s="181"/>
      <c r="IS13" s="181"/>
      <c r="IT13" s="181"/>
      <c r="IU13" s="181"/>
      <c r="IV13" s="181"/>
      <c r="IW13" s="181"/>
    </row>
    <row r="14" customFormat="false" ht="15" hidden="false" customHeight="false" outlineLevel="0" collapsed="false">
      <c r="A14" s="98" t="s">
        <v>104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3" t="n">
        <f aca="false">-N13/$K$13</f>
        <v>0.0472554363545423</v>
      </c>
      <c r="O14" s="183"/>
      <c r="P14" s="183"/>
      <c r="Q14" s="183" t="n">
        <f aca="false">-Q13/$K$13</f>
        <v>-0.00142583437600358</v>
      </c>
      <c r="R14" s="183"/>
      <c r="S14" s="183" t="n">
        <f aca="false">-S13/$K$13</f>
        <v>-0.0128296019785387</v>
      </c>
      <c r="T14" s="183" t="n">
        <f aca="false">-T13/$K$13</f>
        <v>-0.033</v>
      </c>
      <c r="U14" s="183" t="n">
        <f aca="false">-U13/$K$13</f>
        <v>-0.0472554363545423</v>
      </c>
      <c r="V14" s="184" t="n">
        <f aca="false">-V13/$K$13</f>
        <v>0</v>
      </c>
      <c r="W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  <c r="IW14" s="123"/>
    </row>
    <row r="17" customFormat="false" ht="15.75" hidden="false" customHeight="true" outlineLevel="0" collapsed="false">
      <c r="L17" s="185"/>
      <c r="M17" s="185"/>
    </row>
    <row r="18" customFormat="false" ht="18" hidden="false" customHeight="false" outlineLevel="0" collapsed="false">
      <c r="A18" s="186"/>
      <c r="B18" s="186"/>
      <c r="C18" s="186" t="s">
        <v>105</v>
      </c>
      <c r="D18" s="187" t="n">
        <v>1</v>
      </c>
      <c r="E18" s="186" t="s">
        <v>106</v>
      </c>
      <c r="F18" s="186"/>
      <c r="G18" s="186"/>
      <c r="H18" s="186"/>
      <c r="I18" s="186"/>
      <c r="J18" s="186"/>
      <c r="K18" s="186"/>
      <c r="L18" s="185"/>
      <c r="M18" s="185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  <c r="IV18" s="186"/>
      <c r="IW18" s="186"/>
    </row>
    <row r="19" customFormat="false" ht="18" hidden="false" customHeight="false" outlineLevel="0" collapsed="false">
      <c r="A19" s="186"/>
      <c r="B19" s="186"/>
      <c r="C19" s="186" t="s">
        <v>92</v>
      </c>
      <c r="D19" s="188" t="n">
        <v>12</v>
      </c>
      <c r="E19" s="186"/>
      <c r="F19" s="186"/>
      <c r="G19" s="186"/>
      <c r="H19" s="186"/>
      <c r="I19" s="186"/>
      <c r="J19" s="186"/>
      <c r="K19" s="186"/>
      <c r="L19" s="185"/>
      <c r="M19" s="185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86"/>
      <c r="GP19" s="186"/>
      <c r="GQ19" s="186"/>
      <c r="GR19" s="186"/>
      <c r="GS19" s="186"/>
      <c r="GT19" s="186"/>
      <c r="GU19" s="186"/>
      <c r="GV19" s="186"/>
      <c r="GW19" s="186"/>
      <c r="GX19" s="186"/>
      <c r="GY19" s="186"/>
      <c r="GZ19" s="186"/>
      <c r="HA19" s="186"/>
      <c r="HB19" s="186"/>
      <c r="HC19" s="186"/>
      <c r="HD19" s="186"/>
      <c r="HE19" s="186"/>
      <c r="HF19" s="186"/>
      <c r="HG19" s="186"/>
      <c r="HH19" s="186"/>
      <c r="HI19" s="186"/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  <c r="IN19" s="186"/>
      <c r="IO19" s="186"/>
      <c r="IP19" s="186"/>
      <c r="IQ19" s="186"/>
      <c r="IR19" s="186"/>
      <c r="IS19" s="186"/>
      <c r="IT19" s="186"/>
      <c r="IU19" s="186"/>
      <c r="IV19" s="186"/>
      <c r="IW19" s="186"/>
    </row>
    <row r="20" customFormat="false" ht="18" hidden="false" customHeight="false" outlineLevel="0" collapsed="false">
      <c r="A20" s="186"/>
      <c r="B20" s="186"/>
      <c r="C20" s="186" t="s">
        <v>60</v>
      </c>
      <c r="D20" s="189" t="n">
        <v>12</v>
      </c>
      <c r="E20" s="186"/>
      <c r="F20" s="186"/>
      <c r="G20" s="186"/>
      <c r="H20" s="186"/>
      <c r="I20" s="186"/>
      <c r="J20" s="186"/>
      <c r="K20" s="186"/>
      <c r="L20" s="185"/>
      <c r="M20" s="185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186"/>
      <c r="DG20" s="186"/>
      <c r="DH20" s="186"/>
      <c r="DI20" s="186"/>
      <c r="DJ20" s="186"/>
      <c r="DK20" s="186"/>
      <c r="DL20" s="186"/>
      <c r="DM20" s="186"/>
      <c r="DN20" s="186"/>
      <c r="DO20" s="186"/>
      <c r="DP20" s="186"/>
      <c r="DQ20" s="186"/>
      <c r="DR20" s="186"/>
      <c r="DS20" s="186"/>
      <c r="DT20" s="186"/>
      <c r="DU20" s="186"/>
      <c r="DV20" s="186"/>
      <c r="DW20" s="186"/>
      <c r="DX20" s="186"/>
      <c r="DY20" s="186"/>
      <c r="DZ20" s="186"/>
      <c r="EA20" s="186"/>
      <c r="EB20" s="186"/>
      <c r="EC20" s="186"/>
      <c r="ED20" s="186"/>
      <c r="EE20" s="186"/>
      <c r="EF20" s="186"/>
      <c r="EG20" s="186"/>
      <c r="EH20" s="186"/>
      <c r="EI20" s="186"/>
      <c r="EJ20" s="186"/>
      <c r="EK20" s="186"/>
      <c r="EL20" s="186"/>
      <c r="EM20" s="186"/>
      <c r="EN20" s="186"/>
      <c r="EO20" s="186"/>
      <c r="EP20" s="186"/>
      <c r="EQ20" s="186"/>
      <c r="ER20" s="186"/>
      <c r="ES20" s="186"/>
      <c r="ET20" s="186"/>
      <c r="EU20" s="186"/>
      <c r="EV20" s="186"/>
      <c r="EW20" s="186"/>
      <c r="EX20" s="186"/>
      <c r="EY20" s="186"/>
      <c r="EZ20" s="186"/>
      <c r="FA20" s="186"/>
      <c r="FB20" s="186"/>
      <c r="FC20" s="186"/>
      <c r="FD20" s="186"/>
      <c r="FE20" s="186"/>
      <c r="FF20" s="186"/>
      <c r="FG20" s="186"/>
      <c r="FH20" s="186"/>
      <c r="FI20" s="186"/>
      <c r="FJ20" s="186"/>
      <c r="FK20" s="186"/>
      <c r="FL20" s="186"/>
      <c r="FM20" s="186"/>
      <c r="FN20" s="186"/>
      <c r="FO20" s="186"/>
      <c r="FP20" s="186"/>
      <c r="FQ20" s="186"/>
      <c r="FR20" s="186"/>
      <c r="FS20" s="186"/>
      <c r="FT20" s="186"/>
      <c r="FU20" s="186"/>
      <c r="FV20" s="186"/>
      <c r="FW20" s="186"/>
      <c r="FX20" s="186"/>
      <c r="FY20" s="186"/>
      <c r="FZ20" s="186"/>
      <c r="GA20" s="186"/>
      <c r="GB20" s="186"/>
      <c r="GC20" s="186"/>
      <c r="GD20" s="186"/>
      <c r="GE20" s="186"/>
      <c r="GF20" s="186"/>
      <c r="GG20" s="186"/>
      <c r="GH20" s="186"/>
      <c r="GI20" s="186"/>
      <c r="GJ20" s="186"/>
      <c r="GK20" s="186"/>
      <c r="GL20" s="186"/>
      <c r="GM20" s="186"/>
      <c r="GN20" s="186"/>
      <c r="GO20" s="186"/>
      <c r="GP20" s="186"/>
      <c r="GQ20" s="186"/>
      <c r="GR20" s="186"/>
      <c r="GS20" s="186"/>
      <c r="GT20" s="186"/>
      <c r="GU20" s="186"/>
      <c r="GV20" s="186"/>
      <c r="GW20" s="186"/>
      <c r="GX20" s="186"/>
      <c r="GY20" s="186"/>
      <c r="GZ20" s="186"/>
      <c r="HA20" s="186"/>
      <c r="HB20" s="186"/>
      <c r="HC20" s="186"/>
      <c r="HD20" s="186"/>
      <c r="HE20" s="186"/>
      <c r="HF20" s="186"/>
      <c r="HG20" s="186"/>
      <c r="HH20" s="186"/>
      <c r="HI20" s="186"/>
      <c r="HJ20" s="186"/>
      <c r="HK20" s="186"/>
      <c r="HL20" s="186"/>
      <c r="HM20" s="186"/>
      <c r="HN20" s="186"/>
      <c r="HO20" s="186"/>
      <c r="HP20" s="186"/>
      <c r="HQ20" s="186"/>
      <c r="HR20" s="186"/>
      <c r="HS20" s="186"/>
      <c r="HT20" s="186"/>
      <c r="HU20" s="186"/>
      <c r="HV20" s="186"/>
      <c r="HW20" s="186"/>
      <c r="HX20" s="186"/>
      <c r="HY20" s="186"/>
      <c r="HZ20" s="186"/>
      <c r="IA20" s="186"/>
      <c r="IB20" s="186"/>
      <c r="IC20" s="186"/>
      <c r="ID20" s="186"/>
      <c r="IE20" s="186"/>
      <c r="IF20" s="186"/>
      <c r="IG20" s="186"/>
      <c r="IH20" s="186"/>
      <c r="II20" s="186"/>
      <c r="IJ20" s="186"/>
      <c r="IK20" s="186"/>
      <c r="IL20" s="186"/>
      <c r="IM20" s="186"/>
      <c r="IN20" s="186"/>
      <c r="IO20" s="186"/>
      <c r="IP20" s="186"/>
      <c r="IQ20" s="186"/>
      <c r="IR20" s="186"/>
      <c r="IS20" s="186"/>
      <c r="IT20" s="186"/>
      <c r="IU20" s="186"/>
      <c r="IV20" s="186"/>
      <c r="IW20" s="186"/>
    </row>
    <row r="21" customFormat="false" ht="12.75" hidden="false" customHeight="false" outlineLevel="0" collapsed="false">
      <c r="D21" s="97" t="s">
        <v>107</v>
      </c>
      <c r="L21" s="185"/>
      <c r="M21" s="185"/>
    </row>
    <row r="23" customFormat="false" ht="12.75" hidden="false" customHeight="false" outlineLevel="0" collapsed="false">
      <c r="N23" s="190"/>
      <c r="Q23" s="190"/>
      <c r="T23" s="185"/>
    </row>
  </sheetData>
  <mergeCells count="6">
    <mergeCell ref="D4:H4"/>
    <mergeCell ref="I4:K4"/>
    <mergeCell ref="L4:M4"/>
    <mergeCell ref="O4:Q4"/>
    <mergeCell ref="R4:S4"/>
    <mergeCell ref="X4:AA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odelSummerBreakeven">
                <anchor moveWithCells="true" sizeWithCells="false">
                  <from>
                    <xdr:col>7</xdr:col>
                    <xdr:colOff>191520</xdr:colOff>
                    <xdr:row>16</xdr:row>
                    <xdr:rowOff>190440</xdr:rowOff>
                  </from>
                  <to>
                    <xdr:col>8</xdr:col>
                    <xdr:colOff>795600</xdr:colOff>
                    <xdr:row>20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100" workbookViewId="0">
      <selection pane="topLeft" activeCell="G31" activeCellId="0" sqref="F31:G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13.99"/>
    <col collapsed="false" customWidth="true" hidden="false" outlineLevel="0" max="2" min="2" style="97" width="11.28"/>
    <col collapsed="false" customWidth="true" hidden="false" outlineLevel="0" max="3" min="3" style="97" width="19.56"/>
    <col collapsed="false" customWidth="true" hidden="false" outlineLevel="0" max="5" min="4" style="97" width="15.85"/>
    <col collapsed="false" customWidth="true" hidden="false" outlineLevel="0" max="7" min="6" style="97" width="14.56"/>
    <col collapsed="false" customWidth="true" hidden="false" outlineLevel="0" max="8" min="8" style="97" width="14.41"/>
    <col collapsed="false" customWidth="true" hidden="false" outlineLevel="0" max="10" min="9" style="97" width="14.56"/>
    <col collapsed="false" customWidth="true" hidden="false" outlineLevel="0" max="11" min="11" style="97" width="13.14"/>
    <col collapsed="false" customWidth="true" hidden="false" outlineLevel="0" max="12" min="12" style="97" width="14.56"/>
    <col collapsed="false" customWidth="true" hidden="false" outlineLevel="0" max="13" min="13" style="97" width="17.99"/>
    <col collapsed="false" customWidth="true" hidden="false" outlineLevel="0" max="14" min="14" style="97" width="10.28"/>
    <col collapsed="false" customWidth="true" hidden="false" outlineLevel="0" max="15" min="15" style="97" width="11.7"/>
    <col collapsed="false" customWidth="true" hidden="false" outlineLevel="0" max="16" min="16" style="97" width="9.85"/>
    <col collapsed="false" customWidth="true" hidden="false" outlineLevel="0" max="17" min="17" style="97" width="12.85"/>
    <col collapsed="false" customWidth="true" hidden="false" outlineLevel="0" max="18" min="18" style="97" width="15.41"/>
    <col collapsed="false" customWidth="true" hidden="false" outlineLevel="0" max="19" min="19" style="97" width="14.7"/>
    <col collapsed="false" customWidth="false" hidden="false" outlineLevel="0" max="20" min="20" style="97" width="9.14"/>
    <col collapsed="false" customWidth="true" hidden="false" outlineLevel="0" max="21" min="21" style="97" width="10.41"/>
    <col collapsed="false" customWidth="false" hidden="false" outlineLevel="0" max="22" min="22" style="97" width="9.14"/>
    <col collapsed="false" customWidth="true" hidden="false" outlineLevel="0" max="23" min="23" style="97" width="10.85"/>
    <col collapsed="false" customWidth="false" hidden="false" outlineLevel="0" max="257" min="24" style="97" width="9.14"/>
  </cols>
  <sheetData>
    <row r="1" customFormat="false" ht="12.75" hidden="false" customHeight="false" outlineLevel="0" collapsed="false">
      <c r="A1" s="98" t="s">
        <v>78</v>
      </c>
      <c r="B1" s="99" t="n">
        <f aca="true">TODAY()</f>
        <v>45926</v>
      </c>
      <c r="D1" s="100" t="s">
        <v>79</v>
      </c>
      <c r="E1" s="101" t="n">
        <v>0</v>
      </c>
      <c r="F1" s="102" t="s">
        <v>80</v>
      </c>
      <c r="G1" s="101" t="n">
        <v>0.073</v>
      </c>
      <c r="H1" s="191"/>
      <c r="I1" s="102" t="s">
        <v>81</v>
      </c>
      <c r="J1" s="104" t="n">
        <v>0.04</v>
      </c>
      <c r="K1" s="104" t="n">
        <v>0.033</v>
      </c>
    </row>
    <row r="2" customFormat="false" ht="12.75" hidden="false" customHeight="false" outlineLevel="0" collapsed="false">
      <c r="F2" s="106"/>
      <c r="G2" s="106"/>
      <c r="H2" s="106"/>
      <c r="I2" s="106"/>
      <c r="J2" s="105"/>
    </row>
    <row r="3" customFormat="false" ht="12.75" hidden="false" customHeight="false" outlineLevel="0" collapsed="false">
      <c r="F3" s="106"/>
      <c r="G3" s="106"/>
      <c r="H3" s="106"/>
      <c r="I3" s="106"/>
      <c r="J3" s="105"/>
    </row>
    <row r="4" customFormat="false" ht="25.5" hidden="false" customHeight="false" outlineLevel="0" collapsed="false">
      <c r="A4" s="192" t="s">
        <v>1</v>
      </c>
      <c r="B4" s="193" t="s">
        <v>90</v>
      </c>
      <c r="C4" s="194" t="s">
        <v>91</v>
      </c>
      <c r="D4" s="193" t="s">
        <v>108</v>
      </c>
      <c r="E4" s="195" t="s">
        <v>109</v>
      </c>
      <c r="F4" s="192" t="s">
        <v>110</v>
      </c>
      <c r="G4" s="192" t="s">
        <v>111</v>
      </c>
      <c r="H4" s="192" t="s">
        <v>95</v>
      </c>
      <c r="I4" s="195" t="s">
        <v>112</v>
      </c>
      <c r="J4" s="192" t="s">
        <v>101</v>
      </c>
      <c r="K4" s="195" t="s">
        <v>102</v>
      </c>
      <c r="L4" s="192" t="s">
        <v>98</v>
      </c>
      <c r="M4" s="196" t="s">
        <v>99</v>
      </c>
      <c r="N4" s="197"/>
      <c r="O4" s="120" t="s">
        <v>100</v>
      </c>
      <c r="P4" s="121" t="s">
        <v>101</v>
      </c>
      <c r="Q4" s="121" t="s">
        <v>102</v>
      </c>
      <c r="R4" s="122" t="s">
        <v>103</v>
      </c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  <c r="IT4" s="197"/>
      <c r="IU4" s="197"/>
      <c r="IV4" s="197"/>
      <c r="IW4" s="197"/>
    </row>
    <row r="5" customFormat="false" ht="12.75" hidden="false" customHeight="false" outlineLevel="0" collapsed="false">
      <c r="A5" s="123"/>
      <c r="B5" s="123"/>
      <c r="H5" s="124"/>
      <c r="O5" s="198" t="n">
        <f aca="false">+$R$5-SUM($P$5:Q5)</f>
        <v>0</v>
      </c>
      <c r="P5" s="199" t="n">
        <f aca="false">-J13</f>
        <v>0.04</v>
      </c>
      <c r="Q5" s="199" t="n">
        <f aca="false">+$K$1</f>
        <v>0.033</v>
      </c>
      <c r="R5" s="128" t="n">
        <f aca="false">+$G$1</f>
        <v>0.073</v>
      </c>
    </row>
    <row r="6" customFormat="false" ht="15" hidden="false" customHeight="false" outlineLevel="0" collapsed="false">
      <c r="A6" s="129" t="n">
        <v>36647</v>
      </c>
      <c r="B6" s="130" t="n">
        <f aca="false">+'GD Options'!M5</f>
        <v>0.061739896749392</v>
      </c>
      <c r="C6" s="131" t="n">
        <f aca="false">1/((1+B6/2)^(2*(A6-$B$1)/365.25))</f>
        <v>4.68679942932618</v>
      </c>
      <c r="D6" s="132" t="n">
        <f aca="false">+$D$17</f>
        <v>-75000</v>
      </c>
      <c r="E6" s="133" t="n">
        <f aca="false">+D6*'Deal Volumes'!B22</f>
        <v>-2325000</v>
      </c>
      <c r="F6" s="133" t="n">
        <f aca="false">+C6*E6</f>
        <v>-10896808.6731834</v>
      </c>
      <c r="G6" s="136" t="n">
        <f aca="false">+Curves!C2</f>
        <v>-0.005</v>
      </c>
      <c r="H6" s="138" t="n">
        <f aca="false">+F6*(G6-$G$1)</f>
        <v>849951.076508303</v>
      </c>
      <c r="I6" s="140" t="n">
        <f aca="false">-F6*(G6-$E$1)</f>
        <v>-54484.0433659169</v>
      </c>
      <c r="J6" s="200" t="n">
        <f aca="false">+$J$1*F6</f>
        <v>-435872.346927335</v>
      </c>
      <c r="K6" s="132" t="n">
        <f aca="false">+$K$1*F6</f>
        <v>-359594.686215051</v>
      </c>
      <c r="L6" s="143" t="n">
        <f aca="false">+K6+J6+I6</f>
        <v>-849951.076508303</v>
      </c>
      <c r="M6" s="144" t="n">
        <f aca="false">+H6+L6</f>
        <v>0</v>
      </c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  <c r="IW6" s="123"/>
    </row>
    <row r="7" customFormat="false" ht="15" hidden="false" customHeight="false" outlineLevel="0" collapsed="false">
      <c r="A7" s="129" t="n">
        <v>36678</v>
      </c>
      <c r="B7" s="145" t="n">
        <f aca="false">+'GD Options'!M6</f>
        <v>0.062588347760124</v>
      </c>
      <c r="C7" s="146" t="n">
        <f aca="false">1/((1+B7/2)^(2*(A7-$B$1)/365.25))</f>
        <v>4.76083937441728</v>
      </c>
      <c r="D7" s="147" t="n">
        <f aca="false">+$D$17</f>
        <v>-75000</v>
      </c>
      <c r="E7" s="148" t="n">
        <f aca="false">+D7*'Deal Volumes'!B23</f>
        <v>-2250000</v>
      </c>
      <c r="F7" s="148" t="n">
        <f aca="false">+C7*E7</f>
        <v>-10711888.5924389</v>
      </c>
      <c r="G7" s="151" t="n">
        <f aca="false">+Curves!C3</f>
        <v>-0.005</v>
      </c>
      <c r="H7" s="153" t="n">
        <f aca="false">+F7*(G7-$G$1)</f>
        <v>835527.310210232</v>
      </c>
      <c r="I7" s="155" t="n">
        <f aca="false">-F7*(G7-$E$1)</f>
        <v>-53559.4429621944</v>
      </c>
      <c r="J7" s="201" t="n">
        <f aca="false">+$J$1*F7</f>
        <v>-428475.543697555</v>
      </c>
      <c r="K7" s="147" t="n">
        <f aca="false">+$K$1*F7</f>
        <v>-353492.323550483</v>
      </c>
      <c r="L7" s="158" t="n">
        <f aca="false">+K7+J7+I7</f>
        <v>-835527.310210232</v>
      </c>
      <c r="M7" s="159" t="n">
        <f aca="false">+H7+L7</f>
        <v>0</v>
      </c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" hidden="false" customHeight="false" outlineLevel="0" collapsed="false">
      <c r="A8" s="129" t="n">
        <v>36708</v>
      </c>
      <c r="B8" s="145" t="n">
        <f aca="false">+'GD Options'!M7</f>
        <v>0.063435677173907</v>
      </c>
      <c r="C8" s="146" t="n">
        <f aca="false">1/((1+B8/2)^(2*(A8-$B$1)/365.25))</f>
        <v>4.83602636848189</v>
      </c>
      <c r="D8" s="147" t="n">
        <f aca="false">+$D$17</f>
        <v>-75000</v>
      </c>
      <c r="E8" s="148" t="n">
        <f aca="false">+D8*'Deal Volumes'!B24</f>
        <v>-2325000</v>
      </c>
      <c r="F8" s="148" t="n">
        <f aca="false">+C8*E8</f>
        <v>-11243761.3067204</v>
      </c>
      <c r="G8" s="151" t="n">
        <f aca="false">+Curves!C4</f>
        <v>0</v>
      </c>
      <c r="H8" s="153" t="n">
        <f aca="false">+F8*(G8-$G$1)</f>
        <v>820794.575390589</v>
      </c>
      <c r="I8" s="155" t="n">
        <f aca="false">-F8*(G8-$E$1)</f>
        <v>0</v>
      </c>
      <c r="J8" s="201" t="n">
        <f aca="false">+$J$1*F8</f>
        <v>-449750.452268816</v>
      </c>
      <c r="K8" s="147" t="n">
        <f aca="false">+$K$1*F8</f>
        <v>-371044.123121773</v>
      </c>
      <c r="L8" s="158" t="n">
        <f aca="false">+K8+J8+I8</f>
        <v>-820794.575390589</v>
      </c>
      <c r="M8" s="159" t="n">
        <f aca="false">+H8+L8</f>
        <v>0</v>
      </c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customFormat="false" ht="15" hidden="false" customHeight="false" outlineLevel="0" collapsed="false">
      <c r="A9" s="129" t="n">
        <v>36739</v>
      </c>
      <c r="B9" s="145" t="n">
        <f aca="false">+'GD Options'!M8</f>
        <v>0.064112455868493</v>
      </c>
      <c r="C9" s="146" t="n">
        <f aca="false">1/((1+B9/2)^(2*(A9-$B$1)/365.25))</f>
        <v>4.89047649718721</v>
      </c>
      <c r="D9" s="147" t="n">
        <f aca="false">+$D$17</f>
        <v>-75000</v>
      </c>
      <c r="E9" s="148" t="n">
        <f aca="false">+D9*'Deal Volumes'!B25</f>
        <v>-2325000</v>
      </c>
      <c r="F9" s="148" t="n">
        <f aca="false">+C9*E9</f>
        <v>-11370357.8559603</v>
      </c>
      <c r="G9" s="151" t="n">
        <f aca="false">+Curves!C5</f>
        <v>0</v>
      </c>
      <c r="H9" s="153" t="n">
        <f aca="false">+F9*(G9-$G$1)</f>
        <v>830036.1234851</v>
      </c>
      <c r="I9" s="155" t="n">
        <f aca="false">-F9*(G9-$E$1)</f>
        <v>0</v>
      </c>
      <c r="J9" s="201" t="n">
        <f aca="false">+$J$1*F9</f>
        <v>-454814.314238411</v>
      </c>
      <c r="K9" s="147" t="n">
        <f aca="false">+$K$1*F9</f>
        <v>-375221.809246689</v>
      </c>
      <c r="L9" s="158" t="n">
        <f aca="false">+K9+J9+I9</f>
        <v>-830036.1234851</v>
      </c>
      <c r="M9" s="159" t="n">
        <f aca="false">+H9+L9</f>
        <v>0</v>
      </c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5" hidden="false" customHeight="false" outlineLevel="0" collapsed="false">
      <c r="A10" s="129" t="n">
        <v>36770</v>
      </c>
      <c r="B10" s="160" t="n">
        <f aca="false">+'GD Options'!M9</f>
        <v>0.064789234714962</v>
      </c>
      <c r="C10" s="161" t="n">
        <f aca="false">1/((1+B10/2)^(2*(A10-$B$1)/365.25))</f>
        <v>4.94496249936633</v>
      </c>
      <c r="D10" s="162" t="n">
        <f aca="false">+$D$17</f>
        <v>-75000</v>
      </c>
      <c r="E10" s="163" t="n">
        <f aca="false">+D10*'Deal Volumes'!B26</f>
        <v>-2250000</v>
      </c>
      <c r="F10" s="163" t="n">
        <f aca="false">+C10*E10</f>
        <v>-11126165.6235742</v>
      </c>
      <c r="G10" s="166" t="n">
        <f aca="false">+Curves!C6</f>
        <v>0</v>
      </c>
      <c r="H10" s="168" t="n">
        <f aca="false">+F10*(G10-$G$1)</f>
        <v>812210.09052092</v>
      </c>
      <c r="I10" s="170" t="n">
        <f aca="false">-F10*(G10-$E$1)</f>
        <v>0</v>
      </c>
      <c r="J10" s="202" t="n">
        <f aca="false">+$J$1*F10</f>
        <v>-445046.62494297</v>
      </c>
      <c r="K10" s="162" t="n">
        <f aca="false">+$K$1*F10</f>
        <v>-367163.46557795</v>
      </c>
      <c r="L10" s="173" t="n">
        <f aca="false">+K10+J10+I10</f>
        <v>-812210.09052092</v>
      </c>
      <c r="M10" s="174" t="n">
        <f aca="false">+H10+L10</f>
        <v>0</v>
      </c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false" outlineLevel="0" collapsed="false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8" hidden="false" customHeight="false" outlineLevel="0" collapsed="false">
      <c r="A12" s="176" t="s">
        <v>21</v>
      </c>
      <c r="B12" s="177"/>
      <c r="C12" s="177"/>
      <c r="D12" s="177"/>
      <c r="E12" s="178" t="n">
        <f aca="false">SUM(E6:E10)</f>
        <v>-11475000</v>
      </c>
      <c r="F12" s="178" t="n">
        <f aca="false">SUM(F6:F10)</f>
        <v>-55348982.0518772</v>
      </c>
      <c r="G12" s="177"/>
      <c r="H12" s="179" t="n">
        <f aca="false">SUM(H6:H10)</f>
        <v>4148519.17611514</v>
      </c>
      <c r="I12" s="179" t="n">
        <f aca="false">SUM(I6:I10)</f>
        <v>-108043.486328111</v>
      </c>
      <c r="J12" s="179" t="n">
        <f aca="false">SUM(J6:J10)</f>
        <v>-2213959.28207509</v>
      </c>
      <c r="K12" s="179" t="n">
        <f aca="false">SUM(K6:K10)</f>
        <v>-1826516.40771195</v>
      </c>
      <c r="L12" s="179" t="n">
        <f aca="false">SUM(L6:L10)</f>
        <v>-4148519.17611514</v>
      </c>
      <c r="M12" s="180" t="n">
        <f aca="false">SUM(M6:M10)</f>
        <v>0</v>
      </c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1"/>
      <c r="HX12" s="181"/>
      <c r="HY12" s="181"/>
      <c r="HZ12" s="181"/>
      <c r="IA12" s="181"/>
      <c r="IB12" s="181"/>
      <c r="IC12" s="181"/>
      <c r="ID12" s="181"/>
      <c r="IE12" s="181"/>
      <c r="IF12" s="181"/>
      <c r="IG12" s="181"/>
      <c r="IH12" s="181"/>
      <c r="II12" s="181"/>
      <c r="IJ12" s="181"/>
      <c r="IK12" s="181"/>
      <c r="IL12" s="181"/>
      <c r="IM12" s="181"/>
      <c r="IN12" s="181"/>
      <c r="IO12" s="181"/>
      <c r="IP12" s="181"/>
      <c r="IQ12" s="181"/>
      <c r="IR12" s="181"/>
      <c r="IS12" s="181"/>
      <c r="IT12" s="181"/>
      <c r="IU12" s="181"/>
      <c r="IV12" s="181"/>
      <c r="IW12" s="181"/>
    </row>
    <row r="13" customFormat="false" ht="12.75" hidden="false" customHeight="false" outlineLevel="0" collapsed="false">
      <c r="A13" s="98" t="s">
        <v>104</v>
      </c>
      <c r="B13" s="182"/>
      <c r="C13" s="182"/>
      <c r="D13" s="182"/>
      <c r="E13" s="182"/>
      <c r="F13" s="182"/>
      <c r="G13" s="182"/>
      <c r="H13" s="183" t="n">
        <f aca="false">-H12/$F$12</f>
        <v>0.0749520410732549</v>
      </c>
      <c r="I13" s="183"/>
      <c r="J13" s="183" t="n">
        <f aca="false">-J12/$F$12</f>
        <v>-0.04</v>
      </c>
      <c r="K13" s="183" t="n">
        <f aca="false">-K12/$F$12</f>
        <v>-0.033</v>
      </c>
      <c r="L13" s="183" t="n">
        <f aca="false">-L12/$F$12</f>
        <v>-0.0749520410732549</v>
      </c>
      <c r="M13" s="203" t="n">
        <f aca="false">-M12/$F$12</f>
        <v>0</v>
      </c>
      <c r="N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  <c r="IW13" s="123"/>
    </row>
    <row r="17" customFormat="false" ht="18" hidden="false" customHeight="false" outlineLevel="0" collapsed="false">
      <c r="C17" s="186" t="s">
        <v>108</v>
      </c>
      <c r="D17" s="188" t="n">
        <v>-75000</v>
      </c>
    </row>
    <row r="18" customFormat="false" ht="18" hidden="false" customHeight="false" outlineLevel="0" collapsed="false">
      <c r="D18" s="204"/>
    </row>
    <row r="21" customFormat="false" ht="18" hidden="false" customHeight="false" outlineLevel="0" collapsed="false">
      <c r="A21" s="205"/>
      <c r="B21" s="206"/>
      <c r="C21" s="205"/>
      <c r="D21" s="186"/>
    </row>
    <row r="22" customFormat="false" ht="18" hidden="false" customHeight="false" outlineLevel="0" collapsed="false">
      <c r="A22" s="205"/>
      <c r="B22" s="206"/>
      <c r="C22" s="205"/>
      <c r="D22" s="186"/>
    </row>
    <row r="23" customFormat="false" ht="18" hidden="false" customHeight="false" outlineLevel="0" collapsed="false">
      <c r="A23" s="205"/>
      <c r="B23" s="206"/>
      <c r="C23" s="205"/>
      <c r="D23" s="186"/>
      <c r="J23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hOnlyBreakeven">
                <anchor moveWithCells="true" sizeWithCells="false">
                  <from>
                    <xdr:col>7</xdr:col>
                    <xdr:colOff>60480</xdr:colOff>
                    <xdr:row>16</xdr:row>
                    <xdr:rowOff>152640</xdr:rowOff>
                  </from>
                  <to>
                    <xdr:col>8</xdr:col>
                    <xdr:colOff>665280</xdr:colOff>
                    <xdr:row>21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985" ySplit="0" topLeftCell="O1" activePane="topRight" state="split"/>
      <selection pane="topLeft" activeCell="A1" activeCellId="0" sqref="A1"/>
      <selection pane="topRight" activeCell="U13" activeCellId="0" sqref="U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13.99"/>
    <col collapsed="false" customWidth="true" hidden="false" outlineLevel="0" max="2" min="2" style="97" width="10.71"/>
    <col collapsed="false" customWidth="true" hidden="false" outlineLevel="0" max="3" min="3" style="97" width="19.28"/>
    <col collapsed="false" customWidth="true" hidden="false" outlineLevel="0" max="4" min="4" style="97" width="14.56"/>
    <col collapsed="false" customWidth="true" hidden="false" outlineLevel="0" max="5" min="5" style="97" width="15.85"/>
    <col collapsed="false" customWidth="true" hidden="false" outlineLevel="0" max="7" min="6" style="97" width="14.56"/>
    <col collapsed="false" customWidth="true" hidden="false" outlineLevel="0" max="8" min="8" style="97" width="14.41"/>
    <col collapsed="false" customWidth="true" hidden="false" outlineLevel="0" max="11" min="9" style="97" width="14.56"/>
    <col collapsed="false" customWidth="true" hidden="false" outlineLevel="0" max="12" min="12" style="97" width="13.85"/>
    <col collapsed="false" customWidth="true" hidden="false" outlineLevel="0" max="13" min="13" style="97" width="13.7"/>
    <col collapsed="false" customWidth="true" hidden="false" outlineLevel="0" max="14" min="14" style="97" width="14.41"/>
    <col collapsed="false" customWidth="true" hidden="false" outlineLevel="0" max="15" min="15" style="97" width="12.85"/>
    <col collapsed="false" customWidth="true" hidden="false" outlineLevel="0" max="16" min="16" style="97" width="14.56"/>
    <col collapsed="false" customWidth="true" hidden="false" outlineLevel="0" max="17" min="17" style="97" width="12.85"/>
    <col collapsed="false" customWidth="true" hidden="false" outlineLevel="0" max="18" min="18" style="97" width="15.85"/>
    <col collapsed="false" customWidth="true" hidden="false" outlineLevel="0" max="19" min="19" style="97" width="14.7"/>
    <col collapsed="false" customWidth="true" hidden="false" outlineLevel="0" max="20" min="20" style="97" width="16.84"/>
    <col collapsed="false" customWidth="true" hidden="false" outlineLevel="0" max="21" min="21" style="97" width="16.13"/>
    <col collapsed="false" customWidth="true" hidden="false" outlineLevel="0" max="22" min="22" style="97" width="14.7"/>
    <col collapsed="false" customWidth="true" hidden="false" outlineLevel="0" max="23" min="23" style="97" width="9.56"/>
    <col collapsed="false" customWidth="true" hidden="false" outlineLevel="0" max="24" min="24" style="97" width="9.28"/>
    <col collapsed="false" customWidth="true" hidden="false" outlineLevel="0" max="25" min="25" style="97" width="8.85"/>
    <col collapsed="false" customWidth="true" hidden="false" outlineLevel="0" max="26" min="26" style="97" width="8.99"/>
    <col collapsed="false" customWidth="false" hidden="false" outlineLevel="0" max="257" min="27" style="97" width="9.14"/>
  </cols>
  <sheetData>
    <row r="1" customFormat="false" ht="12.75" hidden="false" customHeight="false" outlineLevel="0" collapsed="false">
      <c r="A1" s="98" t="s">
        <v>78</v>
      </c>
      <c r="B1" s="99" t="n">
        <f aca="true">TODAY()</f>
        <v>45926</v>
      </c>
      <c r="E1" s="100" t="s">
        <v>79</v>
      </c>
      <c r="F1" s="101" t="n">
        <v>-0.0025</v>
      </c>
      <c r="G1" s="102" t="s">
        <v>80</v>
      </c>
      <c r="H1" s="101" t="n">
        <v>0.0417663085322102</v>
      </c>
      <c r="J1" s="123" t="s">
        <v>113</v>
      </c>
      <c r="K1" s="123" t="n">
        <v>713964</v>
      </c>
      <c r="R1" s="103" t="s">
        <v>81</v>
      </c>
      <c r="S1" s="104" t="n">
        <v>0.04</v>
      </c>
      <c r="T1" s="104" t="n">
        <v>0.037</v>
      </c>
    </row>
    <row r="2" customFormat="false" ht="12.75" hidden="false" customHeight="false" outlineLevel="0" collapsed="false">
      <c r="E2" s="100" t="s">
        <v>82</v>
      </c>
      <c r="F2" s="101" t="n">
        <v>-0.0075</v>
      </c>
      <c r="G2" s="105"/>
    </row>
    <row r="3" customFormat="false" ht="12.75" hidden="false" customHeight="false" outlineLevel="0" collapsed="false">
      <c r="F3" s="106"/>
      <c r="G3" s="106"/>
      <c r="H3" s="106"/>
      <c r="I3" s="106"/>
      <c r="J3" s="105"/>
      <c r="K3" s="105"/>
    </row>
    <row r="4" customFormat="false" ht="12.75" hidden="false" customHeight="false" outlineLevel="0" collapsed="false">
      <c r="A4" s="108"/>
      <c r="B4" s="109"/>
      <c r="C4" s="109"/>
      <c r="D4" s="110" t="s">
        <v>83</v>
      </c>
      <c r="E4" s="110"/>
      <c r="F4" s="110"/>
      <c r="G4" s="110"/>
      <c r="H4" s="110"/>
      <c r="I4" s="110" t="s">
        <v>84</v>
      </c>
      <c r="J4" s="110"/>
      <c r="K4" s="110"/>
      <c r="L4" s="110" t="s">
        <v>85</v>
      </c>
      <c r="M4" s="110"/>
      <c r="N4" s="109"/>
      <c r="O4" s="110" t="s">
        <v>86</v>
      </c>
      <c r="P4" s="110"/>
      <c r="Q4" s="110"/>
      <c r="R4" s="110" t="s">
        <v>87</v>
      </c>
      <c r="S4" s="110"/>
      <c r="T4" s="110" t="s">
        <v>88</v>
      </c>
      <c r="U4" s="111"/>
      <c r="V4" s="112"/>
      <c r="W4" s="106"/>
      <c r="X4" s="114" t="s">
        <v>89</v>
      </c>
      <c r="Y4" s="114"/>
      <c r="Z4" s="114"/>
      <c r="AA4" s="114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</row>
    <row r="5" customFormat="false" ht="25.5" hidden="false" customHeight="true" outlineLevel="0" collapsed="false">
      <c r="A5" s="115" t="s">
        <v>1</v>
      </c>
      <c r="B5" s="116" t="s">
        <v>90</v>
      </c>
      <c r="C5" s="116" t="s">
        <v>91</v>
      </c>
      <c r="D5" s="116" t="s">
        <v>114</v>
      </c>
      <c r="E5" s="116" t="s">
        <v>60</v>
      </c>
      <c r="F5" s="116" t="s">
        <v>93</v>
      </c>
      <c r="G5" s="116" t="s">
        <v>60</v>
      </c>
      <c r="H5" s="116" t="s">
        <v>94</v>
      </c>
      <c r="I5" s="116" t="str">
        <f aca="false">+F5</f>
        <v>IF-A/S EAST OFFER</v>
      </c>
      <c r="J5" s="116" t="str">
        <f aca="false">+G5</f>
        <v>HSC</v>
      </c>
      <c r="K5" s="116" t="s">
        <v>94</v>
      </c>
      <c r="L5" s="116" t="str">
        <f aca="false">+F5</f>
        <v>IF-A/S EAST OFFER</v>
      </c>
      <c r="M5" s="116" t="str">
        <f aca="false">+G5</f>
        <v>HSC</v>
      </c>
      <c r="N5" s="116" t="s">
        <v>95</v>
      </c>
      <c r="O5" s="116" t="str">
        <f aca="false">+F5</f>
        <v>IF-A/S EAST OFFER</v>
      </c>
      <c r="P5" s="116" t="str">
        <f aca="false">+G5</f>
        <v>HSC</v>
      </c>
      <c r="Q5" s="116" t="s">
        <v>94</v>
      </c>
      <c r="R5" s="116" t="s">
        <v>96</v>
      </c>
      <c r="S5" s="116" t="s">
        <v>97</v>
      </c>
      <c r="T5" s="116" t="s">
        <v>97</v>
      </c>
      <c r="U5" s="117" t="s">
        <v>98</v>
      </c>
      <c r="V5" s="118" t="s">
        <v>99</v>
      </c>
      <c r="W5" s="197"/>
      <c r="X5" s="120" t="s">
        <v>100</v>
      </c>
      <c r="Y5" s="121" t="s">
        <v>101</v>
      </c>
      <c r="Z5" s="121" t="s">
        <v>102</v>
      </c>
      <c r="AA5" s="122" t="s">
        <v>103</v>
      </c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12.75" hidden="false" customHeight="false" outlineLevel="0" collapsed="false">
      <c r="A6" s="123"/>
      <c r="B6" s="123"/>
      <c r="N6" s="124"/>
      <c r="R6" s="125"/>
      <c r="X6" s="198" t="n">
        <f aca="false">+AA6-SUM(Y6:Z6)</f>
        <v>0.000570181462037224</v>
      </c>
      <c r="Y6" s="199" t="n">
        <f aca="false">+$S$20/$K$20</f>
        <v>0.00419612707017295</v>
      </c>
      <c r="Z6" s="199" t="n">
        <f aca="false">+$T$1</f>
        <v>0.037</v>
      </c>
      <c r="AA6" s="128" t="n">
        <f aca="false">+H1</f>
        <v>0.0417663085322102</v>
      </c>
    </row>
    <row r="7" customFormat="false" ht="15" hidden="false" customHeight="false" outlineLevel="0" collapsed="false">
      <c r="A7" s="129" t="n">
        <v>36647</v>
      </c>
      <c r="B7" s="130" t="n">
        <f aca="false">+'GD Options'!M5</f>
        <v>0.061739896749392</v>
      </c>
      <c r="C7" s="131" t="n">
        <f aca="false">1/((1+B7/2)^(2*(A7-$B$1)/365.25))</f>
        <v>4.68679942932618</v>
      </c>
      <c r="D7" s="132" t="n">
        <f aca="false">IF($D$24,-'Deal Volumes'!D22-'Deal Volumes'!H22,'Model - Term'!$D$25)</f>
        <v>-65914.0850236965</v>
      </c>
      <c r="E7" s="133" t="n">
        <f aca="false">IF($D$24=1,-'Deal Volumes'!F22-'Deal Volumes'!J22-'Deal Volumes'!L22,'Model - Term'!$D$26)</f>
        <v>-9085.9149763035</v>
      </c>
      <c r="F7" s="134" t="n">
        <f aca="false">+(D7)*'Deal Volumes'!B22</f>
        <v>-2043336.63573459</v>
      </c>
      <c r="G7" s="133" t="n">
        <f aca="false">+E7*'Deal Volumes'!B22</f>
        <v>-281663.364265408</v>
      </c>
      <c r="H7" s="133" t="n">
        <f aca="false">+F7+G7</f>
        <v>-2325000</v>
      </c>
      <c r="I7" s="132" t="n">
        <f aca="false">+F7*$C7</f>
        <v>-9576708.97828216</v>
      </c>
      <c r="J7" s="134" t="n">
        <f aca="false">+G7*$C7</f>
        <v>-1320099.69490121</v>
      </c>
      <c r="K7" s="135" t="n">
        <f aca="false">SUM(I7:J7)</f>
        <v>-10896808.6731834</v>
      </c>
      <c r="L7" s="136" t="n">
        <f aca="false">+Curves!C2</f>
        <v>-0.005</v>
      </c>
      <c r="M7" s="137" t="n">
        <f aca="false">+Curves!E2</f>
        <v>-0.005</v>
      </c>
      <c r="N7" s="138" t="n">
        <f aca="false">+I7*(L7-$H$1)+J7*(M7-$H$1)</f>
        <v>509603.516426557</v>
      </c>
      <c r="O7" s="139" t="n">
        <f aca="false">-I7*(L7-$F$1)</f>
        <v>-23941.7724457054</v>
      </c>
      <c r="P7" s="140" t="n">
        <f aca="false">-J7*(M7-$F$2)</f>
        <v>3300.24923725302</v>
      </c>
      <c r="Q7" s="139" t="n">
        <f aca="false">SUM(O7:P7)</f>
        <v>-20641.5232084524</v>
      </c>
      <c r="R7" s="141" t="n">
        <f aca="false">+D7*'Deal Volumes'!B22</f>
        <v>-2043336.63573459</v>
      </c>
      <c r="S7" s="207" t="n">
        <f aca="false">+R7*$S$1</f>
        <v>-81733.4654293837</v>
      </c>
      <c r="T7" s="208" t="n">
        <f aca="false">+$T$1*K7</f>
        <v>-403181.920907785</v>
      </c>
      <c r="U7" s="143" t="n">
        <f aca="false">+Q7+T7+S7</f>
        <v>-505556.909545621</v>
      </c>
      <c r="V7" s="144" t="n">
        <f aca="false">+N7+U7</f>
        <v>4046.60688093654</v>
      </c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" hidden="false" customHeight="false" outlineLevel="0" collapsed="false">
      <c r="A8" s="129" t="n">
        <v>36678</v>
      </c>
      <c r="B8" s="145" t="n">
        <f aca="false">+'GD Options'!M6</f>
        <v>0.062588347760124</v>
      </c>
      <c r="C8" s="146" t="n">
        <f aca="false">1/((1+B8/2)^(2*(A8-$B$1)/365.25))</f>
        <v>4.76083937441728</v>
      </c>
      <c r="D8" s="147" t="n">
        <f aca="false">IF($D$24,-'Deal Volumes'!D23-'Deal Volumes'!H23,'Model - Term'!$D$25)</f>
        <v>-65914.0850236965</v>
      </c>
      <c r="E8" s="148" t="n">
        <f aca="false">IF($D$24=1,-'Deal Volumes'!F23-'Deal Volumes'!J23-'Deal Volumes'!L23,'Model - Term'!$D$26)</f>
        <v>-9085.91497630349</v>
      </c>
      <c r="F8" s="149" t="n">
        <f aca="false">+(D8)*'Deal Volumes'!B23</f>
        <v>-1977422.5507109</v>
      </c>
      <c r="G8" s="148" t="n">
        <f aca="false">+E8*'Deal Volumes'!B23</f>
        <v>-272577.449289105</v>
      </c>
      <c r="H8" s="148" t="n">
        <f aca="false">+F8+G8</f>
        <v>-2250000</v>
      </c>
      <c r="I8" s="147" t="n">
        <f aca="false">+F8*$C8</f>
        <v>-9414191.13928507</v>
      </c>
      <c r="J8" s="149" t="n">
        <f aca="false">+G8*$C8</f>
        <v>-1297697.4531538</v>
      </c>
      <c r="K8" s="150" t="n">
        <f aca="false">SUM(I8:J8)</f>
        <v>-10711888.5924389</v>
      </c>
      <c r="L8" s="151" t="n">
        <f aca="false">+Curves!C3</f>
        <v>-0.005</v>
      </c>
      <c r="M8" s="152" t="n">
        <f aca="false">+Curves!E3</f>
        <v>-0.005</v>
      </c>
      <c r="N8" s="153" t="n">
        <f aca="false">+I8*(L8-$H$1)+J8*(M8-$H$1)</f>
        <v>500955.486876659</v>
      </c>
      <c r="O8" s="154" t="n">
        <f aca="false">-I8*(L8-$F$1)</f>
        <v>-23535.4778482127</v>
      </c>
      <c r="P8" s="155" t="n">
        <f aca="false">-J8*(M8-$F$2)</f>
        <v>3244.2436328845</v>
      </c>
      <c r="Q8" s="154" t="n">
        <f aca="false">SUM(O8:P8)</f>
        <v>-20291.2342153282</v>
      </c>
      <c r="R8" s="156" t="n">
        <f aca="false">+D8*'Deal Volumes'!B23</f>
        <v>-1977422.5507109</v>
      </c>
      <c r="S8" s="209" t="n">
        <f aca="false">+R8*$S$1</f>
        <v>-79096.9020284358</v>
      </c>
      <c r="T8" s="210" t="n">
        <f aca="false">+$T$1*K8</f>
        <v>-396339.877920238</v>
      </c>
      <c r="U8" s="158" t="n">
        <f aca="false">+Q8+T8+S8</f>
        <v>-495728.014164002</v>
      </c>
      <c r="V8" s="159" t="n">
        <f aca="false">+N8+U8</f>
        <v>5227.4727126566</v>
      </c>
      <c r="W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customFormat="false" ht="15" hidden="false" customHeight="false" outlineLevel="0" collapsed="false">
      <c r="A9" s="129" t="n">
        <v>36708</v>
      </c>
      <c r="B9" s="145" t="n">
        <f aca="false">+'GD Options'!M7</f>
        <v>0.063435677173907</v>
      </c>
      <c r="C9" s="146" t="n">
        <f aca="false">1/((1+B9/2)^(2*(A9-$B$1)/365.25))</f>
        <v>4.83602636848189</v>
      </c>
      <c r="D9" s="147" t="n">
        <f aca="false">IF($D$24,-'Deal Volumes'!D24-'Deal Volumes'!H24,'Model - Term'!$D$25)</f>
        <v>-87885.446698262</v>
      </c>
      <c r="E9" s="148" t="n">
        <f aca="false">IF($D$24=1,-'Deal Volumes'!F24-'Deal Volumes'!J24-'Deal Volumes'!L24,'Model - Term'!$D$26)</f>
        <v>-12114.553301738</v>
      </c>
      <c r="F9" s="149" t="n">
        <f aca="false">+(D9)*'Deal Volumes'!B24</f>
        <v>-2724448.84764612</v>
      </c>
      <c r="G9" s="148" t="n">
        <f aca="false">+E9*'Deal Volumes'!B24</f>
        <v>-375551.152353878</v>
      </c>
      <c r="H9" s="148" t="n">
        <f aca="false">+F9+G9</f>
        <v>-3100000</v>
      </c>
      <c r="I9" s="147" t="n">
        <f aca="false">+F9*$C9</f>
        <v>-13175506.4667967</v>
      </c>
      <c r="J9" s="149" t="n">
        <f aca="false">+G9*$C9</f>
        <v>-1816175.27549711</v>
      </c>
      <c r="K9" s="150" t="n">
        <f aca="false">SUM(I9:J9)</f>
        <v>-14991681.7422939</v>
      </c>
      <c r="L9" s="151" t="n">
        <f aca="false">+Curves!C4</f>
        <v>0</v>
      </c>
      <c r="M9" s="152" t="n">
        <f aca="false">+Curves!E4</f>
        <v>-0.005</v>
      </c>
      <c r="N9" s="153" t="n">
        <f aca="false">+I9*(L9-$H$1)+J9*(M9-$H$1)</f>
        <v>635228.081442833</v>
      </c>
      <c r="O9" s="154" t="n">
        <f aca="false">-I9*(L9-$F$1)</f>
        <v>32938.7661669919</v>
      </c>
      <c r="P9" s="155" t="n">
        <f aca="false">-J9*(M9-$F$2)</f>
        <v>4540.43818874278</v>
      </c>
      <c r="Q9" s="154" t="n">
        <f aca="false">SUM(O9:P9)</f>
        <v>37479.2043557347</v>
      </c>
      <c r="R9" s="156" t="n">
        <f aca="false">+D9*'Deal Volumes'!B24</f>
        <v>-2724448.84764612</v>
      </c>
      <c r="S9" s="209" t="n">
        <f aca="false">+R9*$S$1</f>
        <v>-108977.953905845</v>
      </c>
      <c r="T9" s="210" t="n">
        <f aca="false">+$T$1*K9</f>
        <v>-554692.224464873</v>
      </c>
      <c r="U9" s="158" t="n">
        <f aca="false">+Q9+T9+S9</f>
        <v>-626190.974014983</v>
      </c>
      <c r="V9" s="159" t="n">
        <f aca="false">+N9+U9</f>
        <v>9037.10742785002</v>
      </c>
      <c r="W9" s="123"/>
      <c r="Y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5" hidden="false" customHeight="false" outlineLevel="0" collapsed="false">
      <c r="A10" s="129" t="n">
        <v>36739</v>
      </c>
      <c r="B10" s="145" t="n">
        <f aca="false">+'GD Options'!M8</f>
        <v>0.064112455868493</v>
      </c>
      <c r="C10" s="146" t="n">
        <f aca="false">1/((1+B10/2)^(2*(A10-$B$1)/365.25))</f>
        <v>4.89047649718721</v>
      </c>
      <c r="D10" s="147" t="n">
        <f aca="false">IF($D$24,-'Deal Volumes'!D25-'Deal Volumes'!H25,'Model - Term'!$D$25)</f>
        <v>-87885.446698262</v>
      </c>
      <c r="E10" s="148" t="n">
        <f aca="false">IF($D$24=1,-'Deal Volumes'!F25-'Deal Volumes'!J25-'Deal Volumes'!L25,'Model - Term'!$D$26)</f>
        <v>-12114.553301738</v>
      </c>
      <c r="F10" s="149" t="n">
        <f aca="false">+(D10)*'Deal Volumes'!B25</f>
        <v>-2724448.84764612</v>
      </c>
      <c r="G10" s="148" t="n">
        <f aca="false">+E10*'Deal Volumes'!B25</f>
        <v>-375551.152353878</v>
      </c>
      <c r="H10" s="148" t="n">
        <f aca="false">+F10+G10</f>
        <v>-3100000</v>
      </c>
      <c r="I10" s="147" t="n">
        <f aca="false">+F10*$C10</f>
        <v>-13323853.0572022</v>
      </c>
      <c r="J10" s="149" t="n">
        <f aca="false">+G10*$C10</f>
        <v>-1836624.08407821</v>
      </c>
      <c r="K10" s="150" t="n">
        <f aca="false">SUM(I10:J10)</f>
        <v>-15160477.1412804</v>
      </c>
      <c r="L10" s="151" t="n">
        <f aca="false">+Curves!C5</f>
        <v>0</v>
      </c>
      <c r="M10" s="152" t="n">
        <f aca="false">+Curves!E5</f>
        <v>-0.005</v>
      </c>
      <c r="N10" s="153" t="n">
        <f aca="false">+I10*(L10-$H$1)+J10*(M10-$H$1)</f>
        <v>642380.286198626</v>
      </c>
      <c r="O10" s="154" t="n">
        <f aca="false">-I10*(L10-$F$1)</f>
        <v>33309.6326430054</v>
      </c>
      <c r="P10" s="155" t="n">
        <f aca="false">-J10*(M10-$F$2)</f>
        <v>4591.56021019553</v>
      </c>
      <c r="Q10" s="154" t="n">
        <f aca="false">SUM(O10:P10)</f>
        <v>37901.1928532009</v>
      </c>
      <c r="R10" s="156" t="n">
        <f aca="false">+D10*'Deal Volumes'!B25</f>
        <v>-2724448.84764612</v>
      </c>
      <c r="S10" s="209" t="n">
        <f aca="false">+R10*$S$1</f>
        <v>-108977.953905845</v>
      </c>
      <c r="T10" s="210" t="n">
        <f aca="false">+$T$1*K10</f>
        <v>-560937.654227373</v>
      </c>
      <c r="U10" s="158" t="n">
        <f aca="false">+Q10+T10+S10</f>
        <v>-632014.415280017</v>
      </c>
      <c r="V10" s="159" t="n">
        <f aca="false">+N10+U10</f>
        <v>10365.870918609</v>
      </c>
      <c r="W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5" hidden="false" customHeight="false" outlineLevel="0" collapsed="false">
      <c r="A11" s="129" t="n">
        <v>36770</v>
      </c>
      <c r="B11" s="145" t="n">
        <f aca="false">+'GD Options'!M9</f>
        <v>0.064789234714962</v>
      </c>
      <c r="C11" s="146" t="n">
        <f aca="false">1/((1+B11/2)^(2*(A11-$B$1)/365.25))</f>
        <v>4.94496249936633</v>
      </c>
      <c r="D11" s="147" t="n">
        <f aca="false">IF($D$24,-'Deal Volumes'!D26-'Deal Volumes'!H26,'Model - Term'!$D$25)</f>
        <v>-87885.446698262</v>
      </c>
      <c r="E11" s="148" t="n">
        <f aca="false">IF($D$24=1,-'Deal Volumes'!F26-'Deal Volumes'!J26-'Deal Volumes'!L26,'Model - Term'!$D$26)</f>
        <v>-12114.553301738</v>
      </c>
      <c r="F11" s="149" t="n">
        <f aca="false">+(D11)*'Deal Volumes'!B26</f>
        <v>-2636563.40094786</v>
      </c>
      <c r="G11" s="148" t="n">
        <f aca="false">+E11*'Deal Volumes'!B26</f>
        <v>-363436.59905214</v>
      </c>
      <c r="H11" s="148" t="n">
        <f aca="false">+F11+G11</f>
        <v>-3000000</v>
      </c>
      <c r="I11" s="147" t="n">
        <f aca="false">+F11*$C11</f>
        <v>-13037707.1448889</v>
      </c>
      <c r="J11" s="149" t="n">
        <f aca="false">+G11*$C11</f>
        <v>-1797180.35321007</v>
      </c>
      <c r="K11" s="150" t="n">
        <f aca="false">SUM(I11:J11)</f>
        <v>-14834887.498099</v>
      </c>
      <c r="L11" s="151" t="n">
        <f aca="false">+Curves!C6</f>
        <v>0</v>
      </c>
      <c r="M11" s="152" t="n">
        <f aca="false">+Curves!E6</f>
        <v>-0.005</v>
      </c>
      <c r="N11" s="153" t="n">
        <f aca="false">+I11*(L11-$H$1)+J11*(M11-$H$1)</f>
        <v>628584.390052281</v>
      </c>
      <c r="O11" s="154" t="n">
        <f aca="false">-I11*(L11-$F$1)</f>
        <v>32594.2678622223</v>
      </c>
      <c r="P11" s="155" t="n">
        <f aca="false">-J11*(M11-$F$2)</f>
        <v>4492.95088302517</v>
      </c>
      <c r="Q11" s="154" t="n">
        <f aca="false">SUM(O11:P11)</f>
        <v>37087.2187452475</v>
      </c>
      <c r="R11" s="156" t="n">
        <f aca="false">+D11*'Deal Volumes'!B26</f>
        <v>-2636563.40094786</v>
      </c>
      <c r="S11" s="209" t="n">
        <f aca="false">+R11*$S$1</f>
        <v>-105462.536037914</v>
      </c>
      <c r="T11" s="210" t="n">
        <f aca="false">+$T$1*K11</f>
        <v>-548890.837429663</v>
      </c>
      <c r="U11" s="158" t="n">
        <f aca="false">+Q11+T11+S11</f>
        <v>-617266.15472233</v>
      </c>
      <c r="V11" s="159" t="n">
        <f aca="false">+N11+U11</f>
        <v>11318.2353299508</v>
      </c>
      <c r="W11" s="123"/>
      <c r="Z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5" hidden="false" customHeight="false" outlineLevel="0" collapsed="false">
      <c r="A12" s="129" t="n">
        <v>36800</v>
      </c>
      <c r="B12" s="145" t="n">
        <f aca="false">+'GD Options'!M10</f>
        <v>0.065417688435194</v>
      </c>
      <c r="C12" s="146" t="n">
        <f aca="false">1/((1+B12/2)^(2*(A12-$B$1)/365.25))</f>
        <v>4.99451118647667</v>
      </c>
      <c r="D12" s="147" t="n">
        <f aca="false">IF($D$24,-'Deal Volumes'!D27-'Deal Volumes'!H27,'Model - Term'!$D$25)</f>
        <v>-39548.4510142179</v>
      </c>
      <c r="E12" s="148" t="n">
        <f aca="false">IF($D$24=1,-'Deal Volumes'!F27-'Deal Volumes'!J27-'Deal Volumes'!L27,'Model - Term'!$D$26)</f>
        <v>-5451.5489857821</v>
      </c>
      <c r="F12" s="149" t="n">
        <f aca="false">+(D12)*'Deal Volumes'!B27</f>
        <v>-1226001.98144076</v>
      </c>
      <c r="G12" s="148" t="n">
        <f aca="false">+E12*'Deal Volumes'!B27</f>
        <v>-168998.018559245</v>
      </c>
      <c r="H12" s="148" t="n">
        <f aca="false">+F12+G12</f>
        <v>-1395000</v>
      </c>
      <c r="I12" s="147" t="n">
        <f aca="false">+F12*$C12</f>
        <v>-6123280.61094842</v>
      </c>
      <c r="J12" s="149" t="n">
        <f aca="false">+G12*$C12</f>
        <v>-844062.494186542</v>
      </c>
      <c r="K12" s="150" t="n">
        <f aca="false">SUM(I12:J12)</f>
        <v>-6967343.10513496</v>
      </c>
      <c r="L12" s="151" t="n">
        <f aca="false">+Curves!C7</f>
        <v>-0.005</v>
      </c>
      <c r="M12" s="152" t="n">
        <f aca="false">+Curves!E7</f>
        <v>-0.005</v>
      </c>
      <c r="N12" s="153" t="n">
        <f aca="false">+I12*(L12-$H$1)+J12*(M12-$H$1)</f>
        <v>325836.917304509</v>
      </c>
      <c r="O12" s="154" t="n">
        <f aca="false">-I12*(L12-$F$1)</f>
        <v>-15308.201527371</v>
      </c>
      <c r="P12" s="155" t="n">
        <f aca="false">-J12*(M12-$F$2)</f>
        <v>2110.15623546635</v>
      </c>
      <c r="Q12" s="154" t="n">
        <f aca="false">SUM(O12:P12)</f>
        <v>-13198.0452919047</v>
      </c>
      <c r="R12" s="156" t="n">
        <f aca="false">+D12*'Deal Volumes'!B27</f>
        <v>-1226001.98144076</v>
      </c>
      <c r="S12" s="209" t="n">
        <v>0</v>
      </c>
      <c r="T12" s="210" t="n">
        <f aca="false">+$T$1*K12</f>
        <v>-257791.694889994</v>
      </c>
      <c r="U12" s="158" t="n">
        <f aca="false">+Q12+T12+S12</f>
        <v>-270989.740181898</v>
      </c>
      <c r="V12" s="159" t="n">
        <f aca="false">+N12+U12</f>
        <v>54847.1771226105</v>
      </c>
      <c r="W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15" hidden="false" customHeight="false" outlineLevel="0" collapsed="false">
      <c r="A13" s="129" t="n">
        <v>36831</v>
      </c>
      <c r="B13" s="145" t="n">
        <f aca="false">+'GD Options'!M11</f>
        <v>0.066017878160483</v>
      </c>
      <c r="C13" s="146" t="n">
        <f aca="false">1/((1+B13/2)^(2*(A13-$B$1)/365.25))</f>
        <v>5.03969676551767</v>
      </c>
      <c r="D13" s="147" t="n">
        <f aca="false">IF($D$24,-'Deal Volumes'!D28-'Deal Volumes'!H28,'Model - Term'!$D$25)</f>
        <v>-39548.4510142179</v>
      </c>
      <c r="E13" s="148" t="n">
        <f aca="false">IF($D$24=1,-'Deal Volumes'!F28-'Deal Volumes'!J28-'Deal Volumes'!L28,'Model - Term'!$D$26)</f>
        <v>-5451.5489857821</v>
      </c>
      <c r="F13" s="149" t="n">
        <f aca="false">+(D13)*'Deal Volumes'!B28</f>
        <v>-1186453.53042654</v>
      </c>
      <c r="G13" s="148" t="n">
        <f aca="false">+E13*'Deal Volumes'!B28</f>
        <v>-163546.469573463</v>
      </c>
      <c r="H13" s="148" t="n">
        <f aca="false">+F13+G13</f>
        <v>-1350000</v>
      </c>
      <c r="I13" s="147" t="n">
        <f aca="false">+F13*$C13</f>
        <v>-5979366.01972764</v>
      </c>
      <c r="J13" s="149" t="n">
        <f aca="false">+G13*$C13</f>
        <v>-824224.613721215</v>
      </c>
      <c r="K13" s="150" t="n">
        <f aca="false">SUM(I13:J13)</f>
        <v>-6803590.63344886</v>
      </c>
      <c r="L13" s="151" t="n">
        <f aca="false">+Curves!C8</f>
        <v>-0.005</v>
      </c>
      <c r="M13" s="152" t="n">
        <f aca="false">+Curves!E8</f>
        <v>-0.005</v>
      </c>
      <c r="N13" s="153" t="n">
        <f aca="false">+I13*(L13-$H$1)+J13*(M13-$H$1)</f>
        <v>318178.818690725</v>
      </c>
      <c r="O13" s="154" t="n">
        <f aca="false">-I13*(L13-$F$1)</f>
        <v>-14948.4150493191</v>
      </c>
      <c r="P13" s="155" t="n">
        <f aca="false">-J13*(M13-$F$2)</f>
        <v>2060.56153430304</v>
      </c>
      <c r="Q13" s="154" t="n">
        <f aca="false">SUM(O13:P13)</f>
        <v>-12887.8535150161</v>
      </c>
      <c r="R13" s="156" t="n">
        <f aca="false">+D13*'Deal Volumes'!B28</f>
        <v>-1186453.53042654</v>
      </c>
      <c r="S13" s="209" t="n">
        <v>0</v>
      </c>
      <c r="T13" s="210" t="n">
        <f aca="false">+$T$1*K13</f>
        <v>-251732.853437608</v>
      </c>
      <c r="U13" s="158" t="n">
        <f aca="false">+Q13+T13+S13</f>
        <v>-264620.706952624</v>
      </c>
      <c r="V13" s="159" t="n">
        <f aca="false">+N13+U13</f>
        <v>53558.1117381007</v>
      </c>
      <c r="W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  <c r="IW13" s="123"/>
    </row>
    <row r="14" customFormat="false" ht="15" hidden="false" customHeight="false" outlineLevel="0" collapsed="false">
      <c r="A14" s="129" t="n">
        <v>36861</v>
      </c>
      <c r="B14" s="145" t="n">
        <f aca="false">+'GD Options'!M12</f>
        <v>0.066598707040522</v>
      </c>
      <c r="C14" s="146" t="n">
        <f aca="false">1/((1+B14/2)^(2*(A14-$B$1)/365.25))</f>
        <v>5.08331623753918</v>
      </c>
      <c r="D14" s="147" t="n">
        <f aca="false">IF($D$24,-'Deal Volumes'!D29-'Deal Volumes'!H29,'Model - Term'!$D$25)</f>
        <v>-39548.4510142179</v>
      </c>
      <c r="E14" s="148" t="n">
        <f aca="false">IF($D$24=1,-'Deal Volumes'!F29-'Deal Volumes'!J29-'Deal Volumes'!L29,'Model - Term'!$D$26)</f>
        <v>-5451.5489857821</v>
      </c>
      <c r="F14" s="149" t="n">
        <f aca="false">+(D14)*'Deal Volumes'!B29</f>
        <v>-1226001.98144076</v>
      </c>
      <c r="G14" s="148" t="n">
        <f aca="false">+E14*'Deal Volumes'!B29</f>
        <v>-168998.018559245</v>
      </c>
      <c r="H14" s="148" t="n">
        <f aca="false">+F14+G14</f>
        <v>-1395000</v>
      </c>
      <c r="I14" s="147" t="n">
        <f aca="false">+F14*$C14</f>
        <v>-6232155.779513</v>
      </c>
      <c r="J14" s="149" t="n">
        <f aca="false">+G14*$C14</f>
        <v>-859070.371854158</v>
      </c>
      <c r="K14" s="150" t="n">
        <f aca="false">SUM(I14:J14)</f>
        <v>-7091226.15136716</v>
      </c>
      <c r="L14" s="151" t="n">
        <f aca="false">+Curves!C9</f>
        <v>0</v>
      </c>
      <c r="M14" s="152" t="n">
        <f aca="false">+Curves!E9</f>
        <v>-0.005</v>
      </c>
      <c r="N14" s="153" t="n">
        <f aca="false">+I14*(L14-$H$1)+J14*(M14-$H$1)</f>
        <v>300469.691168949</v>
      </c>
      <c r="O14" s="154" t="n">
        <f aca="false">-I14*(L14-$F$1)</f>
        <v>15580.3894487825</v>
      </c>
      <c r="P14" s="155" t="n">
        <f aca="false">-J14*(M14-$F$2)</f>
        <v>2147.67592963539</v>
      </c>
      <c r="Q14" s="154" t="n">
        <f aca="false">SUM(O14:P14)</f>
        <v>17728.0653784179</v>
      </c>
      <c r="R14" s="156" t="n">
        <f aca="false">+D14*'Deal Volumes'!B29</f>
        <v>-1226001.98144076</v>
      </c>
      <c r="S14" s="209" t="n">
        <v>1</v>
      </c>
      <c r="T14" s="210" t="n">
        <f aca="false">+$T$1*K14</f>
        <v>-262375.367600585</v>
      </c>
      <c r="U14" s="158" t="n">
        <f aca="false">+Q14+T14+S14</f>
        <v>-244646.302222167</v>
      </c>
      <c r="V14" s="159" t="n">
        <f aca="false">+N14+U14</f>
        <v>55823.3889467819</v>
      </c>
      <c r="W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  <c r="IW14" s="123"/>
    </row>
    <row r="15" customFormat="false" ht="15" hidden="false" customHeight="false" outlineLevel="0" collapsed="false">
      <c r="A15" s="129" t="n">
        <v>36892</v>
      </c>
      <c r="B15" s="145" t="n">
        <f aca="false">+'GD Options'!M13</f>
        <v>0.06717047581431</v>
      </c>
      <c r="C15" s="146" t="n">
        <f aca="false">1/((1+B15/2)^(2*(A15-$B$1)/365.25))</f>
        <v>5.12478111095313</v>
      </c>
      <c r="D15" s="147" t="n">
        <f aca="false">IF($D$24,-'Deal Volumes'!D30-'Deal Volumes'!H30,'Model - Term'!$D$25)</f>
        <v>-39548.4510142179</v>
      </c>
      <c r="E15" s="148" t="n">
        <f aca="false">IF($D$24=1,-'Deal Volumes'!F30-'Deal Volumes'!J30-'Deal Volumes'!L30,'Model - Term'!$D$26)</f>
        <v>-5451.5489857821</v>
      </c>
      <c r="F15" s="149" t="n">
        <f aca="false">+(D15)*'Deal Volumes'!B30</f>
        <v>-1226001.98144076</v>
      </c>
      <c r="G15" s="148" t="n">
        <f aca="false">+E15*'Deal Volumes'!B30</f>
        <v>-168998.018559245</v>
      </c>
      <c r="H15" s="148" t="n">
        <f aca="false">+F15+G15</f>
        <v>-1395000</v>
      </c>
      <c r="I15" s="147" t="n">
        <f aca="false">+F15*$C15</f>
        <v>-6282991.79647869</v>
      </c>
      <c r="J15" s="149" t="n">
        <f aca="false">+G15*$C15</f>
        <v>-866077.853300925</v>
      </c>
      <c r="K15" s="150" t="n">
        <f aca="false">SUM(I15:J15)</f>
        <v>-7149069.64977962</v>
      </c>
      <c r="L15" s="151" t="n">
        <f aca="false">+Curves!C10</f>
        <v>0</v>
      </c>
      <c r="M15" s="152" t="n">
        <f aca="false">+Curves!E10</f>
        <v>-0.005</v>
      </c>
      <c r="N15" s="153" t="n">
        <f aca="false">+I15*(L15-$H$1)+J15*(M15-$H$1)</f>
        <v>302920.63797746</v>
      </c>
      <c r="O15" s="154" t="n">
        <f aca="false">-I15*(L15-$F$1)</f>
        <v>15707.4794911967</v>
      </c>
      <c r="P15" s="155" t="n">
        <f aca="false">-J15*(M15-$F$2)</f>
        <v>2165.19463325231</v>
      </c>
      <c r="Q15" s="154" t="n">
        <f aca="false">SUM(O15:P15)</f>
        <v>17872.674124449</v>
      </c>
      <c r="R15" s="156" t="n">
        <f aca="false">+D15*'Deal Volumes'!B30</f>
        <v>-1226001.98144076</v>
      </c>
      <c r="S15" s="209" t="n">
        <v>0</v>
      </c>
      <c r="T15" s="210" t="n">
        <f aca="false">+$T$1*K15</f>
        <v>-264515.577041846</v>
      </c>
      <c r="U15" s="158" t="n">
        <f aca="false">+Q15+T15+S15</f>
        <v>-246642.902917397</v>
      </c>
      <c r="V15" s="159" t="n">
        <f aca="false">+N15+U15</f>
        <v>56277.735060063</v>
      </c>
      <c r="W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  <c r="IW15" s="123"/>
    </row>
    <row r="16" customFormat="false" ht="15" hidden="false" customHeight="false" outlineLevel="0" collapsed="false">
      <c r="A16" s="129" t="n">
        <v>36923</v>
      </c>
      <c r="B16" s="145" t="n">
        <f aca="false">+'GD Options'!M14</f>
        <v>0.067697244476729</v>
      </c>
      <c r="C16" s="146" t="n">
        <f aca="false">1/((1+B16/2)^(2*(A16-$B$1)/365.25))</f>
        <v>5.16053995078435</v>
      </c>
      <c r="D16" s="147" t="n">
        <f aca="false">IF($D$24,-'Deal Volumes'!D31-'Deal Volumes'!H31,'Model - Term'!$D$25)</f>
        <v>-39548.4510142179</v>
      </c>
      <c r="E16" s="148" t="n">
        <f aca="false">IF($D$24=1,-'Deal Volumes'!F31-'Deal Volumes'!J31-'Deal Volumes'!L31,'Model - Term'!$D$26)</f>
        <v>-5451.5489857821</v>
      </c>
      <c r="F16" s="149" t="n">
        <f aca="false">+(D16)*'Deal Volumes'!B31</f>
        <v>-1107356.6283981</v>
      </c>
      <c r="G16" s="148" t="n">
        <f aca="false">+E16*'Deal Volumes'!B31</f>
        <v>-152643.371601899</v>
      </c>
      <c r="H16" s="148" t="n">
        <f aca="false">+F16+G16</f>
        <v>-1260000</v>
      </c>
      <c r="I16" s="147" t="n">
        <f aca="false">+F16*$C16</f>
        <v>-5714558.12061426</v>
      </c>
      <c r="J16" s="149" t="n">
        <f aca="false">+G16*$C16</f>
        <v>-787722.21737402</v>
      </c>
      <c r="K16" s="150" t="n">
        <f aca="false">SUM(I16:J16)</f>
        <v>-6502280.33798828</v>
      </c>
      <c r="L16" s="151" t="n">
        <f aca="false">+Curves!C11</f>
        <v>0</v>
      </c>
      <c r="M16" s="152" t="n">
        <f aca="false">+Curves!E11</f>
        <v>-0.005</v>
      </c>
      <c r="N16" s="153" t="n">
        <f aca="false">+I16*(L16-$H$1)+J16*(M16-$H$1)</f>
        <v>275514.857846213</v>
      </c>
      <c r="O16" s="154" t="n">
        <f aca="false">-I16*(L16-$F$1)</f>
        <v>14286.3953015357</v>
      </c>
      <c r="P16" s="155" t="n">
        <f aca="false">-J16*(M16-$F$2)</f>
        <v>1969.30554343505</v>
      </c>
      <c r="Q16" s="154" t="n">
        <f aca="false">SUM(O16:P16)</f>
        <v>16255.7008449707</v>
      </c>
      <c r="R16" s="156" t="n">
        <f aca="false">+D16*'Deal Volumes'!B31</f>
        <v>-1107356.6283981</v>
      </c>
      <c r="S16" s="209" t="n">
        <v>0</v>
      </c>
      <c r="T16" s="210" t="n">
        <f aca="false">+$T$1*K16</f>
        <v>-240584.372505567</v>
      </c>
      <c r="U16" s="158" t="n">
        <f aca="false">+Q16+T16+S16</f>
        <v>-224328.671660596</v>
      </c>
      <c r="V16" s="159" t="n">
        <f aca="false">+N16+U16</f>
        <v>51186.1861856168</v>
      </c>
      <c r="W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  <c r="IW16" s="123"/>
    </row>
    <row r="17" customFormat="false" ht="15" hidden="false" customHeight="false" outlineLevel="0" collapsed="false">
      <c r="A17" s="129" t="n">
        <v>36951</v>
      </c>
      <c r="B17" s="145" t="n">
        <f aca="false">+'GD Options'!M15</f>
        <v>0.068173035605607</v>
      </c>
      <c r="C17" s="146" t="n">
        <f aca="false">1/((1+B17/2)^(2*(A17-$B$1)/365.25))</f>
        <v>5.19265235895214</v>
      </c>
      <c r="D17" s="147" t="n">
        <f aca="false">IF($D$24,-'Deal Volumes'!D32-'Deal Volumes'!H32,'Model - Term'!$D$25)</f>
        <v>-39548.4510142179</v>
      </c>
      <c r="E17" s="148" t="n">
        <f aca="false">IF($D$24=1,-'Deal Volumes'!F32-'Deal Volumes'!J32-'Deal Volumes'!L32,'Model - Term'!$D$26)</f>
        <v>-5451.5489857821</v>
      </c>
      <c r="F17" s="149" t="n">
        <f aca="false">+(D17)*'Deal Volumes'!B32</f>
        <v>-1226001.98144076</v>
      </c>
      <c r="G17" s="148" t="n">
        <f aca="false">+E17*'Deal Volumes'!B32</f>
        <v>-168998.018559245</v>
      </c>
      <c r="H17" s="148" t="n">
        <f aca="false">+F17+G17</f>
        <v>-1395000</v>
      </c>
      <c r="I17" s="147" t="n">
        <f aca="false">+F17*$C17</f>
        <v>-6366202.08100833</v>
      </c>
      <c r="J17" s="149" t="n">
        <f aca="false">+G17*$C17</f>
        <v>-877547.959729901</v>
      </c>
      <c r="K17" s="150" t="n">
        <f aca="false">SUM(I17:J17)</f>
        <v>-7243750.04073823</v>
      </c>
      <c r="L17" s="151" t="n">
        <f aca="false">+Curves!C12</f>
        <v>0</v>
      </c>
      <c r="M17" s="152" t="n">
        <f aca="false">+Curves!E12</f>
        <v>-0.005</v>
      </c>
      <c r="N17" s="153" t="n">
        <f aca="false">+I17*(L17-$H$1)+J17*(M17-$H$1)</f>
        <v>306932.438930333</v>
      </c>
      <c r="O17" s="154" t="n">
        <f aca="false">-I17*(L17-$F$1)</f>
        <v>15915.5052025208</v>
      </c>
      <c r="P17" s="155" t="n">
        <f aca="false">-J17*(M17-$F$2)</f>
        <v>2193.86989932475</v>
      </c>
      <c r="Q17" s="154" t="n">
        <f aca="false">SUM(O17:P17)</f>
        <v>18109.3751018456</v>
      </c>
      <c r="R17" s="156" t="n">
        <f aca="false">+D17*'Deal Volumes'!B32</f>
        <v>-1226001.98144076</v>
      </c>
      <c r="S17" s="209" t="n">
        <v>0</v>
      </c>
      <c r="T17" s="210" t="n">
        <f aca="false">+$T$1*K17</f>
        <v>-268018.751507315</v>
      </c>
      <c r="U17" s="158" t="n">
        <f aca="false">+Q17+T17+S17</f>
        <v>-249909.376405469</v>
      </c>
      <c r="V17" s="159" t="n">
        <f aca="false">+N17+U17</f>
        <v>57023.0625248636</v>
      </c>
      <c r="W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  <c r="IW17" s="123"/>
    </row>
    <row r="18" customFormat="false" ht="15" hidden="false" customHeight="false" outlineLevel="0" collapsed="false">
      <c r="A18" s="129" t="n">
        <v>36982</v>
      </c>
      <c r="B18" s="160" t="n">
        <f aca="false">+'GD Options'!M16</f>
        <v>0.068656219094093</v>
      </c>
      <c r="C18" s="161" t="n">
        <f aca="false">1/((1+B18/2)^(2*(A18-$B$1)/365.25))</f>
        <v>5.22260071337353</v>
      </c>
      <c r="D18" s="162" t="n">
        <f aca="false">IF($D$24,-'Deal Volumes'!D33-'Deal Volumes'!H33,'Model - Term'!$D$25)</f>
        <v>-39548.4510142179</v>
      </c>
      <c r="E18" s="163" t="n">
        <f aca="false">IF($D$24=1,-'Deal Volumes'!F33-'Deal Volumes'!J33-'Deal Volumes'!L33,'Model - Term'!$D$26)</f>
        <v>-5451.5489857821</v>
      </c>
      <c r="F18" s="164" t="n">
        <f aca="false">+(D18)*'Deal Volumes'!B33</f>
        <v>-1186453.53042654</v>
      </c>
      <c r="G18" s="163" t="n">
        <f aca="false">+E18*'Deal Volumes'!B33</f>
        <v>-163546.469573463</v>
      </c>
      <c r="H18" s="163" t="n">
        <f aca="false">+F18+G18</f>
        <v>-1350000</v>
      </c>
      <c r="I18" s="162" t="n">
        <f aca="false">+F18*$C18</f>
        <v>-6196373.05439017</v>
      </c>
      <c r="J18" s="164" t="n">
        <f aca="false">+G18*$C18</f>
        <v>-854137.908664089</v>
      </c>
      <c r="K18" s="165" t="n">
        <f aca="false">SUM(I18:J18)</f>
        <v>-7050510.96305426</v>
      </c>
      <c r="L18" s="166" t="n">
        <f aca="false">+Curves!C13</f>
        <v>-0.005</v>
      </c>
      <c r="M18" s="167" t="n">
        <f aca="false">+Curves!E13</f>
        <v>-0.005</v>
      </c>
      <c r="N18" s="168" t="n">
        <f aca="false">+I18*(L18-$H$1)+J18*(M18-$H$1)</f>
        <v>329726.371007926</v>
      </c>
      <c r="O18" s="169" t="n">
        <f aca="false">-I18*(L18-$F$1)</f>
        <v>-15490.9326359754</v>
      </c>
      <c r="P18" s="170" t="n">
        <f aca="false">-J18*(M18-$F$2)</f>
        <v>2135.34477166022</v>
      </c>
      <c r="Q18" s="169" t="n">
        <f aca="false">SUM(O18:P18)</f>
        <v>-13355.5878643152</v>
      </c>
      <c r="R18" s="171" t="n">
        <f aca="false">+D18*'Deal Volumes'!B33</f>
        <v>-1186453.53042654</v>
      </c>
      <c r="S18" s="211" t="n">
        <v>0</v>
      </c>
      <c r="T18" s="212" t="n">
        <f aca="false">+$T$1*K18</f>
        <v>-260868.905633008</v>
      </c>
      <c r="U18" s="173" t="n">
        <f aca="false">+Q18+T18+S18</f>
        <v>-274224.493497323</v>
      </c>
      <c r="V18" s="174" t="n">
        <f aca="false">+N18+U18</f>
        <v>55501.877510603</v>
      </c>
      <c r="W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  <c r="IU18" s="123"/>
      <c r="IV18" s="123"/>
      <c r="IW18" s="123"/>
    </row>
    <row r="19" customFormat="false" ht="12.75" hidden="false" customHeight="false" outlineLevel="0" collapsed="false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75"/>
      <c r="S19" s="123"/>
      <c r="T19" s="123"/>
      <c r="U19" s="123"/>
      <c r="V19" s="123"/>
      <c r="W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  <c r="IV19" s="123"/>
      <c r="IW19" s="123"/>
    </row>
    <row r="20" customFormat="false" ht="18" hidden="false" customHeight="false" outlineLevel="0" collapsed="false">
      <c r="A20" s="176" t="s">
        <v>21</v>
      </c>
      <c r="B20" s="177"/>
      <c r="C20" s="177"/>
      <c r="D20" s="177"/>
      <c r="E20" s="177"/>
      <c r="F20" s="178" t="n">
        <f aca="false">SUM(F7:F18)</f>
        <v>-20490491.8976998</v>
      </c>
      <c r="G20" s="178" t="n">
        <f aca="false">SUM(G7:G18)</f>
        <v>-2824508.10230021</v>
      </c>
      <c r="H20" s="178" t="n">
        <f aca="false">SUM(H7:H18)</f>
        <v>-23315000</v>
      </c>
      <c r="I20" s="178" t="n">
        <f aca="false">SUM(I7:I18)</f>
        <v>-101422894.249136</v>
      </c>
      <c r="J20" s="178" t="n">
        <f aca="false">SUM(J7:J18)</f>
        <v>-13980620.2796713</v>
      </c>
      <c r="K20" s="178" t="n">
        <f aca="false">SUM(K7:K18)</f>
        <v>-115403514.528807</v>
      </c>
      <c r="L20" s="177"/>
      <c r="M20" s="177"/>
      <c r="N20" s="179" t="n">
        <f aca="false">SUM(N7:N18)</f>
        <v>5076331.49392307</v>
      </c>
      <c r="O20" s="179" t="n">
        <f aca="false">SUM(O7:O18)</f>
        <v>67107.6366096716</v>
      </c>
      <c r="P20" s="179" t="n">
        <f aca="false">SUM(P7:P18)</f>
        <v>34951.5506991781</v>
      </c>
      <c r="Q20" s="179" t="n">
        <f aca="false">SUM(Q7:Q18)</f>
        <v>102059.18730885</v>
      </c>
      <c r="R20" s="178" t="n">
        <f aca="false">SUM(R7:R18)</f>
        <v>-20490491.8976998</v>
      </c>
      <c r="S20" s="179" t="n">
        <f aca="false">SUM(S7:S18)</f>
        <v>-484247.811307424</v>
      </c>
      <c r="T20" s="179" t="n">
        <f aca="false">SUM(T7:T18)</f>
        <v>-4269930.03756585</v>
      </c>
      <c r="U20" s="179" t="n">
        <f aca="false">SUM(U7:U18)</f>
        <v>-4652118.66156443</v>
      </c>
      <c r="V20" s="180" t="n">
        <f aca="false">SUM(V7:V18)</f>
        <v>424212.832358642</v>
      </c>
      <c r="W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1"/>
      <c r="EX20" s="181"/>
      <c r="EY20" s="181"/>
      <c r="EZ20" s="181"/>
      <c r="FA20" s="181"/>
      <c r="FB20" s="181"/>
      <c r="FC20" s="181"/>
      <c r="FD20" s="181"/>
      <c r="FE20" s="181"/>
      <c r="FF20" s="181"/>
      <c r="FG20" s="181"/>
      <c r="FH20" s="181"/>
      <c r="FI20" s="181"/>
      <c r="FJ20" s="181"/>
      <c r="FK20" s="181"/>
      <c r="FL20" s="181"/>
      <c r="FM20" s="181"/>
      <c r="FN20" s="181"/>
      <c r="FO20" s="181"/>
      <c r="FP20" s="181"/>
      <c r="FQ20" s="181"/>
      <c r="FR20" s="181"/>
      <c r="FS20" s="181"/>
      <c r="FT20" s="181"/>
      <c r="FU20" s="181"/>
      <c r="FV20" s="181"/>
      <c r="FW20" s="181"/>
      <c r="FX20" s="181"/>
      <c r="FY20" s="181"/>
      <c r="FZ20" s="181"/>
      <c r="GA20" s="181"/>
      <c r="GB20" s="181"/>
      <c r="GC20" s="181"/>
      <c r="GD20" s="181"/>
      <c r="GE20" s="181"/>
      <c r="GF20" s="181"/>
      <c r="GG20" s="181"/>
      <c r="GH20" s="181"/>
      <c r="GI20" s="181"/>
      <c r="GJ20" s="181"/>
      <c r="GK20" s="181"/>
      <c r="GL20" s="181"/>
      <c r="GM20" s="181"/>
      <c r="GN20" s="181"/>
      <c r="GO20" s="181"/>
      <c r="GP20" s="181"/>
      <c r="GQ20" s="181"/>
      <c r="GR20" s="181"/>
      <c r="GS20" s="181"/>
      <c r="GT20" s="181"/>
      <c r="GU20" s="181"/>
      <c r="GV20" s="181"/>
      <c r="GW20" s="181"/>
      <c r="GX20" s="181"/>
      <c r="GY20" s="181"/>
      <c r="GZ20" s="181"/>
      <c r="HA20" s="181"/>
      <c r="HB20" s="181"/>
      <c r="HC20" s="181"/>
      <c r="HD20" s="181"/>
      <c r="HE20" s="181"/>
      <c r="HF20" s="181"/>
      <c r="HG20" s="181"/>
      <c r="HH20" s="181"/>
      <c r="HI20" s="181"/>
      <c r="HJ20" s="181"/>
      <c r="HK20" s="181"/>
      <c r="HL20" s="181"/>
      <c r="HM20" s="181"/>
      <c r="HN20" s="181"/>
      <c r="HO20" s="181"/>
      <c r="HP20" s="181"/>
      <c r="HQ20" s="181"/>
      <c r="HR20" s="181"/>
      <c r="HS20" s="181"/>
      <c r="HT20" s="181"/>
      <c r="HU20" s="181"/>
      <c r="HV20" s="181"/>
      <c r="HW20" s="181"/>
      <c r="HX20" s="181"/>
      <c r="HY20" s="181"/>
      <c r="HZ20" s="181"/>
      <c r="IA20" s="181"/>
      <c r="IB20" s="181"/>
      <c r="IC20" s="181"/>
      <c r="ID20" s="181"/>
      <c r="IE20" s="181"/>
      <c r="IF20" s="181"/>
      <c r="IG20" s="181"/>
      <c r="IH20" s="181"/>
      <c r="II20" s="181"/>
      <c r="IJ20" s="181"/>
      <c r="IK20" s="181"/>
      <c r="IL20" s="181"/>
      <c r="IM20" s="181"/>
      <c r="IN20" s="181"/>
      <c r="IO20" s="181"/>
      <c r="IP20" s="181"/>
      <c r="IQ20" s="181"/>
      <c r="IR20" s="181"/>
      <c r="IS20" s="181"/>
      <c r="IT20" s="181"/>
      <c r="IU20" s="181"/>
      <c r="IV20" s="181"/>
      <c r="IW20" s="181"/>
    </row>
    <row r="21" customFormat="false" ht="15" hidden="false" customHeight="false" outlineLevel="0" collapsed="false">
      <c r="A21" s="98" t="s">
        <v>104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3" t="n">
        <f aca="false">-N20/$K$20</f>
        <v>0.0439876680935564</v>
      </c>
      <c r="O21" s="183"/>
      <c r="P21" s="183"/>
      <c r="Q21" s="183" t="n">
        <f aca="false">-Q20/$K$20</f>
        <v>0.00088436810374067</v>
      </c>
      <c r="R21" s="183"/>
      <c r="S21" s="183" t="n">
        <f aca="false">-S20/$K$20</f>
        <v>-0.00419612707017295</v>
      </c>
      <c r="T21" s="183" t="n">
        <f aca="false">-T20/$K$20</f>
        <v>-0.037</v>
      </c>
      <c r="U21" s="183" t="n">
        <f aca="false">-U20/$K$20</f>
        <v>-0.0403117589664323</v>
      </c>
      <c r="V21" s="184" t="n">
        <f aca="false">-V20/$K$20</f>
        <v>0.00367590912712412</v>
      </c>
      <c r="W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  <c r="IV21" s="123"/>
      <c r="IW21" s="123"/>
    </row>
    <row r="24" customFormat="false" ht="18" hidden="false" customHeight="false" outlineLevel="0" collapsed="false">
      <c r="C24" s="186" t="s">
        <v>105</v>
      </c>
      <c r="D24" s="187" t="n">
        <v>1</v>
      </c>
      <c r="E24" s="186" t="s">
        <v>106</v>
      </c>
      <c r="F24" s="186"/>
    </row>
    <row r="25" customFormat="false" ht="18" hidden="false" customHeight="false" outlineLevel="0" collapsed="false">
      <c r="C25" s="186" t="s">
        <v>115</v>
      </c>
      <c r="D25" s="188" t="n">
        <v>12</v>
      </c>
      <c r="E25" s="186"/>
      <c r="F25" s="186"/>
    </row>
    <row r="26" customFormat="false" ht="18" hidden="false" customHeight="false" outlineLevel="0" collapsed="false">
      <c r="C26" s="186" t="s">
        <v>60</v>
      </c>
      <c r="D26" s="189" t="n">
        <v>15</v>
      </c>
      <c r="E26" s="186"/>
      <c r="F26" s="186"/>
    </row>
    <row r="40" customFormat="false" ht="18" hidden="false" customHeight="false" outlineLevel="0" collapsed="false">
      <c r="K40" s="204"/>
    </row>
    <row r="41" customFormat="false" ht="18" hidden="false" customHeight="false" outlineLevel="0" collapsed="false">
      <c r="K41" s="204"/>
    </row>
  </sheetData>
  <mergeCells count="6">
    <mergeCell ref="D4:H4"/>
    <mergeCell ref="I4:K4"/>
    <mergeCell ref="L4:M4"/>
    <mergeCell ref="O4:Q4"/>
    <mergeCell ref="R4:S4"/>
    <mergeCell ref="X4:AA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TermBreakeven">
                <anchor moveWithCells="true" sizeWithCells="false">
                  <from>
                    <xdr:col>6</xdr:col>
                    <xdr:colOff>412920</xdr:colOff>
                    <xdr:row>22</xdr:row>
                    <xdr:rowOff>142920</xdr:rowOff>
                  </from>
                  <to>
                    <xdr:col>7</xdr:col>
                    <xdr:colOff>1006920</xdr:colOff>
                    <xdr:row>26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10.85"/>
    <col collapsed="false" customWidth="true" hidden="false" outlineLevel="0" max="3" min="3" style="8" width="11.85"/>
    <col collapsed="false" customWidth="true" hidden="false" outlineLevel="0" max="4" min="4" style="24" width="8.28"/>
    <col collapsed="false" customWidth="true" hidden="false" outlineLevel="0" max="5" min="5" style="8" width="14.28"/>
    <col collapsed="false" customWidth="true" hidden="false" outlineLevel="0" max="6" min="6" style="24" width="8.85"/>
    <col collapsed="false" customWidth="true" hidden="false" outlineLevel="0" max="7" min="7" style="8" width="13.99"/>
    <col collapsed="false" customWidth="true" hidden="false" outlineLevel="0" max="8" min="8" style="24" width="9.14"/>
    <col collapsed="false" customWidth="true" hidden="false" outlineLevel="0" max="9" min="9" style="8" width="9.7"/>
    <col collapsed="false" customWidth="true" hidden="false" outlineLevel="0" max="10" min="10" style="24" width="9.14"/>
    <col collapsed="false" customWidth="true" hidden="false" outlineLevel="0" max="11" min="11" style="8" width="13.14"/>
    <col collapsed="false" customWidth="true" hidden="false" outlineLevel="0" max="12" min="12" style="24" width="9.14"/>
    <col collapsed="false" customWidth="true" hidden="false" outlineLevel="0" max="14" min="14" style="8" width="12.7"/>
  </cols>
  <sheetData>
    <row r="1" customFormat="false" ht="38.25" hidden="false" customHeight="false" outlineLevel="0" collapsed="false">
      <c r="A1" s="94" t="s">
        <v>1</v>
      </c>
      <c r="B1" s="94"/>
      <c r="C1" s="213" t="s">
        <v>12</v>
      </c>
      <c r="D1" s="214" t="s">
        <v>116</v>
      </c>
      <c r="E1" s="213" t="s">
        <v>14</v>
      </c>
      <c r="F1" s="214" t="s">
        <v>116</v>
      </c>
      <c r="G1" s="213" t="s">
        <v>15</v>
      </c>
      <c r="H1" s="214" t="s">
        <v>116</v>
      </c>
      <c r="I1" s="213" t="s">
        <v>16</v>
      </c>
      <c r="J1" s="214" t="s">
        <v>116</v>
      </c>
      <c r="K1" s="213" t="s">
        <v>17</v>
      </c>
      <c r="L1" s="214" t="s">
        <v>116</v>
      </c>
      <c r="M1" s="215"/>
      <c r="N1" s="213" t="s">
        <v>117</v>
      </c>
    </row>
    <row r="2" customFormat="false" ht="12.75" hidden="false" customHeight="false" outlineLevel="0" collapsed="false">
      <c r="A2" s="94"/>
      <c r="B2" s="94"/>
      <c r="C2" s="213"/>
      <c r="D2" s="214"/>
      <c r="E2" s="213"/>
      <c r="F2" s="214"/>
      <c r="G2" s="213"/>
      <c r="H2" s="214"/>
      <c r="I2" s="213"/>
      <c r="J2" s="214"/>
      <c r="K2" s="213"/>
      <c r="L2" s="214"/>
      <c r="M2" s="215"/>
      <c r="N2" s="213"/>
    </row>
    <row r="3" customFormat="false" ht="12.75" hidden="false" customHeight="false" outlineLevel="0" collapsed="false">
      <c r="A3" s="95" t="n">
        <v>35947</v>
      </c>
      <c r="B3" s="3"/>
      <c r="C3" s="8" t="n">
        <v>311374</v>
      </c>
      <c r="D3" s="216" t="n">
        <f aca="false">+C3/$N3</f>
        <v>0.254726620500088</v>
      </c>
      <c r="E3" s="8" t="n">
        <v>120420</v>
      </c>
      <c r="F3" s="216" t="n">
        <f aca="false">+E3/$N3</f>
        <v>0.0985123344936334</v>
      </c>
      <c r="G3" s="8" t="n">
        <v>702668</v>
      </c>
      <c r="H3" s="216" t="n">
        <f aca="false">+G3/$N3</f>
        <v>0.574833624430928</v>
      </c>
      <c r="I3" s="8" t="n">
        <v>40121</v>
      </c>
      <c r="J3" s="216" t="n">
        <f aca="false">+I3/$N3</f>
        <v>0.0328219014467619</v>
      </c>
      <c r="K3" s="8" t="n">
        <v>47802</v>
      </c>
      <c r="L3" s="216" t="n">
        <f aca="false">+K3/$N3</f>
        <v>0.0391055191285888</v>
      </c>
      <c r="M3" s="3"/>
      <c r="N3" s="8" t="n">
        <f aca="false">+C3+E3+G3+I3+K3</f>
        <v>1222385</v>
      </c>
    </row>
    <row r="4" customFormat="false" ht="12.75" hidden="false" customHeight="false" outlineLevel="0" collapsed="false">
      <c r="A4" s="95" t="n">
        <v>35977</v>
      </c>
      <c r="B4" s="3"/>
      <c r="C4" s="8" t="n">
        <v>1155964</v>
      </c>
      <c r="D4" s="216" t="n">
        <f aca="false">+C4/$N4</f>
        <v>0.243635406385343</v>
      </c>
      <c r="E4" s="8" t="n">
        <v>385685</v>
      </c>
      <c r="F4" s="216" t="n">
        <f aca="false">+E4/$N4</f>
        <v>0.0812884499099722</v>
      </c>
      <c r="G4" s="8" t="n">
        <v>2673292</v>
      </c>
      <c r="H4" s="216" t="n">
        <f aca="false">+G4/$N4</f>
        <v>0.563433275436508</v>
      </c>
      <c r="I4" s="8" t="n">
        <v>431345</v>
      </c>
      <c r="J4" s="216" t="n">
        <f aca="false">+I4/$N4</f>
        <v>0.0909119266406964</v>
      </c>
      <c r="K4" s="8" t="n">
        <v>98361</v>
      </c>
      <c r="L4" s="216" t="n">
        <f aca="false">+K4/$N4</f>
        <v>0.0207309416274804</v>
      </c>
      <c r="M4" s="3"/>
      <c r="N4" s="8" t="n">
        <f aca="false">+C4+E4+G4+I4+K4</f>
        <v>4744647</v>
      </c>
    </row>
    <row r="5" customFormat="false" ht="12.75" hidden="false" customHeight="false" outlineLevel="0" collapsed="false">
      <c r="A5" s="95" t="n">
        <v>36008</v>
      </c>
      <c r="B5" s="3"/>
      <c r="C5" s="8" t="n">
        <v>1141059</v>
      </c>
      <c r="D5" s="216" t="n">
        <f aca="false">+C5/$N5</f>
        <v>0.27188981049712</v>
      </c>
      <c r="E5" s="8" t="n">
        <v>202887</v>
      </c>
      <c r="F5" s="216" t="n">
        <f aca="false">+E5/$N5</f>
        <v>0.0483436071073707</v>
      </c>
      <c r="G5" s="8" t="n">
        <v>2845097</v>
      </c>
      <c r="H5" s="216" t="n">
        <f aca="false">+G5/$N5</f>
        <v>0.677925404537299</v>
      </c>
      <c r="I5" s="8" t="n">
        <v>6485</v>
      </c>
      <c r="J5" s="216" t="n">
        <f aca="false">+I5/$N5</f>
        <v>0.00154523597909821</v>
      </c>
      <c r="K5" s="8" t="n">
        <v>1242</v>
      </c>
      <c r="L5" s="216" t="n">
        <f aca="false">+K5/$N5</f>
        <v>0.000295941879111793</v>
      </c>
      <c r="M5" s="3"/>
      <c r="N5" s="8" t="n">
        <f aca="false">+C5+E5+G5+I5+K5</f>
        <v>4196770</v>
      </c>
    </row>
    <row r="6" customFormat="false" ht="12.75" hidden="false" customHeight="false" outlineLevel="0" collapsed="false">
      <c r="A6" s="95" t="n">
        <v>36039</v>
      </c>
      <c r="B6" s="3"/>
      <c r="C6" s="8" t="n">
        <v>525361</v>
      </c>
      <c r="D6" s="216" t="n">
        <f aca="false">+C6/$N6</f>
        <v>0.186035731852114</v>
      </c>
      <c r="E6" s="8" t="n">
        <v>99543</v>
      </c>
      <c r="F6" s="216" t="n">
        <f aca="false">+E6/$N6</f>
        <v>0.0352491997992903</v>
      </c>
      <c r="G6" s="8" t="n">
        <v>2199075</v>
      </c>
      <c r="H6" s="216" t="n">
        <f aca="false">+G6/$N6</f>
        <v>0.778715068348596</v>
      </c>
      <c r="I6" s="8" t="n">
        <v>0</v>
      </c>
      <c r="J6" s="216" t="n">
        <f aca="false">+I6/$N6</f>
        <v>0</v>
      </c>
      <c r="K6" s="8" t="n">
        <v>0</v>
      </c>
      <c r="L6" s="216" t="n">
        <f aca="false">+K6/$N6</f>
        <v>0</v>
      </c>
      <c r="M6" s="3"/>
      <c r="N6" s="8" t="n">
        <f aca="false">+C6+E6+G6+I6+K6</f>
        <v>2823979</v>
      </c>
    </row>
    <row r="7" customFormat="false" ht="12.75" hidden="false" customHeight="false" outlineLevel="0" collapsed="false">
      <c r="A7" s="95" t="n">
        <v>36069</v>
      </c>
      <c r="B7" s="3"/>
      <c r="C7" s="8" t="n">
        <v>1277301</v>
      </c>
      <c r="D7" s="216" t="n">
        <f aca="false">+C7/$N7</f>
        <v>0.280589208318597</v>
      </c>
      <c r="E7" s="8" t="n">
        <v>373759</v>
      </c>
      <c r="F7" s="216" t="n">
        <f aca="false">+E7/$N7</f>
        <v>0.082104955614965</v>
      </c>
      <c r="G7" s="8" t="n">
        <v>2275284</v>
      </c>
      <c r="H7" s="216" t="n">
        <f aca="false">+G7/$N7</f>
        <v>0.499819648039084</v>
      </c>
      <c r="I7" s="8" t="n">
        <v>254112</v>
      </c>
      <c r="J7" s="216" t="n">
        <f aca="false">+I7/$N7</f>
        <v>0.0558216778224203</v>
      </c>
      <c r="K7" s="8" t="n">
        <v>371754</v>
      </c>
      <c r="L7" s="216" t="n">
        <f aca="false">+K7/$N7</f>
        <v>0.0816645102049334</v>
      </c>
      <c r="M7" s="3"/>
      <c r="N7" s="8" t="n">
        <f aca="false">+C7+E7+G7+I7+K7</f>
        <v>4552210</v>
      </c>
    </row>
    <row r="8" customFormat="false" ht="12.75" hidden="false" customHeight="false" outlineLevel="0" collapsed="false">
      <c r="A8" s="95"/>
      <c r="B8" s="3"/>
      <c r="D8" s="216"/>
      <c r="F8" s="216"/>
      <c r="H8" s="216"/>
      <c r="J8" s="216"/>
      <c r="L8" s="216"/>
      <c r="M8" s="3"/>
    </row>
    <row r="9" customFormat="false" ht="12.75" hidden="false" customHeight="false" outlineLevel="0" collapsed="false">
      <c r="A9" s="95" t="n">
        <v>36100</v>
      </c>
      <c r="B9" s="3"/>
      <c r="C9" s="8" t="n">
        <v>224461</v>
      </c>
      <c r="D9" s="216" t="n">
        <f aca="false">+C9/$N9</f>
        <v>0.168185343228895</v>
      </c>
      <c r="E9" s="8" t="n">
        <v>97886</v>
      </c>
      <c r="F9" s="216" t="n">
        <f aca="false">+E9/$N9</f>
        <v>0.0733445476376906</v>
      </c>
      <c r="G9" s="8" t="n">
        <v>1010844</v>
      </c>
      <c r="H9" s="216" t="n">
        <f aca="false">+G9/$N9</f>
        <v>0.757410619621536</v>
      </c>
      <c r="J9" s="216" t="n">
        <f aca="false">+I9/$N9</f>
        <v>0</v>
      </c>
      <c r="K9" s="8" t="n">
        <v>1414</v>
      </c>
      <c r="L9" s="216" t="n">
        <f aca="false">+K9/$N9</f>
        <v>0.00105948951187805</v>
      </c>
      <c r="M9" s="3"/>
      <c r="N9" s="8" t="n">
        <f aca="false">+C9+E9+G9+I9+K9</f>
        <v>1334605</v>
      </c>
    </row>
    <row r="10" customFormat="false" ht="12.75" hidden="false" customHeight="false" outlineLevel="0" collapsed="false">
      <c r="A10" s="95" t="n">
        <v>36130</v>
      </c>
      <c r="B10" s="3"/>
      <c r="C10" s="8" t="n">
        <v>97956</v>
      </c>
      <c r="D10" s="216" t="n">
        <f aca="false">+C10/$N10</f>
        <v>0.0717535433238132</v>
      </c>
      <c r="E10" s="8" t="n">
        <v>26736</v>
      </c>
      <c r="F10" s="216" t="n">
        <f aca="false">+E10/$N10</f>
        <v>0.0195843310701281</v>
      </c>
      <c r="G10" s="8" t="n">
        <v>1229824</v>
      </c>
      <c r="H10" s="216" t="n">
        <f aca="false">+G10/$N10</f>
        <v>0.900855788973266</v>
      </c>
      <c r="I10" s="8" t="n">
        <v>5480</v>
      </c>
      <c r="J10" s="216" t="n">
        <f aca="false">+I10/$N10</f>
        <v>0.00401414326242901</v>
      </c>
      <c r="K10" s="8" t="n">
        <v>5177</v>
      </c>
      <c r="L10" s="216" t="n">
        <f aca="false">+K10/$N10</f>
        <v>0.00379219337036405</v>
      </c>
      <c r="M10" s="3"/>
      <c r="N10" s="8" t="n">
        <f aca="false">+C10+E10+G10+I10+K10</f>
        <v>1365173</v>
      </c>
    </row>
    <row r="11" customFormat="false" ht="12.75" hidden="false" customHeight="false" outlineLevel="0" collapsed="false">
      <c r="A11" s="95" t="n">
        <v>36161</v>
      </c>
      <c r="B11" s="3"/>
      <c r="C11" s="8" t="n">
        <v>199321</v>
      </c>
      <c r="D11" s="216" t="n">
        <f aca="false">+C11/$N11</f>
        <v>0.141315406435732</v>
      </c>
      <c r="E11" s="8" t="n">
        <v>82543</v>
      </c>
      <c r="F11" s="216" t="n">
        <f aca="false">+E11/$N11</f>
        <v>0.0585216690334917</v>
      </c>
      <c r="G11" s="8" t="n">
        <v>1107978</v>
      </c>
      <c r="H11" s="216" t="n">
        <f aca="false">+G11/$N11</f>
        <v>0.785538710882692</v>
      </c>
      <c r="I11" s="8" t="n">
        <v>12918</v>
      </c>
      <c r="J11" s="216" t="n">
        <f aca="false">+I11/$N11</f>
        <v>0.00915865573791413</v>
      </c>
      <c r="K11" s="8" t="n">
        <v>7709</v>
      </c>
      <c r="L11" s="216" t="n">
        <f aca="false">+K11/$N11</f>
        <v>0.00546555791017031</v>
      </c>
      <c r="M11" s="3"/>
      <c r="N11" s="8" t="n">
        <f aca="false">+C11+E11+G11+I11+K11</f>
        <v>1410469</v>
      </c>
    </row>
    <row r="12" customFormat="false" ht="12.75" hidden="false" customHeight="false" outlineLevel="0" collapsed="false">
      <c r="A12" s="95" t="n">
        <v>36192</v>
      </c>
      <c r="B12" s="3"/>
      <c r="C12" s="8" t="n">
        <v>146406</v>
      </c>
      <c r="D12" s="216" t="n">
        <f aca="false">+C12/$N12</f>
        <v>0.125891479800577</v>
      </c>
      <c r="E12" s="8" t="n">
        <v>294598</v>
      </c>
      <c r="F12" s="216" t="n">
        <f aca="false">+E12/$N12</f>
        <v>0.253318703921221</v>
      </c>
      <c r="G12" s="8" t="n">
        <v>622978</v>
      </c>
      <c r="H12" s="216" t="n">
        <f aca="false">+G12/$N12</f>
        <v>0.535685848279468</v>
      </c>
      <c r="I12" s="8" t="n">
        <v>76585</v>
      </c>
      <c r="J12" s="216" t="n">
        <f aca="false">+I12/$N12</f>
        <v>0.0658538514850974</v>
      </c>
      <c r="K12" s="8" t="n">
        <v>22387</v>
      </c>
      <c r="L12" s="216" t="n">
        <f aca="false">+K12/$N12</f>
        <v>0.0192501165136368</v>
      </c>
      <c r="M12" s="3"/>
      <c r="N12" s="8" t="n">
        <f aca="false">+C12+E12+G12+I12+K12</f>
        <v>1162954</v>
      </c>
    </row>
    <row r="13" customFormat="false" ht="12.75" hidden="false" customHeight="false" outlineLevel="0" collapsed="false">
      <c r="A13" s="95"/>
      <c r="B13" s="3"/>
      <c r="D13" s="216"/>
      <c r="F13" s="216"/>
      <c r="H13" s="216"/>
      <c r="J13" s="216"/>
      <c r="L13" s="216"/>
      <c r="M13" s="3"/>
    </row>
    <row r="14" customFormat="false" ht="12.75" hidden="false" customHeight="false" outlineLevel="0" collapsed="false">
      <c r="A14" s="95" t="n">
        <v>36220</v>
      </c>
      <c r="B14" s="3"/>
      <c r="C14" s="8" t="n">
        <v>953465</v>
      </c>
      <c r="D14" s="216" t="n">
        <f aca="false">+C14/$N14</f>
        <v>0.595519604463032</v>
      </c>
      <c r="E14" s="8" t="n">
        <v>228319</v>
      </c>
      <c r="F14" s="216" t="n">
        <f aca="false">+E14/$N14</f>
        <v>0.142604542978919</v>
      </c>
      <c r="G14" s="8" t="n">
        <v>414672</v>
      </c>
      <c r="H14" s="216" t="n">
        <f aca="false">+G14/$N14</f>
        <v>0.258997766485287</v>
      </c>
      <c r="I14" s="8" t="n">
        <v>4608</v>
      </c>
      <c r="J14" s="216" t="n">
        <f aca="false">+I14/$N14</f>
        <v>0.00287808607276161</v>
      </c>
      <c r="K14" s="8" t="n">
        <v>0</v>
      </c>
      <c r="L14" s="216" t="n">
        <f aca="false">+K14/$N14</f>
        <v>0</v>
      </c>
      <c r="M14" s="3"/>
      <c r="N14" s="8" t="n">
        <f aca="false">+C14+E14+G14+I14+K14</f>
        <v>1601064</v>
      </c>
    </row>
    <row r="15" customFormat="false" ht="12.75" hidden="false" customHeight="false" outlineLevel="0" collapsed="false">
      <c r="A15" s="95" t="n">
        <v>36251</v>
      </c>
      <c r="B15" s="3"/>
      <c r="C15" s="8" t="n">
        <v>1089146</v>
      </c>
      <c r="D15" s="216" t="n">
        <f aca="false">+C15/$N15</f>
        <v>0.748980175660101</v>
      </c>
      <c r="E15" s="8" t="n">
        <v>62613</v>
      </c>
      <c r="F15" s="216" t="n">
        <f aca="false">+E15/$N15</f>
        <v>0.0430574925112023</v>
      </c>
      <c r="G15" s="8" t="n">
        <v>233440</v>
      </c>
      <c r="H15" s="216" t="n">
        <f aca="false">+G15/$N15</f>
        <v>0.160531216389808</v>
      </c>
      <c r="I15" s="8" t="n">
        <v>39610</v>
      </c>
      <c r="J15" s="216" t="n">
        <f aca="false">+I15/$N15</f>
        <v>0.0272388685795078</v>
      </c>
      <c r="K15" s="8" t="n">
        <v>29363</v>
      </c>
      <c r="L15" s="216" t="n">
        <f aca="false">+K15/$N15</f>
        <v>0.0201922468593811</v>
      </c>
      <c r="M15" s="3"/>
      <c r="N15" s="8" t="n">
        <f aca="false">+C15+E15+G15+I15+K15</f>
        <v>1454172</v>
      </c>
    </row>
    <row r="16" customFormat="false" ht="12.75" hidden="false" customHeight="false" outlineLevel="0" collapsed="false">
      <c r="A16" s="95" t="n">
        <v>36281</v>
      </c>
      <c r="B16" s="3"/>
      <c r="C16" s="8" t="n">
        <v>1285236</v>
      </c>
      <c r="D16" s="216" t="n">
        <f aca="false">+C16/$N16</f>
        <v>0.589890084873498</v>
      </c>
      <c r="E16" s="8" t="n">
        <v>45372</v>
      </c>
      <c r="F16" s="216" t="n">
        <f aca="false">+E16/$N16</f>
        <v>0.0208245745768717</v>
      </c>
      <c r="G16" s="8" t="n">
        <v>791650</v>
      </c>
      <c r="H16" s="216" t="n">
        <f aca="false">+G16/$N16</f>
        <v>0.363346876130224</v>
      </c>
      <c r="I16" s="8" t="n">
        <v>28581</v>
      </c>
      <c r="J16" s="216" t="n">
        <f aca="false">+I16/$N16</f>
        <v>0.0131179398303264</v>
      </c>
      <c r="K16" s="8" t="n">
        <v>27933</v>
      </c>
      <c r="L16" s="216" t="n">
        <f aca="false">+K16/$N16</f>
        <v>0.0128205245890805</v>
      </c>
      <c r="M16" s="3"/>
      <c r="N16" s="8" t="n">
        <f aca="false">+C16+E16+G16+I16+K16</f>
        <v>2178772</v>
      </c>
    </row>
    <row r="17" customFormat="false" ht="12.75" hidden="false" customHeight="false" outlineLevel="0" collapsed="false">
      <c r="A17" s="95" t="n">
        <v>36312</v>
      </c>
      <c r="B17" s="3"/>
      <c r="C17" s="217" t="n">
        <v>1296699</v>
      </c>
      <c r="D17" s="216" t="n">
        <f aca="false">+C17/$N17</f>
        <v>0.587526415374745</v>
      </c>
      <c r="E17" s="217" t="n">
        <v>17717</v>
      </c>
      <c r="F17" s="216" t="n">
        <f aca="false">+E17/$N17</f>
        <v>0.0080274647402322</v>
      </c>
      <c r="G17" s="217" t="n">
        <v>778530</v>
      </c>
      <c r="H17" s="216" t="n">
        <f aca="false">+G17/$N17</f>
        <v>0.35274719897347</v>
      </c>
      <c r="I17" s="217" t="n">
        <v>48556</v>
      </c>
      <c r="J17" s="216" t="n">
        <f aca="false">+I17/$N17</f>
        <v>0.0220004277206477</v>
      </c>
      <c r="K17" s="217" t="n">
        <v>65546</v>
      </c>
      <c r="L17" s="216" t="n">
        <f aca="false">+K17/$N17</f>
        <v>0.0296984931909048</v>
      </c>
      <c r="M17" s="3"/>
      <c r="N17" s="217" t="n">
        <f aca="false">+C17+E17+G17+I17+K17</f>
        <v>2207048</v>
      </c>
    </row>
    <row r="18" customFormat="false" ht="12.75" hidden="false" customHeight="false" outlineLevel="0" collapsed="false">
      <c r="A18" s="95"/>
    </row>
    <row r="19" customFormat="false" ht="12.75" hidden="false" customHeight="false" outlineLevel="0" collapsed="false">
      <c r="A19" s="218" t="s">
        <v>118</v>
      </c>
      <c r="B19" s="219"/>
      <c r="C19" s="220" t="n">
        <f aca="false">SUM(C3:C17)</f>
        <v>9703749</v>
      </c>
      <c r="D19" s="221" t="n">
        <f aca="false">+C19/$N19</f>
        <v>0.320740049463467</v>
      </c>
      <c r="E19" s="220" t="n">
        <f aca="false">SUM(E3:E17)</f>
        <v>2038078</v>
      </c>
      <c r="F19" s="221" t="n">
        <f aca="false">+E19/$N19</f>
        <v>0.0673650192858867</v>
      </c>
      <c r="G19" s="220" t="n">
        <f aca="false">SUM(G3:G17)</f>
        <v>16885332</v>
      </c>
      <c r="H19" s="221" t="n">
        <f aca="false">+G19/$N19</f>
        <v>0.558114417519153</v>
      </c>
      <c r="I19" s="220" t="n">
        <f aca="false">SUM(I3:I17)</f>
        <v>948401</v>
      </c>
      <c r="J19" s="221" t="n">
        <f aca="false">+I19/$N19</f>
        <v>0.0313476970242328</v>
      </c>
      <c r="K19" s="220" t="n">
        <f aca="false">SUM(K3:K17)</f>
        <v>678688</v>
      </c>
      <c r="L19" s="221" t="n">
        <f aca="false">+K19/$N19</f>
        <v>0.0224328167072604</v>
      </c>
      <c r="M19" s="219"/>
      <c r="N19" s="222" t="n">
        <f aca="false">SUM(N3:N17)</f>
        <v>30254248</v>
      </c>
    </row>
    <row r="20" customFormat="false" ht="12.75" hidden="false" customHeight="false" outlineLevel="0" collapsed="false">
      <c r="A20" s="223"/>
      <c r="B20" s="224"/>
      <c r="C20" s="224"/>
      <c r="D20" s="224"/>
      <c r="E20" s="224"/>
      <c r="F20" s="224"/>
      <c r="G20" s="224"/>
      <c r="H20" s="225"/>
      <c r="I20" s="226"/>
      <c r="J20" s="225"/>
      <c r="K20" s="226"/>
      <c r="L20" s="225"/>
      <c r="M20" s="224"/>
      <c r="N20" s="227" t="n">
        <f aca="false">+N19/13</f>
        <v>2327249.84615385</v>
      </c>
    </row>
    <row r="21" customFormat="false" ht="12.75" hidden="false" customHeight="false" outlineLevel="0" collapsed="false">
      <c r="A21" s="228" t="s">
        <v>119</v>
      </c>
      <c r="B21" s="224"/>
      <c r="C21" s="226" t="n">
        <f aca="false">MAX(C3:C17)</f>
        <v>1296699</v>
      </c>
      <c r="D21" s="229" t="n">
        <f aca="false">MAX(D3:D17)</f>
        <v>0.748980175660101</v>
      </c>
      <c r="E21" s="226" t="n">
        <f aca="false">MAX(E3:E17)</f>
        <v>385685</v>
      </c>
      <c r="F21" s="229" t="n">
        <f aca="false">MAX(F3:F17)</f>
        <v>0.253318703921221</v>
      </c>
      <c r="G21" s="226" t="n">
        <f aca="false">MAX(G3:G17)</f>
        <v>2845097</v>
      </c>
      <c r="H21" s="229" t="n">
        <f aca="false">MAX(H3:H17)</f>
        <v>0.900855788973266</v>
      </c>
      <c r="I21" s="226" t="n">
        <f aca="false">MAX(I3:I17)</f>
        <v>431345</v>
      </c>
      <c r="J21" s="229" t="n">
        <f aca="false">MAX(J3:J17)</f>
        <v>0.0909119266406964</v>
      </c>
      <c r="K21" s="226" t="n">
        <f aca="false">MAX(K3:K17)</f>
        <v>371754</v>
      </c>
      <c r="L21" s="229" t="n">
        <f aca="false">MAX(L3:L17)</f>
        <v>0.0816645102049334</v>
      </c>
      <c r="M21" s="224"/>
      <c r="N21" s="227"/>
    </row>
    <row r="22" customFormat="false" ht="12.75" hidden="false" customHeight="false" outlineLevel="0" collapsed="false">
      <c r="A22" s="230" t="s">
        <v>120</v>
      </c>
      <c r="B22" s="231"/>
      <c r="C22" s="232" t="n">
        <f aca="false">MIN(C3:C17)</f>
        <v>97956</v>
      </c>
      <c r="D22" s="233" t="n">
        <f aca="false">MIN(D3:D17)</f>
        <v>0.0717535433238132</v>
      </c>
      <c r="E22" s="232" t="n">
        <f aca="false">MIN(E3:E17)</f>
        <v>17717</v>
      </c>
      <c r="F22" s="233" t="n">
        <f aca="false">MIN(F3:F17)</f>
        <v>0.0080274647402322</v>
      </c>
      <c r="G22" s="232" t="n">
        <f aca="false">MIN(G3:G17)</f>
        <v>233440</v>
      </c>
      <c r="H22" s="233" t="n">
        <f aca="false">MIN(H3:H17)</f>
        <v>0.160531216389808</v>
      </c>
      <c r="I22" s="232" t="n">
        <f aca="false">MIN(I3:I17)</f>
        <v>0</v>
      </c>
      <c r="J22" s="233" t="n">
        <f aca="false">MIN(J3:J17)</f>
        <v>0</v>
      </c>
      <c r="K22" s="232" t="n">
        <f aca="false">MIN(K3:K17)</f>
        <v>0</v>
      </c>
      <c r="L22" s="233" t="n">
        <f aca="false">MIN(L3:L17)</f>
        <v>0</v>
      </c>
      <c r="M22" s="231"/>
      <c r="N22" s="234"/>
    </row>
    <row r="23" customFormat="false" ht="12.75" hidden="false" customHeight="false" outlineLevel="0" collapsed="false">
      <c r="A23" s="95"/>
    </row>
    <row r="24" customFormat="false" ht="12.75" hidden="false" customHeight="false" outlineLevel="0" collapsed="false">
      <c r="A24" s="235" t="s">
        <v>121</v>
      </c>
      <c r="B24" s="236"/>
      <c r="C24" s="237" t="n">
        <f aca="false">+SUM(C3:C6)+SUM(C16:C17)</f>
        <v>5715693</v>
      </c>
      <c r="D24" s="238" t="n">
        <f aca="false">+C24/$N$24</f>
        <v>0.328987237591102</v>
      </c>
      <c r="E24" s="237" t="n">
        <f aca="false">+SUM(E3:E6)+SUM(E16:E17)</f>
        <v>871624</v>
      </c>
      <c r="F24" s="238" t="n">
        <f aca="false">+E24/$N$24</f>
        <v>0.0501694496149647</v>
      </c>
      <c r="G24" s="237" t="n">
        <f aca="false">+SUM(G3:G6)+SUM(G16:G17)</f>
        <v>9990312</v>
      </c>
      <c r="H24" s="238" t="n">
        <f aca="false">+G24/$N$24</f>
        <v>0.575028285730748</v>
      </c>
      <c r="I24" s="237" t="n">
        <f aca="false">+SUM(I3:I6)+SUM(I16:I17)</f>
        <v>555088</v>
      </c>
      <c r="J24" s="238" t="n">
        <f aca="false">+I24/$N$24</f>
        <v>0.0319500833477182</v>
      </c>
      <c r="K24" s="237" t="n">
        <f aca="false">+SUM(K3:K6)+SUM(K16:K17)</f>
        <v>240884</v>
      </c>
      <c r="L24" s="238" t="n">
        <f aca="false">+K24/$N$24</f>
        <v>0.0138649437154681</v>
      </c>
      <c r="M24" s="236"/>
      <c r="N24" s="239" t="n">
        <f aca="false">+SUM(N3:N6)+SUM(N16:N17)</f>
        <v>17373601</v>
      </c>
    </row>
    <row r="25" customFormat="false" ht="12.75" hidden="false" customHeight="false" outlineLevel="0" collapsed="false">
      <c r="A25" s="95"/>
      <c r="C25" s="8" t="n">
        <f aca="false">+C24/6</f>
        <v>952615.5</v>
      </c>
      <c r="D25" s="0"/>
      <c r="F25" s="0"/>
      <c r="G25" s="0"/>
      <c r="H25" s="0"/>
      <c r="I25" s="0"/>
      <c r="J25" s="0"/>
      <c r="K25" s="0"/>
      <c r="L25" s="0"/>
      <c r="N25" s="0"/>
    </row>
    <row r="26" customFormat="false" ht="12.75" hidden="false" customHeight="false" outlineLevel="0" collapsed="false">
      <c r="A26" s="95"/>
    </row>
    <row r="27" customFormat="false" ht="12.75" hidden="false" customHeight="false" outlineLevel="0" collapsed="false">
      <c r="A27" s="95"/>
    </row>
    <row r="28" customFormat="false" ht="12.75" hidden="false" customHeight="false" outlineLevel="0" collapsed="false">
      <c r="A28" s="95"/>
    </row>
    <row r="29" customFormat="false" ht="12.75" hidden="false" customHeight="false" outlineLevel="0" collapsed="false">
      <c r="A29" s="95"/>
    </row>
    <row r="30" customFormat="false" ht="12.75" hidden="false" customHeight="false" outlineLevel="0" collapsed="false">
      <c r="A30" s="95"/>
    </row>
    <row r="31" customFormat="false" ht="12.75" hidden="false" customHeight="false" outlineLevel="0" collapsed="false">
      <c r="A31" s="95"/>
    </row>
    <row r="32" customFormat="false" ht="12.75" hidden="false" customHeight="false" outlineLevel="0" collapsed="false">
      <c r="A32" s="95"/>
    </row>
    <row r="33" customFormat="false" ht="12.75" hidden="false" customHeight="false" outlineLevel="0" collapsed="false">
      <c r="A33" s="95"/>
    </row>
    <row r="34" customFormat="false" ht="12.75" hidden="false" customHeight="false" outlineLevel="0" collapsed="false">
      <c r="A34" s="95"/>
    </row>
    <row r="35" customFormat="false" ht="12.75" hidden="false" customHeight="false" outlineLevel="0" collapsed="false">
      <c r="A35" s="95"/>
    </row>
    <row r="36" customFormat="false" ht="12.75" hidden="false" customHeight="false" outlineLevel="0" collapsed="false">
      <c r="A36" s="95"/>
    </row>
    <row r="37" customFormat="false" ht="12.75" hidden="false" customHeight="false" outlineLevel="0" collapsed="false">
      <c r="A37" s="95"/>
    </row>
    <row r="38" customFormat="false" ht="12.75" hidden="false" customHeight="false" outlineLevel="0" collapsed="false">
      <c r="A38" s="95"/>
    </row>
    <row r="39" customFormat="false" ht="12.75" hidden="false" customHeight="false" outlineLevel="0" collapsed="false">
      <c r="A39" s="95"/>
    </row>
    <row r="40" customFormat="false" ht="12.75" hidden="false" customHeight="false" outlineLevel="0" collapsed="false">
      <c r="A40" s="95"/>
    </row>
    <row r="41" customFormat="false" ht="12.75" hidden="false" customHeight="false" outlineLevel="0" collapsed="false">
      <c r="A41" s="95"/>
    </row>
    <row r="42" customFormat="false" ht="12.75" hidden="false" customHeight="false" outlineLevel="0" collapsed="false">
      <c r="A42" s="95"/>
    </row>
    <row r="43" customFormat="false" ht="12.75" hidden="false" customHeight="false" outlineLevel="0" collapsed="false">
      <c r="A43" s="95"/>
    </row>
    <row r="44" customFormat="false" ht="12.75" hidden="false" customHeight="false" outlineLevel="0" collapsed="false">
      <c r="A44" s="95"/>
    </row>
    <row r="45" customFormat="false" ht="12.75" hidden="false" customHeight="false" outlineLevel="0" collapsed="false">
      <c r="A45" s="95"/>
    </row>
    <row r="46" customFormat="false" ht="12.75" hidden="false" customHeight="false" outlineLevel="0" collapsed="false">
      <c r="A46" s="95"/>
    </row>
    <row r="47" customFormat="false" ht="12.75" hidden="false" customHeight="false" outlineLevel="0" collapsed="false">
      <c r="A47" s="95"/>
    </row>
    <row r="48" customFormat="false" ht="12.75" hidden="false" customHeight="false" outlineLevel="0" collapsed="false">
      <c r="A48" s="95"/>
    </row>
    <row r="49" customFormat="false" ht="12.75" hidden="false" customHeight="false" outlineLevel="0" collapsed="false">
      <c r="A49" s="95"/>
    </row>
    <row r="50" customFormat="false" ht="12.75" hidden="false" customHeight="false" outlineLevel="0" collapsed="false">
      <c r="A50" s="95"/>
    </row>
    <row r="51" customFormat="false" ht="12.75" hidden="false" customHeight="false" outlineLevel="0" collapsed="false">
      <c r="A51" s="95"/>
    </row>
    <row r="52" customFormat="false" ht="12.75" hidden="false" customHeight="false" outlineLevel="0" collapsed="false">
      <c r="A52" s="95"/>
    </row>
    <row r="53" customFormat="false" ht="12.75" hidden="false" customHeight="false" outlineLevel="0" collapsed="false">
      <c r="A53" s="95"/>
    </row>
    <row r="54" customFormat="false" ht="12.75" hidden="false" customHeight="false" outlineLevel="0" collapsed="false">
      <c r="A54" s="95"/>
    </row>
    <row r="55" customFormat="false" ht="12.75" hidden="false" customHeight="false" outlineLevel="0" collapsed="false">
      <c r="A55" s="95"/>
    </row>
    <row r="56" customFormat="false" ht="12.75" hidden="false" customHeight="false" outlineLevel="0" collapsed="false">
      <c r="A56" s="95"/>
    </row>
    <row r="57" customFormat="false" ht="12.75" hidden="false" customHeight="false" outlineLevel="0" collapsed="false">
      <c r="A57" s="95"/>
    </row>
    <row r="58" customFormat="false" ht="12.75" hidden="false" customHeight="false" outlineLevel="0" collapsed="false">
      <c r="A58" s="95"/>
    </row>
    <row r="59" customFormat="false" ht="12.75" hidden="false" customHeight="false" outlineLevel="0" collapsed="false">
      <c r="A59" s="95"/>
    </row>
    <row r="60" customFormat="false" ht="12.75" hidden="false" customHeight="false" outlineLevel="0" collapsed="false">
      <c r="A60" s="95"/>
    </row>
    <row r="61" customFormat="false" ht="12.75" hidden="false" customHeight="false" outlineLevel="0" collapsed="false">
      <c r="A61" s="95"/>
    </row>
    <row r="62" customFormat="false" ht="12.75" hidden="false" customHeight="false" outlineLevel="0" collapsed="false">
      <c r="A62" s="95"/>
    </row>
    <row r="63" customFormat="false" ht="12.75" hidden="false" customHeight="false" outlineLevel="0" collapsed="false">
      <c r="A63" s="95"/>
    </row>
    <row r="64" customFormat="false" ht="12.75" hidden="false" customHeight="false" outlineLevel="0" collapsed="false">
      <c r="A64" s="95"/>
    </row>
    <row r="65" customFormat="false" ht="12.75" hidden="false" customHeight="false" outlineLevel="0" collapsed="false">
      <c r="A65" s="95"/>
    </row>
    <row r="66" customFormat="false" ht="12.75" hidden="false" customHeight="false" outlineLevel="0" collapsed="false">
      <c r="A66" s="95"/>
    </row>
    <row r="67" customFormat="false" ht="12.75" hidden="false" customHeight="false" outlineLevel="0" collapsed="false">
      <c r="A67" s="95"/>
    </row>
    <row r="68" customFormat="false" ht="12.75" hidden="false" customHeight="false" outlineLevel="0" collapsed="false">
      <c r="A68" s="95"/>
    </row>
    <row r="69" customFormat="false" ht="12.75" hidden="false" customHeight="false" outlineLevel="0" collapsed="false">
      <c r="A69" s="95"/>
    </row>
    <row r="70" customFormat="false" ht="12.75" hidden="false" customHeight="false" outlineLevel="0" collapsed="false">
      <c r="A70" s="95"/>
    </row>
    <row r="71" customFormat="false" ht="12.75" hidden="false" customHeight="false" outlineLevel="0" collapsed="false">
      <c r="A71" s="95"/>
    </row>
    <row r="72" customFormat="false" ht="12.75" hidden="false" customHeight="false" outlineLevel="0" collapsed="false">
      <c r="A72" s="95"/>
    </row>
    <row r="73" customFormat="false" ht="12.75" hidden="false" customHeight="false" outlineLevel="0" collapsed="false">
      <c r="A73" s="95"/>
    </row>
    <row r="74" customFormat="false" ht="12.75" hidden="false" customHeight="false" outlineLevel="0" collapsed="false">
      <c r="A74" s="95"/>
    </row>
    <row r="75" customFormat="false" ht="12.75" hidden="false" customHeight="false" outlineLevel="0" collapsed="false">
      <c r="A75" s="95"/>
    </row>
    <row r="76" customFormat="false" ht="12.75" hidden="false" customHeight="false" outlineLevel="0" collapsed="false">
      <c r="A76" s="95"/>
    </row>
    <row r="77" customFormat="false" ht="12.75" hidden="false" customHeight="false" outlineLevel="0" collapsed="false">
      <c r="A77" s="95"/>
    </row>
    <row r="78" customFormat="false" ht="12.75" hidden="false" customHeight="false" outlineLevel="0" collapsed="false">
      <c r="A78" s="95"/>
    </row>
    <row r="79" customFormat="false" ht="12.75" hidden="false" customHeight="false" outlineLevel="0" collapsed="false">
      <c r="A79" s="95"/>
    </row>
    <row r="80" customFormat="false" ht="12.75" hidden="false" customHeight="false" outlineLevel="0" collapsed="false">
      <c r="A80" s="95"/>
    </row>
    <row r="81" customFormat="false" ht="12.75" hidden="false" customHeight="false" outlineLevel="0" collapsed="false">
      <c r="A81" s="95"/>
    </row>
    <row r="82" customFormat="false" ht="12.75" hidden="false" customHeight="false" outlineLevel="0" collapsed="false">
      <c r="A82" s="95"/>
    </row>
    <row r="83" customFormat="false" ht="12.75" hidden="false" customHeight="false" outlineLevel="0" collapsed="false">
      <c r="A83" s="95"/>
    </row>
    <row r="84" customFormat="false" ht="12.75" hidden="false" customHeight="false" outlineLevel="0" collapsed="false">
      <c r="A84" s="95"/>
    </row>
    <row r="85" customFormat="false" ht="12.75" hidden="false" customHeight="false" outlineLevel="0" collapsed="false">
      <c r="A85" s="95"/>
    </row>
    <row r="86" customFormat="false" ht="12.75" hidden="false" customHeight="false" outlineLevel="0" collapsed="false">
      <c r="A86" s="95"/>
    </row>
    <row r="87" customFormat="false" ht="12.75" hidden="false" customHeight="false" outlineLevel="0" collapsed="false">
      <c r="A87" s="95"/>
    </row>
    <row r="88" customFormat="false" ht="12.75" hidden="false" customHeight="false" outlineLevel="0" collapsed="false">
      <c r="A88" s="95"/>
    </row>
    <row r="89" customFormat="false" ht="12.75" hidden="false" customHeight="false" outlineLevel="0" collapsed="false">
      <c r="A89" s="95"/>
    </row>
    <row r="90" customFormat="false" ht="12.75" hidden="false" customHeight="false" outlineLevel="0" collapsed="false">
      <c r="A90" s="95"/>
    </row>
    <row r="91" customFormat="false" ht="12.75" hidden="false" customHeight="false" outlineLevel="0" collapsed="false">
      <c r="A91" s="95"/>
    </row>
    <row r="92" customFormat="false" ht="12.75" hidden="false" customHeight="false" outlineLevel="0" collapsed="false">
      <c r="A92" s="95"/>
    </row>
    <row r="93" customFormat="false" ht="12.75" hidden="false" customHeight="false" outlineLevel="0" collapsed="false">
      <c r="A93" s="95"/>
    </row>
    <row r="94" customFormat="false" ht="12.75" hidden="false" customHeight="false" outlineLevel="0" collapsed="false">
      <c r="A94" s="95"/>
    </row>
    <row r="95" customFormat="false" ht="12.75" hidden="false" customHeight="false" outlineLevel="0" collapsed="false">
      <c r="A95" s="95"/>
    </row>
    <row r="96" customFormat="false" ht="12.75" hidden="false" customHeight="false" outlineLevel="0" collapsed="false">
      <c r="A96" s="95"/>
    </row>
    <row r="97" customFormat="false" ht="12.75" hidden="false" customHeight="false" outlineLevel="0" collapsed="false">
      <c r="A97" s="95"/>
    </row>
    <row r="98" customFormat="false" ht="12.75" hidden="false" customHeight="false" outlineLevel="0" collapsed="false">
      <c r="A98" s="95"/>
    </row>
    <row r="99" customFormat="false" ht="12.75" hidden="false" customHeight="false" outlineLevel="0" collapsed="false">
      <c r="A99" s="95"/>
    </row>
    <row r="100" customFormat="false" ht="12.75" hidden="false" customHeight="false" outlineLevel="0" collapsed="false">
      <c r="A100" s="95"/>
    </row>
    <row r="101" customFormat="false" ht="12.75" hidden="false" customHeight="false" outlineLevel="0" collapsed="false">
      <c r="A101" s="95"/>
    </row>
    <row r="102" customFormat="false" ht="12.75" hidden="false" customHeight="false" outlineLevel="0" collapsed="false">
      <c r="A102" s="95"/>
    </row>
    <row r="103" customFormat="false" ht="12.75" hidden="false" customHeight="false" outlineLevel="0" collapsed="false">
      <c r="A103" s="95"/>
    </row>
    <row r="104" customFormat="false" ht="12.75" hidden="false" customHeight="false" outlineLevel="0" collapsed="false">
      <c r="A104" s="95"/>
    </row>
    <row r="105" customFormat="false" ht="12.75" hidden="false" customHeight="false" outlineLevel="0" collapsed="false">
      <c r="A105" s="95"/>
    </row>
    <row r="106" customFormat="false" ht="12.75" hidden="false" customHeight="false" outlineLevel="0" collapsed="false">
      <c r="A106" s="95"/>
    </row>
    <row r="107" customFormat="false" ht="12.75" hidden="false" customHeight="false" outlineLevel="0" collapsed="false">
      <c r="A107" s="95"/>
    </row>
    <row r="108" customFormat="false" ht="12.75" hidden="false" customHeight="false" outlineLevel="0" collapsed="false">
      <c r="A108" s="95"/>
    </row>
    <row r="109" customFormat="false" ht="12.75" hidden="false" customHeight="false" outlineLevel="0" collapsed="false">
      <c r="A109" s="95"/>
    </row>
    <row r="110" customFormat="false" ht="12.75" hidden="false" customHeight="false" outlineLevel="0" collapsed="false">
      <c r="A110" s="95"/>
    </row>
    <row r="111" customFormat="false" ht="12.75" hidden="false" customHeight="false" outlineLevel="0" collapsed="false">
      <c r="A111" s="95"/>
    </row>
    <row r="112" customFormat="false" ht="12.75" hidden="false" customHeight="false" outlineLevel="0" collapsed="false">
      <c r="A112" s="95"/>
    </row>
    <row r="113" customFormat="false" ht="12.75" hidden="false" customHeight="false" outlineLevel="0" collapsed="false">
      <c r="A113" s="95"/>
    </row>
    <row r="114" customFormat="false" ht="12.75" hidden="false" customHeight="false" outlineLevel="0" collapsed="false">
      <c r="A114" s="95"/>
    </row>
    <row r="115" customFormat="false" ht="12.75" hidden="false" customHeight="false" outlineLevel="0" collapsed="false">
      <c r="A115" s="95"/>
    </row>
    <row r="116" customFormat="false" ht="12.75" hidden="false" customHeight="false" outlineLevel="0" collapsed="false">
      <c r="A116" s="95"/>
    </row>
    <row r="117" customFormat="false" ht="12.75" hidden="false" customHeight="false" outlineLevel="0" collapsed="false">
      <c r="A117" s="95"/>
    </row>
    <row r="118" customFormat="false" ht="12.75" hidden="false" customHeight="false" outlineLevel="0" collapsed="false">
      <c r="A118" s="95"/>
    </row>
    <row r="119" customFormat="false" ht="12.75" hidden="false" customHeight="false" outlineLevel="0" collapsed="false">
      <c r="A119" s="95"/>
    </row>
    <row r="120" customFormat="false" ht="12.75" hidden="false" customHeight="false" outlineLevel="0" collapsed="false">
      <c r="A120" s="95"/>
    </row>
    <row r="121" customFormat="false" ht="12.75" hidden="false" customHeight="false" outlineLevel="0" collapsed="false">
      <c r="A121" s="95"/>
    </row>
    <row r="122" customFormat="false" ht="12.75" hidden="false" customHeight="false" outlineLevel="0" collapsed="false">
      <c r="A122" s="95"/>
    </row>
    <row r="123" customFormat="false" ht="12.75" hidden="false" customHeight="false" outlineLevel="0" collapsed="false">
      <c r="A123" s="95"/>
    </row>
    <row r="124" customFormat="false" ht="12.75" hidden="false" customHeight="false" outlineLevel="0" collapsed="false">
      <c r="A124" s="95"/>
    </row>
    <row r="125" customFormat="false" ht="12.75" hidden="false" customHeight="false" outlineLevel="0" collapsed="false">
      <c r="A125" s="95"/>
    </row>
    <row r="126" customFormat="false" ht="12.75" hidden="false" customHeight="false" outlineLevel="0" collapsed="false">
      <c r="A126" s="95"/>
    </row>
    <row r="127" customFormat="false" ht="12.75" hidden="false" customHeight="false" outlineLevel="0" collapsed="false">
      <c r="A127" s="95"/>
    </row>
    <row r="128" customFormat="false" ht="12.75" hidden="false" customHeight="false" outlineLevel="0" collapsed="false">
      <c r="A128" s="95"/>
    </row>
    <row r="129" customFormat="false" ht="12.75" hidden="false" customHeight="false" outlineLevel="0" collapsed="false">
      <c r="A129" s="95"/>
    </row>
    <row r="130" customFormat="false" ht="12.75" hidden="false" customHeight="false" outlineLevel="0" collapsed="false">
      <c r="A130" s="95"/>
    </row>
    <row r="131" customFormat="false" ht="12.75" hidden="false" customHeight="false" outlineLevel="0" collapsed="false">
      <c r="A131" s="95"/>
    </row>
    <row r="132" customFormat="false" ht="12.75" hidden="false" customHeight="false" outlineLevel="0" collapsed="false">
      <c r="A132" s="95"/>
    </row>
    <row r="133" customFormat="false" ht="12.75" hidden="false" customHeight="false" outlineLevel="0" collapsed="false">
      <c r="A133" s="95"/>
    </row>
    <row r="134" customFormat="false" ht="12.75" hidden="false" customHeight="false" outlineLevel="0" collapsed="false">
      <c r="A134" s="95"/>
    </row>
    <row r="135" customFormat="false" ht="12.75" hidden="false" customHeight="false" outlineLevel="0" collapsed="false">
      <c r="A135" s="95"/>
    </row>
    <row r="136" customFormat="false" ht="12.75" hidden="false" customHeight="false" outlineLevel="0" collapsed="false">
      <c r="A136" s="95"/>
    </row>
    <row r="137" customFormat="false" ht="12.75" hidden="false" customHeight="false" outlineLevel="0" collapsed="false">
      <c r="A137" s="95"/>
    </row>
    <row r="138" customFormat="false" ht="12.75" hidden="false" customHeight="false" outlineLevel="0" collapsed="false">
      <c r="A138" s="95"/>
    </row>
    <row r="139" customFormat="false" ht="12.75" hidden="false" customHeight="false" outlineLevel="0" collapsed="false">
      <c r="A139" s="95"/>
    </row>
    <row r="140" customFormat="false" ht="12.75" hidden="false" customHeight="false" outlineLevel="0" collapsed="false">
      <c r="A140" s="95"/>
    </row>
    <row r="141" customFormat="false" ht="12.75" hidden="false" customHeight="false" outlineLevel="0" collapsed="false">
      <c r="A141" s="95"/>
    </row>
    <row r="142" customFormat="false" ht="12.75" hidden="false" customHeight="false" outlineLevel="0" collapsed="false">
      <c r="A142" s="95"/>
    </row>
    <row r="143" customFormat="false" ht="12.75" hidden="false" customHeight="false" outlineLevel="0" collapsed="false">
      <c r="A143" s="95"/>
    </row>
    <row r="144" customFormat="false" ht="12.75" hidden="false" customHeight="false" outlineLevel="0" collapsed="false">
      <c r="A144" s="95"/>
    </row>
    <row r="145" customFormat="false" ht="12.75" hidden="false" customHeight="false" outlineLevel="0" collapsed="false">
      <c r="A145" s="95"/>
    </row>
    <row r="146" customFormat="false" ht="12.75" hidden="false" customHeight="false" outlineLevel="0" collapsed="false">
      <c r="A146" s="95"/>
    </row>
    <row r="147" customFormat="false" ht="12.75" hidden="false" customHeight="false" outlineLevel="0" collapsed="false">
      <c r="A147" s="95"/>
    </row>
    <row r="148" customFormat="false" ht="12.75" hidden="false" customHeight="false" outlineLevel="0" collapsed="false">
      <c r="A148" s="95"/>
    </row>
    <row r="149" customFormat="false" ht="12.75" hidden="false" customHeight="false" outlineLevel="0" collapsed="false">
      <c r="A149" s="95"/>
    </row>
    <row r="150" customFormat="false" ht="12.75" hidden="false" customHeight="false" outlineLevel="0" collapsed="false">
      <c r="A150" s="95"/>
    </row>
    <row r="151" customFormat="false" ht="12.75" hidden="false" customHeight="false" outlineLevel="0" collapsed="false">
      <c r="A151" s="95"/>
    </row>
    <row r="152" customFormat="false" ht="12.75" hidden="false" customHeight="false" outlineLevel="0" collapsed="false">
      <c r="A152" s="95"/>
    </row>
    <row r="153" customFormat="false" ht="12.75" hidden="false" customHeight="false" outlineLevel="0" collapsed="false">
      <c r="A153" s="95"/>
    </row>
    <row r="154" customFormat="false" ht="12.75" hidden="false" customHeight="false" outlineLevel="0" collapsed="false">
      <c r="A154" s="95"/>
    </row>
    <row r="155" customFormat="false" ht="12.75" hidden="false" customHeight="false" outlineLevel="0" collapsed="false">
      <c r="A155" s="95"/>
    </row>
    <row r="156" customFormat="false" ht="12.75" hidden="false" customHeight="false" outlineLevel="0" collapsed="false">
      <c r="A156" s="95"/>
    </row>
    <row r="157" customFormat="false" ht="12.75" hidden="false" customHeight="false" outlineLevel="0" collapsed="false">
      <c r="A157" s="95"/>
    </row>
    <row r="158" customFormat="false" ht="12.75" hidden="false" customHeight="false" outlineLevel="0" collapsed="false">
      <c r="A158" s="95"/>
    </row>
    <row r="159" customFormat="false" ht="12.75" hidden="false" customHeight="false" outlineLevel="0" collapsed="false">
      <c r="A159" s="95"/>
    </row>
    <row r="160" customFormat="false" ht="12.75" hidden="false" customHeight="false" outlineLevel="0" collapsed="false">
      <c r="A160" s="95"/>
    </row>
    <row r="161" customFormat="false" ht="12.75" hidden="false" customHeight="false" outlineLevel="0" collapsed="false">
      <c r="A161" s="95"/>
    </row>
    <row r="162" customFormat="false" ht="12.75" hidden="false" customHeight="false" outlineLevel="0" collapsed="false">
      <c r="A162" s="95"/>
    </row>
    <row r="163" customFormat="false" ht="12.75" hidden="false" customHeight="false" outlineLevel="0" collapsed="false">
      <c r="A163" s="95"/>
    </row>
    <row r="164" customFormat="false" ht="12.75" hidden="false" customHeight="false" outlineLevel="0" collapsed="false">
      <c r="A164" s="95"/>
    </row>
    <row r="165" customFormat="false" ht="12.75" hidden="false" customHeight="false" outlineLevel="0" collapsed="false">
      <c r="A165" s="95"/>
    </row>
    <row r="166" customFormat="false" ht="12.75" hidden="false" customHeight="false" outlineLevel="0" collapsed="false">
      <c r="A166" s="95"/>
    </row>
    <row r="167" customFormat="false" ht="12.75" hidden="false" customHeight="false" outlineLevel="0" collapsed="false">
      <c r="A167" s="95"/>
    </row>
    <row r="168" customFormat="false" ht="12.75" hidden="false" customHeight="false" outlineLevel="0" collapsed="false">
      <c r="A168" s="95"/>
    </row>
    <row r="169" customFormat="false" ht="12.75" hidden="false" customHeight="false" outlineLevel="0" collapsed="false">
      <c r="A169" s="95"/>
    </row>
    <row r="170" customFormat="false" ht="12.75" hidden="false" customHeight="false" outlineLevel="0" collapsed="false">
      <c r="A170" s="95"/>
    </row>
    <row r="171" customFormat="false" ht="12.75" hidden="false" customHeight="false" outlineLevel="0" collapsed="false">
      <c r="A171" s="95"/>
    </row>
    <row r="172" customFormat="false" ht="12.75" hidden="false" customHeight="false" outlineLevel="0" collapsed="false">
      <c r="A172" s="95"/>
    </row>
    <row r="173" customFormat="false" ht="12.75" hidden="false" customHeight="false" outlineLevel="0" collapsed="false">
      <c r="A173" s="95"/>
    </row>
    <row r="174" customFormat="false" ht="12.75" hidden="false" customHeight="false" outlineLevel="0" collapsed="false">
      <c r="A174" s="95"/>
    </row>
    <row r="175" customFormat="false" ht="12.75" hidden="false" customHeight="false" outlineLevel="0" collapsed="false">
      <c r="A175" s="95"/>
    </row>
    <row r="176" customFormat="false" ht="12.75" hidden="false" customHeight="false" outlineLevel="0" collapsed="false">
      <c r="A176" s="95"/>
    </row>
    <row r="177" customFormat="false" ht="12.75" hidden="false" customHeight="false" outlineLevel="0" collapsed="false">
      <c r="A177" s="95"/>
    </row>
    <row r="178" customFormat="false" ht="12.75" hidden="false" customHeight="false" outlineLevel="0" collapsed="false">
      <c r="A178" s="95"/>
    </row>
    <row r="179" customFormat="false" ht="12.75" hidden="false" customHeight="false" outlineLevel="0" collapsed="false">
      <c r="A179" s="95"/>
    </row>
    <row r="180" customFormat="false" ht="12.75" hidden="false" customHeight="false" outlineLevel="0" collapsed="false">
      <c r="A180" s="95"/>
    </row>
    <row r="181" customFormat="false" ht="12.75" hidden="false" customHeight="false" outlineLevel="0" collapsed="false">
      <c r="A181" s="95"/>
    </row>
    <row r="182" customFormat="false" ht="12.75" hidden="false" customHeight="false" outlineLevel="0" collapsed="false">
      <c r="A182" s="95"/>
    </row>
    <row r="183" customFormat="false" ht="12.75" hidden="false" customHeight="false" outlineLevel="0" collapsed="false">
      <c r="A183" s="95"/>
    </row>
    <row r="184" customFormat="false" ht="12.75" hidden="false" customHeight="false" outlineLevel="0" collapsed="false">
      <c r="A184" s="95"/>
    </row>
    <row r="185" customFormat="false" ht="12.75" hidden="false" customHeight="false" outlineLevel="0" collapsed="false">
      <c r="A185" s="95"/>
    </row>
    <row r="186" customFormat="false" ht="12.75" hidden="false" customHeight="false" outlineLevel="0" collapsed="false">
      <c r="A186" s="95"/>
    </row>
    <row r="187" customFormat="false" ht="12.75" hidden="false" customHeight="false" outlineLevel="0" collapsed="false">
      <c r="A187" s="95"/>
    </row>
    <row r="188" customFormat="false" ht="12.75" hidden="false" customHeight="false" outlineLevel="0" collapsed="false">
      <c r="A188" s="95"/>
    </row>
    <row r="189" customFormat="false" ht="12.75" hidden="false" customHeight="false" outlineLevel="0" collapsed="false">
      <c r="A189" s="95"/>
    </row>
    <row r="190" customFormat="false" ht="12.75" hidden="false" customHeight="false" outlineLevel="0" collapsed="false">
      <c r="A190" s="95"/>
    </row>
    <row r="191" customFormat="false" ht="12.75" hidden="false" customHeight="false" outlineLevel="0" collapsed="false">
      <c r="A191" s="95"/>
    </row>
    <row r="192" customFormat="false" ht="12.75" hidden="false" customHeight="false" outlineLevel="0" collapsed="false">
      <c r="A192" s="95"/>
    </row>
    <row r="193" customFormat="false" ht="12.75" hidden="false" customHeight="false" outlineLevel="0" collapsed="false">
      <c r="A193" s="95"/>
    </row>
    <row r="194" customFormat="false" ht="12.75" hidden="false" customHeight="false" outlineLevel="0" collapsed="false">
      <c r="A194" s="95"/>
    </row>
    <row r="195" customFormat="false" ht="12.75" hidden="false" customHeight="false" outlineLevel="0" collapsed="false">
      <c r="A195" s="95"/>
    </row>
    <row r="196" customFormat="false" ht="12.75" hidden="false" customHeight="false" outlineLevel="0" collapsed="false">
      <c r="A196" s="95"/>
    </row>
    <row r="197" customFormat="false" ht="12.75" hidden="false" customHeight="false" outlineLevel="0" collapsed="false">
      <c r="A197" s="95"/>
    </row>
    <row r="198" customFormat="false" ht="12.75" hidden="false" customHeight="false" outlineLevel="0" collapsed="false">
      <c r="A198" s="95"/>
    </row>
    <row r="199" customFormat="false" ht="12.75" hidden="false" customHeight="false" outlineLevel="0" collapsed="false">
      <c r="A199" s="95"/>
    </row>
    <row r="200" customFormat="false" ht="12.75" hidden="false" customHeight="false" outlineLevel="0" collapsed="false">
      <c r="A200" s="95"/>
    </row>
    <row r="201" customFormat="false" ht="12.75" hidden="false" customHeight="false" outlineLevel="0" collapsed="false">
      <c r="A201" s="95"/>
    </row>
    <row r="202" customFormat="false" ht="12.75" hidden="false" customHeight="false" outlineLevel="0" collapsed="false">
      <c r="A202" s="95"/>
    </row>
    <row r="203" customFormat="false" ht="12.75" hidden="false" customHeight="false" outlineLevel="0" collapsed="false">
      <c r="A203" s="95"/>
    </row>
    <row r="204" customFormat="false" ht="12.75" hidden="false" customHeight="false" outlineLevel="0" collapsed="false">
      <c r="A204" s="95"/>
    </row>
    <row r="205" customFormat="false" ht="12.75" hidden="false" customHeight="false" outlineLevel="0" collapsed="false">
      <c r="A205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2000-02-09T20:50:56Z</dcterms:created>
  <dc:creator>Eric Bass</dc:creator>
  <dc:description/>
  <dc:language>en-US</dc:language>
  <cp:lastModifiedBy>Eric Bass</cp:lastModifiedBy>
  <cp:lastPrinted>2000-02-14T17:48:57Z</cp:lastPrinted>
  <cp:revision>0</cp:revision>
  <dc:subject/>
  <dc:title/>
</cp:coreProperties>
</file>