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7.xml.rels" ContentType="application/vnd.openxmlformats-package.relationships+xml"/>
  <Override PartName="/xl/worksheets/_rels/sheet6.xml.rels" ContentType="application/vnd.openxmlformats-package.relationships+xml"/>
  <Override PartName="/xl/worksheets/_rels/sheet5.xml.rels" ContentType="application/vnd.openxmlformats-package.relationships+xml"/>
  <Override PartName="/xl/worksheets/sheet8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ctrlProps/ctrlProps4.xml" ContentType="application/vnd.ms-excel.controlproperties+xml"/>
  <Override PartName="/xl/ctrlProps/ctrlProps6.xml" ContentType="application/vnd.ms-excel.controlproperties+xml"/>
  <Override PartName="/xl/drawings/drawing1.xml" ContentType="application/vnd.openxmlformats-officedocument.drawing+xml"/>
  <Override PartName="/xl/drawings/vmlDrawing3.vml" ContentType="application/vnd.openxmlformats-officedocument.vmlDrawing"/>
  <Override PartName="/xl/drawings/vmlDrawing1.vml" ContentType="application/vnd.openxmlformats-officedocument.vmlDrawing"/>
  <Override PartName="/xl/drawings/drawing3.xml" ContentType="application/vnd.openxmlformats-officedocument.drawing+xml"/>
  <Override PartName="/xl/drawings/vmlDrawing2.vml" ContentType="application/vnd.openxmlformats-officedocument.vmlDrawing"/>
  <Override PartName="/xl/drawings/drawing5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eal Volumes" sheetId="1" state="visible" r:id="rId3"/>
    <sheet name="GD Options" sheetId="2" state="visible" r:id="rId4"/>
    <sheet name="Curves" sheetId="3" state="visible" r:id="rId5"/>
    <sheet name="Locations" sheetId="4" state="visible" r:id="rId6"/>
    <sheet name="Model - Summer" sheetId="5" state="visible" r:id="rId7"/>
    <sheet name="Model - PH Robinson Only" sheetId="6" state="visible" r:id="rId8"/>
    <sheet name="Model - Term" sheetId="7" state="visible" r:id="rId9"/>
    <sheet name="Historical Flow" sheetId="8" state="visible" r:id="rId10"/>
  </sheets>
  <externalReferences>
    <externalReference r:id="rId11"/>
  </externalReferences>
  <definedNames>
    <definedName function="false" hidden="false" name="EffDt" vbProcedure="false">[1]Curves!$B$5</definedName>
    <definedName function="true" hidden="false" name="OSTRIP" vbProcedure="true"/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<sst xmlns="http://schemas.openxmlformats.org/spreadsheetml/2006/main" count="264" uniqueCount="124">
  <si>
    <t xml:space="preserve">AGGREGATE VOLUMES</t>
  </si>
  <si>
    <t xml:space="preserve">Month</t>
  </si>
  <si>
    <t xml:space="preserve">Days</t>
  </si>
  <si>
    <t xml:space="preserve">Min/d</t>
  </si>
  <si>
    <t xml:space="preserve">Max/d</t>
  </si>
  <si>
    <t xml:space="preserve">Avg/d</t>
  </si>
  <si>
    <t xml:space="preserve">Min/mo</t>
  </si>
  <si>
    <t xml:space="preserve">Max/mo</t>
  </si>
  <si>
    <t xml:space="preserve">Avg/mo</t>
  </si>
  <si>
    <t xml:space="preserve">Option Vol</t>
  </si>
  <si>
    <t xml:space="preserve">PROSPECTIVE BOOKINGS (BASED ON HISTORICAL FLOW)</t>
  </si>
  <si>
    <t xml:space="preserve">FLOW BY CURVE</t>
  </si>
  <si>
    <t xml:space="preserve">P.H. Robinson -  #1412</t>
  </si>
  <si>
    <t xml:space="preserve">Daily</t>
  </si>
  <si>
    <t xml:space="preserve">T.H. Wharton - #1480</t>
  </si>
  <si>
    <t xml:space="preserve">Cedar Bayou - #1401</t>
  </si>
  <si>
    <t xml:space="preserve">Greens Bayou - #1393</t>
  </si>
  <si>
    <t xml:space="preserve">Sam Berton -#1396</t>
  </si>
  <si>
    <t xml:space="preserve">Total</t>
  </si>
  <si>
    <t xml:space="preserve">IF-A/S EAST OFF</t>
  </si>
  <si>
    <t xml:space="preserve">IF-HPL/SHPCHAN</t>
  </si>
  <si>
    <t xml:space="preserve">TOTALS</t>
  </si>
  <si>
    <t xml:space="preserve">Cedar Bayou and PH Daily</t>
  </si>
  <si>
    <t xml:space="preserve">Today's Date:</t>
  </si>
  <si>
    <t xml:space="preserve">Deal Nos: N97148.1, N97148.2</t>
  </si>
  <si>
    <t xml:space="preserve">GD Minibook</t>
  </si>
  <si>
    <t xml:space="preserve">Delivery Month</t>
  </si>
  <si>
    <t xml:space="preserve">Volume</t>
  </si>
  <si>
    <t xml:space="preserve">Start Date</t>
  </si>
  <si>
    <t xml:space="preserve">Stop Date</t>
  </si>
  <si>
    <t xml:space="preserve">Delivery Point</t>
  </si>
  <si>
    <t xml:space="preserve">Put/Call</t>
  </si>
  <si>
    <t xml:space="preserve">Price</t>
  </si>
  <si>
    <t xml:space="preserve">Strike</t>
  </si>
  <si>
    <t xml:space="preserve">Now to Set</t>
  </si>
  <si>
    <t xml:space="preserve">Beg Days</t>
  </si>
  <si>
    <t xml:space="preserve">End Days</t>
  </si>
  <si>
    <t xml:space="preserve">Fwd Start Flag</t>
  </si>
  <si>
    <t xml:space="preserve">Int Rt</t>
  </si>
  <si>
    <t xml:space="preserve">Vol_prior</t>
  </si>
  <si>
    <t xml:space="preserve">Vol_after</t>
  </si>
  <si>
    <t xml:space="preserve">Pct of Index</t>
  </si>
  <si>
    <t xml:space="preserve">Basis Offset</t>
  </si>
  <si>
    <t xml:space="preserve">Opt Type</t>
  </si>
  <si>
    <t xml:space="preserve">Ret Type</t>
  </si>
  <si>
    <t xml:space="preserve">Mid Premium</t>
  </si>
  <si>
    <t xml:space="preserve">Mid Option Value</t>
  </si>
  <si>
    <t xml:space="preserve">CALL</t>
  </si>
  <si>
    <t xml:space="preserve">PUT</t>
  </si>
  <si>
    <t xml:space="preserve">Total GD Option Value</t>
  </si>
  <si>
    <t xml:space="preserve">Ret Type:</t>
  </si>
  <si>
    <t xml:space="preserve">= strip premium</t>
  </si>
  <si>
    <t xml:space="preserve">= delta</t>
  </si>
  <si>
    <t xml:space="preserve">= gamma</t>
  </si>
  <si>
    <t xml:space="preserve">= vega</t>
  </si>
  <si>
    <t xml:space="preserve">= rho</t>
  </si>
  <si>
    <t xml:space="preserve">= theta</t>
  </si>
  <si>
    <t xml:space="preserve">= delta on forward start date</t>
  </si>
  <si>
    <t xml:space="preserve">IF-TX CITY LOOP</t>
  </si>
  <si>
    <t xml:space="preserve">IF-KATY/TAIL</t>
  </si>
  <si>
    <t xml:space="preserve">HSC</t>
  </si>
  <si>
    <t xml:space="preserve">INTEREST RATE</t>
  </si>
  <si>
    <t xml:space="preserve">Location</t>
  </si>
  <si>
    <t xml:space="preserve">Meter #</t>
  </si>
  <si>
    <t xml:space="preserve">Zone #</t>
  </si>
  <si>
    <t xml:space="preserve">Zone Name</t>
  </si>
  <si>
    <t xml:space="preserve">MTM Curve</t>
  </si>
  <si>
    <t xml:space="preserve">P.H. Robinson</t>
  </si>
  <si>
    <t xml:space="preserve">Texas City</t>
  </si>
  <si>
    <t xml:space="preserve">A/S East Beaumont Offer</t>
  </si>
  <si>
    <t xml:space="preserve">Cedar Bayou</t>
  </si>
  <si>
    <t xml:space="preserve">A/S Central</t>
  </si>
  <si>
    <t xml:space="preserve">T.H. Wharton</t>
  </si>
  <si>
    <t xml:space="preserve">West Loop</t>
  </si>
  <si>
    <t xml:space="preserve">Greens Bayou</t>
  </si>
  <si>
    <t xml:space="preserve">East Loop</t>
  </si>
  <si>
    <t xml:space="preserve">Sam Berton</t>
  </si>
  <si>
    <t xml:space="preserve">Ship Channel</t>
  </si>
  <si>
    <t xml:space="preserve">Today</t>
  </si>
  <si>
    <t xml:space="preserve">A/S Index Offer</t>
  </si>
  <si>
    <t xml:space="preserve">Index Adder</t>
  </si>
  <si>
    <t xml:space="preserve">Unit Cost</t>
  </si>
  <si>
    <t xml:space="preserve">HSC Index Offer</t>
  </si>
  <si>
    <t xml:space="preserve">NOTIONAL VOLUMES</t>
  </si>
  <si>
    <t xml:space="preserve">PV VOLUMES</t>
  </si>
  <si>
    <t xml:space="preserve">MID CURVES</t>
  </si>
  <si>
    <t xml:space="preserve">MID - OFFER COST</t>
  </si>
  <si>
    <t xml:space="preserve">TRANSPORT PREMIUM</t>
  </si>
  <si>
    <t xml:space="preserve">STORAGE</t>
  </si>
  <si>
    <t xml:space="preserve">UNIT COST</t>
  </si>
  <si>
    <t xml:space="preserve">Interest Rate</t>
  </si>
  <si>
    <t xml:space="preserve">Discount Factor</t>
  </si>
  <si>
    <t xml:space="preserve">PH/CEDAR</t>
  </si>
  <si>
    <t xml:space="preserve">IF-A/S EAST OFFER</t>
  </si>
  <si>
    <t xml:space="preserve">TOTAL</t>
  </si>
  <si>
    <t xml:space="preserve">DEAL VALUE</t>
  </si>
  <si>
    <t xml:space="preserve">PH Robinson Volumes</t>
  </si>
  <si>
    <t xml:space="preserve">Cost</t>
  </si>
  <si>
    <t xml:space="preserve">TOTAL COSTS</t>
  </si>
  <si>
    <t xml:space="preserve">NET ORIG VALUE</t>
  </si>
  <si>
    <t xml:space="preserve">Phys Prem</t>
  </si>
  <si>
    <t xml:space="preserve">Transport Premium</t>
  </si>
  <si>
    <t xml:space="preserve">Storage Cost</t>
  </si>
  <si>
    <t xml:space="preserve">Customer Price</t>
  </si>
  <si>
    <t xml:space="preserve">UNIT COSTS</t>
  </si>
  <si>
    <t xml:space="preserve">Historical Y/N?</t>
  </si>
  <si>
    <t xml:space="preserve">1 = YES, 0 = NO</t>
  </si>
  <si>
    <t xml:space="preserve"> </t>
  </si>
  <si>
    <t xml:space="preserve">Daily Volume</t>
  </si>
  <si>
    <t xml:space="preserve">Notional Volumes</t>
  </si>
  <si>
    <t xml:space="preserve">PV Volumes</t>
  </si>
  <si>
    <t xml:space="preserve">IF-A/S East Offer Curve</t>
  </si>
  <si>
    <t xml:space="preserve">Mid - Offer Cost</t>
  </si>
  <si>
    <t xml:space="preserve">Minibook</t>
  </si>
  <si>
    <t xml:space="preserve">Summer Unit Cost</t>
  </si>
  <si>
    <t xml:space="preserve">Winter Unit Cost</t>
  </si>
  <si>
    <t xml:space="preserve">PH ROBINSON</t>
  </si>
  <si>
    <t xml:space="preserve">PH/Cedar</t>
  </si>
  <si>
    <t xml:space="preserve">% of Flow</t>
  </si>
  <si>
    <t xml:space="preserve">Total Flow</t>
  </si>
  <si>
    <t xml:space="preserve">Totals</t>
  </si>
  <si>
    <t xml:space="preserve">Maximum</t>
  </si>
  <si>
    <t xml:space="preserve">Minimum</t>
  </si>
  <si>
    <t xml:space="preserve">Summer</t>
  </si>
</sst>
</file>

<file path=xl/styles.xml><?xml version="1.0" encoding="utf-8"?>
<styleSheet xmlns="http://schemas.openxmlformats.org/spreadsheetml/2006/main">
  <numFmts count="35">
    <numFmt numFmtId="164" formatCode="General"/>
    <numFmt numFmtId="165" formatCode="0_);\(0\)"/>
    <numFmt numFmtId="166" formatCode="[$-409]mmm\-yy"/>
    <numFmt numFmtId="167" formatCode="[$-409]#,##0_);\(#,##0\)"/>
    <numFmt numFmtId="168" formatCode="#,##0"/>
    <numFmt numFmtId="169" formatCode="0%"/>
    <numFmt numFmtId="170" formatCode="0.00%"/>
    <numFmt numFmtId="171" formatCode="[$-409]m/d/yyyy"/>
    <numFmt numFmtId="172" formatCode="[$-409]m/d/yyyy\ h:mm"/>
    <numFmt numFmtId="173" formatCode="@"/>
    <numFmt numFmtId="174" formatCode="_(* #,##0.00_);_(* \(#,##0.00\);_(* \-??_);_(@_)"/>
    <numFmt numFmtId="175" formatCode="[$-409]#,##0_);[RED]\(#,##0\)"/>
    <numFmt numFmtId="176" formatCode="\$#,##0.000"/>
    <numFmt numFmtId="177" formatCode="0"/>
    <numFmt numFmtId="178" formatCode="0.000000%"/>
    <numFmt numFmtId="179" formatCode="#,##0.000_);[RED]\(#,##0.000\)"/>
    <numFmt numFmtId="180" formatCode="\$#,##0.00000000"/>
    <numFmt numFmtId="181" formatCode="\$#,##0_);&quot;($&quot;#,##0\)"/>
    <numFmt numFmtId="182" formatCode="#,##0.000000_);[RED]\(#,##0.000000\)"/>
    <numFmt numFmtId="183" formatCode="m/d/yy"/>
    <numFmt numFmtId="184" formatCode="[$-409]#,##0.00_);[RED]\(#,##0.00\)"/>
    <numFmt numFmtId="185" formatCode="0.0000"/>
    <numFmt numFmtId="186" formatCode="[$-409]d\-mmm\-yy"/>
    <numFmt numFmtId="187" formatCode="#,##0.00000_);\(#,##0.00000\)"/>
    <numFmt numFmtId="188" formatCode="_(\$* #,##0.00_);_(\$* \(#,##0.00\);_(\$* \-??_);_(@_)"/>
    <numFmt numFmtId="189" formatCode="0.0000_);\(0.0000\)"/>
    <numFmt numFmtId="190" formatCode="0.0000000000"/>
    <numFmt numFmtId="191" formatCode="\$#,##0.0000_);&quot;($&quot;#,##0.0000\)"/>
    <numFmt numFmtId="192" formatCode="\$#,##0.000_);&quot;($&quot;#,##0.000\)"/>
    <numFmt numFmtId="193" formatCode="\$#,##0.00000"/>
    <numFmt numFmtId="194" formatCode="0.0000000"/>
    <numFmt numFmtId="195" formatCode="\$#,##0.0000_);[RED]&quot;($&quot;#,##0.0000\)"/>
    <numFmt numFmtId="196" formatCode="\$#,##0_);[RED]&quot;($&quot;#,##0\)"/>
    <numFmt numFmtId="197" formatCode="\$#,##0.00000_);[RED]&quot;($&quot;#,##0.00000\)"/>
    <numFmt numFmtId="198" formatCode="\$#,##0.00_);[RED]&quot;($&quot;#,##0.00\)"/>
  </numFmts>
  <fonts count="1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10"/>
      <name val="Arial"/>
      <family val="2"/>
    </font>
    <font>
      <sz val="10"/>
      <name val="Arial Narrow"/>
      <family val="2"/>
    </font>
    <font>
      <b val="true"/>
      <sz val="10"/>
      <name val="Arial Narrow"/>
      <family val="2"/>
    </font>
    <font>
      <b val="true"/>
      <sz val="10"/>
      <color rgb="FFFF0000"/>
      <name val="Arial Narrow"/>
      <family val="2"/>
    </font>
    <font>
      <b val="true"/>
      <sz val="10"/>
      <color rgb="FF008000"/>
      <name val="Arial Narrow"/>
      <family val="2"/>
    </font>
    <font>
      <sz val="10"/>
      <color rgb="FF0000FF"/>
      <name val="Arial Narrow"/>
      <family val="2"/>
    </font>
    <font>
      <sz val="10"/>
      <color rgb="FFFF0000"/>
      <name val="Arial Narrow"/>
      <family val="2"/>
    </font>
    <font>
      <sz val="10"/>
      <color rgb="FF0000FF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4"/>
      <name val="Arial"/>
      <family val="2"/>
    </font>
    <font>
      <sz val="14"/>
      <color rgb="FF0000FF"/>
      <name val="Arial"/>
      <family val="2"/>
    </font>
    <font>
      <sz val="10"/>
      <color rgb="FFFF0000"/>
      <name val="Arial"/>
      <family val="2"/>
    </font>
    <font>
      <b val="true"/>
      <sz val="10"/>
      <color rgb="FFFF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FF6600"/>
        <bgColor rgb="FFFF9900"/>
      </patternFill>
    </fill>
    <fill>
      <patternFill patternType="solid">
        <fgColor rgb="FFFFFFFF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00FF00"/>
        <bgColor rgb="FF33CCCC"/>
      </patternFill>
    </fill>
    <fill>
      <patternFill patternType="solid">
        <fgColor rgb="FFFFFF00"/>
        <bgColor rgb="FFFFFF00"/>
      </patternFill>
    </fill>
    <fill>
      <patternFill patternType="solid">
        <fgColor rgb="FFFFCC99"/>
        <bgColor rgb="FFC0C0C0"/>
      </patternFill>
    </fill>
    <fill>
      <patternFill patternType="solid">
        <fgColor rgb="FF99CCFF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33CCCC"/>
        <bgColor rgb="FF00CCFF"/>
      </patternFill>
    </fill>
  </fills>
  <borders count="22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88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69" fontId="0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5" fillId="2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0" fillId="2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2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2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2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2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2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7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7" fillId="2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3" fontId="7" fillId="2" borderId="1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9" fillId="2" borderId="1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2" borderId="1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2" borderId="1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6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1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7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8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6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0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0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1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2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1" fontId="6" fillId="0" borderId="1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8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3" fontId="6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4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5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6" fontId="6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1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3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6" fillId="3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3" fontId="6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5" fontId="6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6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4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7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6" fillId="2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2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6" fillId="2" borderId="1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2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6" fillId="2" borderId="1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2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9" fontId="0" fillId="0" borderId="0" xfId="17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90" fontId="0" fillId="0" borderId="0" xfId="17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4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5" fillId="4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91" fontId="12" fillId="4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4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2" fontId="12" fillId="4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1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5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5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5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5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6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7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5" borderId="1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5" borderId="1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5" borderId="2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6" borderId="2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4" borderId="0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7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7" borderId="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7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4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93" fontId="0" fillId="7" borderId="1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93" fontId="0" fillId="7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93" fontId="0" fillId="7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8" fontId="13" fillId="8" borderId="14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94" fontId="0" fillId="8" borderId="1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0" fillId="9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0" fillId="9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0" fillId="9" borderId="1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0" fillId="9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95" fontId="0" fillId="1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95" fontId="0" fillId="10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81" fontId="0" fillId="2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96" fontId="0" fillId="11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96" fontId="0" fillId="11" borderId="1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0" fillId="8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0" fillId="8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96" fontId="0" fillId="2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96" fontId="14" fillId="6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13" fillId="8" borderId="17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94" fontId="0" fillId="8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0" fillId="9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0" fillId="9" borderId="1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0" fillId="9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0" fillId="9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95" fontId="0" fillId="1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95" fontId="0" fillId="10" borderId="1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81" fontId="0" fillId="2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96" fontId="0" fillId="11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96" fontId="0" fillId="11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0" fillId="8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0" fillId="8" borderId="1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96" fontId="0" fillId="2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96" fontId="14" fillId="6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13" fillId="8" borderId="19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94" fontId="0" fillId="8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0" fillId="9" borderId="1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0" fillId="9" borderId="2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0" fillId="9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0" fillId="9" borderId="2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95" fontId="0" fillId="10" borderId="1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95" fontId="0" fillId="10" borderId="2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81" fontId="0" fillId="2" borderId="2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96" fontId="0" fillId="11" borderId="1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96" fontId="0" fillId="11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0" fillId="8" borderId="2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0" fillId="8" borderId="2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96" fontId="0" fillId="2" borderId="2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96" fontId="14" fillId="6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4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14" fillId="4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6" fontId="14" fillId="4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6" fontId="15" fillId="6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97" fontId="0" fillId="4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97" fontId="14" fillId="6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8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4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16" fillId="4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16" fillId="4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6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91" fontId="12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5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5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5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5" borderId="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6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4" borderId="0" xfId="0" applyFont="false" applyBorder="false" applyAlignment="true" applyProtection="false">
      <alignment horizontal="center" vertical="bottom" textRotation="0" wrapText="true" indent="0" shrinkToFit="false"/>
      <protection locked="true" hidden="false"/>
    </xf>
    <xf numFmtId="193" fontId="0" fillId="7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93" fontId="0" fillId="7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0" fillId="8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0" fillId="8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0" fillId="8" borderId="1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97" fontId="0" fillId="4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16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6" fontId="0" fillId="8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96" fontId="0" fillId="9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96" fontId="0" fillId="2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96" fontId="0" fillId="8" borderId="1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96" fontId="0" fillId="9" borderId="1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96" fontId="0" fillId="2" borderId="1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96" fontId="0" fillId="8" borderId="2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96" fontId="0" fillId="9" borderId="2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96" fontId="0" fillId="2" borderId="2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70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true" indent="0" shrinkToFit="false"/>
      <protection locked="true" hidden="false"/>
    </xf>
    <xf numFmtId="170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2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2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8" fillId="2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2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5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2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2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8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2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2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8" fillId="2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2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8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2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HL&amp;P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externalLink" Target="externalLinks/externalLink1.xml"/><Relationship Id="rId12" Type="http://schemas.openxmlformats.org/officeDocument/2006/relationships/sharedStrings" Target="sharedStrings.xml"/>
</Relationships>
</file>

<file path=xl/ctrlProps/ctrlProps2.xml><?xml version="1.0" encoding="utf-8"?>
<formControlPr xmlns="http://schemas.microsoft.com/office/spreadsheetml/2009/9/main" objectType="Button" lockText="1"/>
</file>

<file path=xl/ctrlProps/ctrlProps4.xml><?xml version="1.0" encoding="utf-8"?>
<formControlPr xmlns="http://schemas.microsoft.com/office/spreadsheetml/2009/9/main" objectType="Button" lockText="1"/>
</file>

<file path=xl/ctrlProps/ctrlProps6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191520</xdr:colOff>
          <xdr:row>16</xdr:row>
          <xdr:rowOff>190440</xdr:rowOff>
        </xdr:from>
        <xdr:to>
          <xdr:col>8</xdr:col>
          <xdr:colOff>795600</xdr:colOff>
          <xdr:row>20</xdr:row>
          <xdr:rowOff>104760</xdr:rowOff>
        </xdr:to>
        <xdr:sp>
          <xdr:nvSpPr>
            <xdr:cNvPr id="1001" name="Button 1" descr="Calculate Breakeven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Calculate Breakeven</a:t>
              </a:r>
            </a:p>
          </xdr:txBody>
        </xdr:sp>
        <xdr:clientData/>
      </xdr:twoCellAnchor>
    </mc:Choice>
  </mc:AlternateContent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60480</xdr:colOff>
          <xdr:row>16</xdr:row>
          <xdr:rowOff>152640</xdr:rowOff>
        </xdr:from>
        <xdr:to>
          <xdr:col>8</xdr:col>
          <xdr:colOff>665280</xdr:colOff>
          <xdr:row>21</xdr:row>
          <xdr:rowOff>9720</xdr:rowOff>
        </xdr:to>
        <xdr:sp>
          <xdr:nvSpPr>
            <xdr:cNvPr id="1001" name="Button 1" descr="Calculate Breakeven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Calculate Breakeven</a:t>
              </a:r>
            </a:p>
          </xdr:txBody>
        </xdr:sp>
        <xdr:clientData/>
      </xdr:twoCellAnchor>
    </mc:Choice>
  </mc:AlternateContent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412920</xdr:colOff>
          <xdr:row>22</xdr:row>
          <xdr:rowOff>142920</xdr:rowOff>
        </xdr:from>
        <xdr:to>
          <xdr:col>7</xdr:col>
          <xdr:colOff>1006920</xdr:colOff>
          <xdr:row>26</xdr:row>
          <xdr:rowOff>95400</xdr:rowOff>
        </xdr:to>
        <xdr:sp>
          <xdr:nvSpPr>
            <xdr:cNvPr id="1001" name="Button 1" descr="Calculate Breakeven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Calculate Breakeven</a:t>
              </a:r>
            </a:p>
          </xdr:txBody>
        </xdr:sp>
        <xdr:clientData/>
      </xdr:twoCellAnchor>
    </mc:Choice>
  </mc:AlternateContent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TEMP/ERMS/erms_adm/FIRMTRAD/2000/0200/Regions/NymexDly0200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eport"/>
      <sheetName val="Input"/>
      <sheetName val="TopPages"/>
      <sheetName val="Roll-1"/>
      <sheetName val="Roll-2"/>
      <sheetName val="Roll-3"/>
      <sheetName val="Roll-5"/>
      <sheetName val="Roll-6"/>
      <sheetName val="Roll-7"/>
      <sheetName val="Roll-8"/>
      <sheetName val="Roll-9"/>
      <sheetName val="Roll-10"/>
      <sheetName val="Roll-11"/>
      <sheetName val="Roll-12"/>
      <sheetName val="Peoples Unwind"/>
      <sheetName val="Orig Sched"/>
      <sheetName val="Roll-4"/>
      <sheetName val="Exotics"/>
      <sheetName val="Curves"/>
      <sheetName val="Daily Macro"/>
      <sheetName val="Monthly Macro"/>
      <sheetName val="Module1"/>
      <sheetName val="Module2"/>
      <sheetName val="Module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3.xml"/><Relationship Id="rId2" Type="http://schemas.openxmlformats.org/officeDocument/2006/relationships/vmlDrawing" Target="../drawings/vmlDrawing2.vml"/><Relationship Id="rId3" Type="http://schemas.openxmlformats.org/officeDocument/2006/relationships/ctrlProp" Target="../ctrlProps/ctrlProps4.x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drawing" Target="../drawings/drawing5.xml"/><Relationship Id="rId2" Type="http://schemas.openxmlformats.org/officeDocument/2006/relationships/vmlDrawing" Target="../drawings/vmlDrawing3.vml"/><Relationship Id="rId3" Type="http://schemas.openxmlformats.org/officeDocument/2006/relationships/ctrlProp" Target="../ctrlProps/ctrlProps6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5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1" width="9.14"/>
    <col collapsed="false" customWidth="true" hidden="false" outlineLevel="0" max="4" min="3" style="0" width="12.28"/>
    <col collapsed="false" customWidth="true" hidden="false" outlineLevel="0" max="5" min="5" style="0" width="9.85"/>
    <col collapsed="false" customWidth="true" hidden="false" outlineLevel="0" max="6" min="6" style="0" width="9.7"/>
    <col collapsed="false" customWidth="true" hidden="false" outlineLevel="0" max="7" min="7" style="0" width="10.13"/>
    <col collapsed="false" customWidth="true" hidden="false" outlineLevel="0" max="8" min="8" style="0" width="10.71"/>
    <col collapsed="false" customWidth="true" hidden="false" outlineLevel="0" max="10" min="10" style="0" width="10.85"/>
    <col collapsed="false" customWidth="true" hidden="false" outlineLevel="0" max="11" min="11" style="0" width="10.28"/>
    <col collapsed="false" customWidth="true" hidden="false" outlineLevel="0" max="13" min="12" style="0" width="10.13"/>
  </cols>
  <sheetData>
    <row r="1" customFormat="false" ht="15.75" hidden="false" customHeight="fals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3"/>
      <c r="L1" s="3"/>
      <c r="M1" s="3"/>
    </row>
    <row r="2" customFormat="false" ht="13.5" hidden="false" customHeight="false" outlineLevel="0" collapsed="false">
      <c r="A2" s="4" t="s">
        <v>1</v>
      </c>
      <c r="B2" s="5" t="s">
        <v>2</v>
      </c>
      <c r="C2" s="4" t="s">
        <v>3</v>
      </c>
      <c r="D2" s="4" t="s">
        <v>4</v>
      </c>
      <c r="E2" s="6" t="s">
        <v>5</v>
      </c>
      <c r="F2" s="4" t="s">
        <v>6</v>
      </c>
      <c r="G2" s="4" t="s">
        <v>7</v>
      </c>
      <c r="H2" s="6" t="s">
        <v>8</v>
      </c>
      <c r="I2" s="3"/>
      <c r="J2" s="6" t="s">
        <v>9</v>
      </c>
      <c r="K2" s="3"/>
      <c r="L2" s="3"/>
      <c r="M2" s="3"/>
    </row>
    <row r="3" customFormat="false" ht="12.75" hidden="false" customHeight="false" outlineLevel="0" collapsed="false">
      <c r="A3" s="7" t="n">
        <v>36647</v>
      </c>
      <c r="B3" s="1" t="n">
        <v>31</v>
      </c>
      <c r="C3" s="8" t="n">
        <v>37500</v>
      </c>
      <c r="D3" s="8" t="n">
        <v>112500</v>
      </c>
      <c r="E3" s="9" t="n">
        <v>75000</v>
      </c>
      <c r="F3" s="8" t="n">
        <f aca="false">+C3*$B3</f>
        <v>1162500</v>
      </c>
      <c r="G3" s="8" t="n">
        <f aca="false">+D3*$B3</f>
        <v>3487500</v>
      </c>
      <c r="H3" s="9" t="n">
        <f aca="false">+E3*$B3</f>
        <v>2325000</v>
      </c>
      <c r="I3" s="3"/>
      <c r="J3" s="9" t="n">
        <f aca="false">0.05*H3</f>
        <v>116250</v>
      </c>
      <c r="K3" s="3"/>
      <c r="L3" s="3"/>
      <c r="M3" s="3"/>
    </row>
    <row r="4" customFormat="false" ht="12.75" hidden="false" customHeight="false" outlineLevel="0" collapsed="false">
      <c r="A4" s="7" t="n">
        <v>36678</v>
      </c>
      <c r="B4" s="1" t="n">
        <v>30</v>
      </c>
      <c r="C4" s="8" t="n">
        <v>37500</v>
      </c>
      <c r="D4" s="8" t="n">
        <v>112500</v>
      </c>
      <c r="E4" s="9" t="n">
        <v>75000</v>
      </c>
      <c r="F4" s="8" t="n">
        <f aca="false">+C4*$B4</f>
        <v>1125000</v>
      </c>
      <c r="G4" s="8" t="n">
        <f aca="false">+D4*$B4</f>
        <v>3375000</v>
      </c>
      <c r="H4" s="9" t="n">
        <f aca="false">+E4*$B4</f>
        <v>2250000</v>
      </c>
      <c r="I4" s="3"/>
      <c r="J4" s="9" t="n">
        <f aca="false">0.05*H4</f>
        <v>112500</v>
      </c>
      <c r="K4" s="3"/>
      <c r="L4" s="3"/>
      <c r="M4" s="3"/>
    </row>
    <row r="5" customFormat="false" ht="12.75" hidden="false" customHeight="false" outlineLevel="0" collapsed="false">
      <c r="A5" s="7" t="n">
        <v>36708</v>
      </c>
      <c r="B5" s="1" t="n">
        <v>31</v>
      </c>
      <c r="C5" s="8" t="n">
        <v>50000</v>
      </c>
      <c r="D5" s="8" t="n">
        <v>150000</v>
      </c>
      <c r="E5" s="9" t="n">
        <v>100000</v>
      </c>
      <c r="F5" s="8" t="n">
        <f aca="false">+C5*$B5</f>
        <v>1550000</v>
      </c>
      <c r="G5" s="8" t="n">
        <f aca="false">+D5*$B5</f>
        <v>4650000</v>
      </c>
      <c r="H5" s="9" t="n">
        <f aca="false">+E5*$B5</f>
        <v>3100000</v>
      </c>
      <c r="I5" s="3"/>
      <c r="J5" s="9" t="n">
        <f aca="false">0.05*H5</f>
        <v>155000</v>
      </c>
      <c r="K5" s="3"/>
      <c r="L5" s="3"/>
      <c r="M5" s="3"/>
    </row>
    <row r="6" customFormat="false" ht="12.75" hidden="false" customHeight="false" outlineLevel="0" collapsed="false">
      <c r="A6" s="7" t="n">
        <v>36739</v>
      </c>
      <c r="B6" s="1" t="n">
        <v>31</v>
      </c>
      <c r="C6" s="8" t="n">
        <v>50000</v>
      </c>
      <c r="D6" s="8" t="n">
        <v>150000</v>
      </c>
      <c r="E6" s="9" t="n">
        <v>100000</v>
      </c>
      <c r="F6" s="8" t="n">
        <f aca="false">+C6*$B6</f>
        <v>1550000</v>
      </c>
      <c r="G6" s="8" t="n">
        <f aca="false">+D6*$B6</f>
        <v>4650000</v>
      </c>
      <c r="H6" s="9" t="n">
        <f aca="false">+E6*$B6</f>
        <v>3100000</v>
      </c>
      <c r="I6" s="3"/>
      <c r="J6" s="9" t="n">
        <f aca="false">0.05*H6</f>
        <v>155000</v>
      </c>
      <c r="K6" s="3"/>
      <c r="L6" s="3"/>
      <c r="M6" s="3"/>
    </row>
    <row r="7" customFormat="false" ht="12.75" hidden="false" customHeight="false" outlineLevel="0" collapsed="false">
      <c r="A7" s="7" t="n">
        <v>36770</v>
      </c>
      <c r="B7" s="1" t="n">
        <v>30</v>
      </c>
      <c r="C7" s="8" t="n">
        <v>50000</v>
      </c>
      <c r="D7" s="8" t="n">
        <v>150000</v>
      </c>
      <c r="E7" s="9" t="n">
        <v>100000</v>
      </c>
      <c r="F7" s="8" t="n">
        <f aca="false">+C7*$B7</f>
        <v>1500000</v>
      </c>
      <c r="G7" s="8" t="n">
        <f aca="false">+D7*$B7</f>
        <v>4500000</v>
      </c>
      <c r="H7" s="9" t="n">
        <f aca="false">+E7*$B7</f>
        <v>3000000</v>
      </c>
      <c r="I7" s="3"/>
      <c r="J7" s="9" t="n">
        <f aca="false">0.05*H7</f>
        <v>150000</v>
      </c>
      <c r="K7" s="3"/>
      <c r="L7" s="3"/>
      <c r="M7" s="3"/>
    </row>
    <row r="8" customFormat="false" ht="12.75" hidden="false" customHeight="false" outlineLevel="0" collapsed="false">
      <c r="A8" s="7" t="n">
        <v>36800</v>
      </c>
      <c r="B8" s="1" t="n">
        <v>31</v>
      </c>
      <c r="C8" s="8" t="n">
        <v>0</v>
      </c>
      <c r="D8" s="8" t="n">
        <v>67500</v>
      </c>
      <c r="E8" s="9" t="n">
        <v>45000</v>
      </c>
      <c r="F8" s="8" t="n">
        <f aca="false">+C8*$B8</f>
        <v>0</v>
      </c>
      <c r="G8" s="8" t="n">
        <f aca="false">+D8*$B8</f>
        <v>2092500</v>
      </c>
      <c r="H8" s="9" t="n">
        <f aca="false">+E8*$B8</f>
        <v>1395000</v>
      </c>
      <c r="I8" s="3"/>
      <c r="J8" s="9" t="n">
        <f aca="false">0.05*H8</f>
        <v>69750</v>
      </c>
      <c r="K8" s="3"/>
      <c r="L8" s="3"/>
      <c r="M8" s="3"/>
    </row>
    <row r="9" customFormat="false" ht="12.75" hidden="false" customHeight="false" outlineLevel="0" collapsed="false">
      <c r="A9" s="7" t="n">
        <v>36831</v>
      </c>
      <c r="B9" s="1" t="n">
        <v>30</v>
      </c>
      <c r="C9" s="8" t="n">
        <v>0</v>
      </c>
      <c r="D9" s="8" t="n">
        <v>67500</v>
      </c>
      <c r="E9" s="9" t="n">
        <v>45000</v>
      </c>
      <c r="F9" s="8" t="n">
        <f aca="false">+C9*$B9</f>
        <v>0</v>
      </c>
      <c r="G9" s="8" t="n">
        <f aca="false">+D9*$B9</f>
        <v>2025000</v>
      </c>
      <c r="H9" s="9" t="n">
        <f aca="false">+E9*$B9</f>
        <v>1350000</v>
      </c>
      <c r="I9" s="3"/>
      <c r="J9" s="9" t="n">
        <f aca="false">0.05*H9</f>
        <v>67500</v>
      </c>
      <c r="K9" s="3"/>
      <c r="L9" s="3"/>
      <c r="M9" s="3"/>
    </row>
    <row r="10" customFormat="false" ht="12.75" hidden="false" customHeight="false" outlineLevel="0" collapsed="false">
      <c r="A10" s="7" t="n">
        <v>36861</v>
      </c>
      <c r="B10" s="1" t="n">
        <v>31</v>
      </c>
      <c r="C10" s="8" t="n">
        <v>0</v>
      </c>
      <c r="D10" s="8" t="n">
        <v>67500</v>
      </c>
      <c r="E10" s="9" t="n">
        <v>45000</v>
      </c>
      <c r="F10" s="8" t="n">
        <f aca="false">+C10*$B10</f>
        <v>0</v>
      </c>
      <c r="G10" s="8" t="n">
        <f aca="false">+D10*$B10</f>
        <v>2092500</v>
      </c>
      <c r="H10" s="9" t="n">
        <f aca="false">+E10*$B10</f>
        <v>1395000</v>
      </c>
      <c r="I10" s="3"/>
      <c r="J10" s="9" t="n">
        <f aca="false">0.05*H10</f>
        <v>69750</v>
      </c>
      <c r="K10" s="3"/>
      <c r="L10" s="3"/>
      <c r="M10" s="3"/>
    </row>
    <row r="11" customFormat="false" ht="12.75" hidden="false" customHeight="false" outlineLevel="0" collapsed="false">
      <c r="A11" s="7" t="n">
        <v>36892</v>
      </c>
      <c r="B11" s="1" t="n">
        <v>31</v>
      </c>
      <c r="C11" s="8" t="n">
        <v>0</v>
      </c>
      <c r="D11" s="8" t="n">
        <v>67500</v>
      </c>
      <c r="E11" s="9" t="n">
        <v>45000</v>
      </c>
      <c r="F11" s="8" t="n">
        <f aca="false">+C11*$B11</f>
        <v>0</v>
      </c>
      <c r="G11" s="8" t="n">
        <f aca="false">+D11*$B11</f>
        <v>2092500</v>
      </c>
      <c r="H11" s="9" t="n">
        <f aca="false">+E11*$B11</f>
        <v>1395000</v>
      </c>
      <c r="I11" s="3"/>
      <c r="J11" s="9" t="n">
        <f aca="false">0.05*H11</f>
        <v>69750</v>
      </c>
      <c r="K11" s="3"/>
      <c r="L11" s="3"/>
      <c r="M11" s="3"/>
    </row>
    <row r="12" customFormat="false" ht="12.75" hidden="false" customHeight="false" outlineLevel="0" collapsed="false">
      <c r="A12" s="7" t="n">
        <v>36923</v>
      </c>
      <c r="B12" s="1" t="n">
        <v>28</v>
      </c>
      <c r="C12" s="8" t="n">
        <v>0</v>
      </c>
      <c r="D12" s="8" t="n">
        <v>67500</v>
      </c>
      <c r="E12" s="9" t="n">
        <v>45000</v>
      </c>
      <c r="F12" s="8" t="n">
        <f aca="false">+C12*$B12</f>
        <v>0</v>
      </c>
      <c r="G12" s="8" t="n">
        <f aca="false">+D12*$B12</f>
        <v>1890000</v>
      </c>
      <c r="H12" s="9" t="n">
        <f aca="false">+E12*$B12</f>
        <v>1260000</v>
      </c>
      <c r="I12" s="3"/>
      <c r="J12" s="9" t="n">
        <f aca="false">0.05*H12</f>
        <v>63000</v>
      </c>
      <c r="K12" s="3"/>
      <c r="L12" s="3"/>
      <c r="M12" s="3"/>
    </row>
    <row r="13" customFormat="false" ht="12.75" hidden="false" customHeight="false" outlineLevel="0" collapsed="false">
      <c r="A13" s="7" t="n">
        <v>36951</v>
      </c>
      <c r="B13" s="1" t="n">
        <v>31</v>
      </c>
      <c r="C13" s="8" t="n">
        <v>0</v>
      </c>
      <c r="D13" s="8" t="n">
        <v>67500</v>
      </c>
      <c r="E13" s="9" t="n">
        <v>45000</v>
      </c>
      <c r="F13" s="8" t="n">
        <f aca="false">+C13*$B13</f>
        <v>0</v>
      </c>
      <c r="G13" s="8" t="n">
        <f aca="false">+D13*$B13</f>
        <v>2092500</v>
      </c>
      <c r="H13" s="9" t="n">
        <f aca="false">+E13*$B13</f>
        <v>1395000</v>
      </c>
      <c r="I13" s="3"/>
      <c r="J13" s="9" t="n">
        <f aca="false">0.05*H13</f>
        <v>69750</v>
      </c>
      <c r="K13" s="3"/>
      <c r="L13" s="3"/>
      <c r="M13" s="3"/>
    </row>
    <row r="14" customFormat="false" ht="12.75" hidden="false" customHeight="false" outlineLevel="0" collapsed="false">
      <c r="A14" s="7" t="n">
        <v>36982</v>
      </c>
      <c r="B14" s="1" t="n">
        <v>30</v>
      </c>
      <c r="C14" s="8" t="n">
        <v>0</v>
      </c>
      <c r="D14" s="8" t="n">
        <v>67500</v>
      </c>
      <c r="E14" s="9" t="n">
        <v>45000</v>
      </c>
      <c r="F14" s="8" t="n">
        <f aca="false">+C14*$B14</f>
        <v>0</v>
      </c>
      <c r="G14" s="8" t="n">
        <f aca="false">+D14*$B14</f>
        <v>2025000</v>
      </c>
      <c r="H14" s="9" t="n">
        <f aca="false">+E14*$B14</f>
        <v>1350000</v>
      </c>
      <c r="I14" s="3"/>
      <c r="J14" s="9" t="n">
        <f aca="false">0.05*H14</f>
        <v>67500</v>
      </c>
      <c r="K14" s="3"/>
      <c r="L14" s="3"/>
      <c r="M14" s="3"/>
    </row>
    <row r="15" customFormat="false" ht="12.75" hidden="false" customHeight="false" outlineLevel="0" collapsed="false">
      <c r="A15" s="7" t="n">
        <v>37012</v>
      </c>
      <c r="B15" s="1" t="n">
        <v>31</v>
      </c>
      <c r="C15" s="8" t="n">
        <f aca="false">+C3</f>
        <v>37500</v>
      </c>
      <c r="D15" s="8" t="n">
        <f aca="false">+D3</f>
        <v>112500</v>
      </c>
      <c r="E15" s="9" t="n">
        <f aca="false">+E3</f>
        <v>75000</v>
      </c>
      <c r="F15" s="8" t="n">
        <f aca="false">+C15*$B15</f>
        <v>1162500</v>
      </c>
      <c r="G15" s="8" t="n">
        <f aca="false">+D15*$B15</f>
        <v>3487500</v>
      </c>
      <c r="H15" s="9" t="n">
        <f aca="false">+E15*$B15</f>
        <v>2325000</v>
      </c>
      <c r="I15" s="3"/>
      <c r="J15" s="9" t="n">
        <f aca="false">0.05*H15</f>
        <v>116250</v>
      </c>
      <c r="K15" s="3"/>
      <c r="L15" s="3"/>
      <c r="M15" s="3"/>
    </row>
    <row r="16" customFormat="false" ht="12.75" hidden="false" customHeight="false" outlineLevel="0" collapsed="false">
      <c r="A16" s="7" t="n">
        <v>37043</v>
      </c>
      <c r="B16" s="1" t="n">
        <v>30</v>
      </c>
      <c r="C16" s="8" t="n">
        <f aca="false">+C3</f>
        <v>37500</v>
      </c>
      <c r="D16" s="8" t="n">
        <f aca="false">+D3</f>
        <v>112500</v>
      </c>
      <c r="E16" s="9" t="n">
        <f aca="false">+E3</f>
        <v>75000</v>
      </c>
      <c r="F16" s="8" t="n">
        <f aca="false">+C16*$B16</f>
        <v>1125000</v>
      </c>
      <c r="G16" s="8" t="n">
        <f aca="false">+D16*$B16</f>
        <v>3375000</v>
      </c>
      <c r="H16" s="9" t="n">
        <f aca="false">+E16*$B16</f>
        <v>2250000</v>
      </c>
      <c r="I16" s="3"/>
      <c r="J16" s="9" t="n">
        <f aca="false">0.05*H16</f>
        <v>112500</v>
      </c>
    </row>
    <row r="17" customFormat="false" ht="12.75" hidden="false" customHeight="false" outlineLevel="0" collapsed="false">
      <c r="H17" s="10" t="n">
        <f aca="false">SUM(H3:H16)</f>
        <v>27890000</v>
      </c>
    </row>
    <row r="20" customFormat="false" ht="15.75" hidden="false" customHeight="false" outlineLevel="0" collapsed="false">
      <c r="A20" s="2" t="s">
        <v>10</v>
      </c>
      <c r="B20" s="2"/>
      <c r="C20" s="2"/>
      <c r="D20" s="2"/>
      <c r="E20" s="2"/>
      <c r="F20" s="2"/>
      <c r="G20" s="2"/>
      <c r="H20" s="2"/>
      <c r="J20" s="11" t="s">
        <v>11</v>
      </c>
      <c r="K20" s="11"/>
      <c r="L20" s="11"/>
    </row>
    <row r="21" customFormat="false" ht="39" hidden="false" customHeight="false" outlineLevel="0" collapsed="false">
      <c r="A21" s="4" t="s">
        <v>1</v>
      </c>
      <c r="B21" s="5" t="s">
        <v>2</v>
      </c>
      <c r="C21" s="12" t="s">
        <v>12</v>
      </c>
      <c r="D21" s="12" t="s">
        <v>13</v>
      </c>
      <c r="E21" s="12" t="s">
        <v>14</v>
      </c>
      <c r="F21" s="12" t="s">
        <v>13</v>
      </c>
      <c r="G21" s="12" t="s">
        <v>15</v>
      </c>
      <c r="H21" s="12" t="s">
        <v>13</v>
      </c>
      <c r="I21" s="12" t="s">
        <v>16</v>
      </c>
      <c r="J21" s="12" t="s">
        <v>13</v>
      </c>
      <c r="K21" s="12" t="s">
        <v>17</v>
      </c>
      <c r="L21" s="12" t="s">
        <v>13</v>
      </c>
      <c r="M21" s="13" t="s">
        <v>18</v>
      </c>
      <c r="O21" s="12" t="s">
        <v>19</v>
      </c>
      <c r="P21" s="12" t="s">
        <v>20</v>
      </c>
      <c r="Q21" s="13" t="s">
        <v>18</v>
      </c>
    </row>
    <row r="22" customFormat="false" ht="12.75" hidden="false" customHeight="false" outlineLevel="0" collapsed="false">
      <c r="A22" s="7" t="n">
        <v>36647</v>
      </c>
      <c r="B22" s="1" t="n">
        <v>31</v>
      </c>
      <c r="C22" s="14" t="n">
        <f aca="false">+$E3*$B22*'Historical Flow'!$D$19</f>
        <v>745720.615002561</v>
      </c>
      <c r="D22" s="14" t="n">
        <f aca="false">+C22/$B22</f>
        <v>24055.50370976</v>
      </c>
      <c r="E22" s="14" t="n">
        <f aca="false">+$E3*$B22*'Historical Flow'!$F$19</f>
        <v>156623.669839687</v>
      </c>
      <c r="F22" s="14" t="n">
        <f aca="false">+E22/$B22</f>
        <v>5052.37644644151</v>
      </c>
      <c r="G22" s="14" t="n">
        <f aca="false">+$E3*$B22*'Historical Flow'!$H$19</f>
        <v>1297616.02073203</v>
      </c>
      <c r="H22" s="14" t="n">
        <f aca="false">+G22/$B22</f>
        <v>41858.5813139365</v>
      </c>
      <c r="I22" s="14" t="n">
        <f aca="false">+$E3*$B22*'Historical Flow'!$J$19</f>
        <v>72883.3955813412</v>
      </c>
      <c r="J22" s="14" t="n">
        <f aca="false">+I22/$B22</f>
        <v>2351.07727681746</v>
      </c>
      <c r="K22" s="14" t="n">
        <f aca="false">+$E3*$B22*'Historical Flow'!$L$19</f>
        <v>52156.2988443805</v>
      </c>
      <c r="L22" s="14" t="n">
        <f aca="false">+K22/$B22</f>
        <v>1682.46125304453</v>
      </c>
      <c r="M22" s="15" t="n">
        <f aca="false">+C22+E22+G22+I22+K22</f>
        <v>2325000</v>
      </c>
      <c r="O22" s="14" t="n">
        <f aca="false">+C22+G22</f>
        <v>2043336.63573459</v>
      </c>
      <c r="P22" s="14" t="n">
        <f aca="false">+M22-O22</f>
        <v>281663.364265408</v>
      </c>
      <c r="Q22" s="15" t="n">
        <f aca="false">SUM(O22:P22)</f>
        <v>2325000</v>
      </c>
    </row>
    <row r="23" customFormat="false" ht="12.75" hidden="false" customHeight="false" outlineLevel="0" collapsed="false">
      <c r="A23" s="7" t="n">
        <v>36678</v>
      </c>
      <c r="B23" s="1" t="n">
        <v>30</v>
      </c>
      <c r="C23" s="14" t="n">
        <f aca="false">+$E4*$B23*'Historical Flow'!$D$19</f>
        <v>721665.111292801</v>
      </c>
      <c r="D23" s="14" t="n">
        <f aca="false">+C23/$B23</f>
        <v>24055.50370976</v>
      </c>
      <c r="E23" s="14" t="n">
        <f aca="false">+$E4*$B23*'Historical Flow'!$F$19</f>
        <v>151571.293393245</v>
      </c>
      <c r="F23" s="14" t="n">
        <f aca="false">+E23/$B23</f>
        <v>5052.3764464415</v>
      </c>
      <c r="G23" s="14" t="n">
        <f aca="false">+$E4*$B23*'Historical Flow'!$H$19</f>
        <v>1255757.43941809</v>
      </c>
      <c r="H23" s="14" t="n">
        <f aca="false">+G23/$B23</f>
        <v>41858.5813139365</v>
      </c>
      <c r="I23" s="14" t="n">
        <f aca="false">+$E4*$B23*'Historical Flow'!$J$19</f>
        <v>70532.3183045237</v>
      </c>
      <c r="J23" s="14" t="n">
        <f aca="false">+I23/$B23</f>
        <v>2351.07727681746</v>
      </c>
      <c r="K23" s="14" t="n">
        <f aca="false">+$E4*$B23*'Historical Flow'!$L$19</f>
        <v>50473.8375913359</v>
      </c>
      <c r="L23" s="14" t="n">
        <f aca="false">+K23/$B23</f>
        <v>1682.46125304453</v>
      </c>
      <c r="M23" s="15" t="n">
        <f aca="false">+C23+E23+G23+I23+K23</f>
        <v>2250000</v>
      </c>
      <c r="O23" s="14" t="n">
        <f aca="false">+C23+G23</f>
        <v>1977422.5507109</v>
      </c>
      <c r="P23" s="14" t="n">
        <f aca="false">+M23-O23</f>
        <v>272577.449289105</v>
      </c>
      <c r="Q23" s="16" t="n">
        <f aca="false">SUM(O23:P23)</f>
        <v>2250000</v>
      </c>
    </row>
    <row r="24" customFormat="false" ht="12.75" hidden="false" customHeight="false" outlineLevel="0" collapsed="false">
      <c r="A24" s="7" t="n">
        <v>36708</v>
      </c>
      <c r="B24" s="1" t="n">
        <v>31</v>
      </c>
      <c r="C24" s="14" t="n">
        <f aca="false">+$E5*$B24*'Historical Flow'!$D$19</f>
        <v>994294.153336748</v>
      </c>
      <c r="D24" s="14" t="n">
        <f aca="false">+C24/$B24</f>
        <v>32074.0049463467</v>
      </c>
      <c r="E24" s="14" t="n">
        <f aca="false">+$E5*$B24*'Historical Flow'!$F$19</f>
        <v>208831.559786249</v>
      </c>
      <c r="F24" s="14" t="n">
        <f aca="false">+E24/$B24</f>
        <v>6736.50192858867</v>
      </c>
      <c r="G24" s="14" t="n">
        <f aca="false">+$E5*$B24*'Historical Flow'!$H$19</f>
        <v>1730154.69430937</v>
      </c>
      <c r="H24" s="14" t="n">
        <f aca="false">+G24/$B24</f>
        <v>55811.4417519153</v>
      </c>
      <c r="I24" s="14" t="n">
        <f aca="false">+$E5*$B24*'Historical Flow'!$J$19</f>
        <v>97177.8607751216</v>
      </c>
      <c r="J24" s="14" t="n">
        <f aca="false">+I24/$B24</f>
        <v>3134.76970242328</v>
      </c>
      <c r="K24" s="14" t="n">
        <f aca="false">+$E5*$B24*'Historical Flow'!$L$19</f>
        <v>69541.7317925073</v>
      </c>
      <c r="L24" s="14" t="n">
        <f aca="false">+K24/$B24</f>
        <v>2243.28167072604</v>
      </c>
      <c r="M24" s="15" t="n">
        <f aca="false">+C24+E24+G24+I24+K24</f>
        <v>3100000</v>
      </c>
      <c r="O24" s="14" t="n">
        <f aca="false">+C24+G24</f>
        <v>2724448.84764612</v>
      </c>
      <c r="P24" s="14" t="n">
        <f aca="false">+M24-O24</f>
        <v>375551.152353877</v>
      </c>
      <c r="Q24" s="16" t="n">
        <f aca="false">SUM(O24:P24)</f>
        <v>3100000</v>
      </c>
    </row>
    <row r="25" customFormat="false" ht="12.75" hidden="false" customHeight="false" outlineLevel="0" collapsed="false">
      <c r="A25" s="7" t="n">
        <v>36739</v>
      </c>
      <c r="B25" s="1" t="n">
        <v>31</v>
      </c>
      <c r="C25" s="14" t="n">
        <f aca="false">+$E6*$B25*'Historical Flow'!$D$19</f>
        <v>994294.153336748</v>
      </c>
      <c r="D25" s="14" t="n">
        <f aca="false">+C25/$B25</f>
        <v>32074.0049463467</v>
      </c>
      <c r="E25" s="14" t="n">
        <f aca="false">+$E6*$B25*'Historical Flow'!$F$19</f>
        <v>208831.559786249</v>
      </c>
      <c r="F25" s="14" t="n">
        <f aca="false">+E25/$B25</f>
        <v>6736.50192858867</v>
      </c>
      <c r="G25" s="14" t="n">
        <f aca="false">+$E6*$B25*'Historical Flow'!$H$19</f>
        <v>1730154.69430937</v>
      </c>
      <c r="H25" s="14" t="n">
        <f aca="false">+G25/$B25</f>
        <v>55811.4417519153</v>
      </c>
      <c r="I25" s="14" t="n">
        <f aca="false">+$E6*$B25*'Historical Flow'!$J$19</f>
        <v>97177.8607751216</v>
      </c>
      <c r="J25" s="14" t="n">
        <f aca="false">+I25/$B25</f>
        <v>3134.76970242328</v>
      </c>
      <c r="K25" s="14" t="n">
        <f aca="false">+$E6*$B25*'Historical Flow'!$L$19</f>
        <v>69541.7317925073</v>
      </c>
      <c r="L25" s="14" t="n">
        <f aca="false">+K25/$B25</f>
        <v>2243.28167072604</v>
      </c>
      <c r="M25" s="15" t="n">
        <f aca="false">+C25+E25+G25+I25+K25</f>
        <v>3100000</v>
      </c>
      <c r="O25" s="14" t="n">
        <f aca="false">+C25+G25</f>
        <v>2724448.84764612</v>
      </c>
      <c r="P25" s="14" t="n">
        <f aca="false">+M25-O25</f>
        <v>375551.152353877</v>
      </c>
      <c r="Q25" s="16" t="n">
        <f aca="false">SUM(O25:P25)</f>
        <v>3100000</v>
      </c>
    </row>
    <row r="26" customFormat="false" ht="12.75" hidden="false" customHeight="false" outlineLevel="0" collapsed="false">
      <c r="A26" s="7" t="n">
        <v>36770</v>
      </c>
      <c r="B26" s="1" t="n">
        <v>30</v>
      </c>
      <c r="C26" s="14" t="n">
        <f aca="false">+$E7*$B26*'Historical Flow'!$D$19</f>
        <v>962220.148390401</v>
      </c>
      <c r="D26" s="14" t="n">
        <f aca="false">+C26/$B26</f>
        <v>32074.0049463467</v>
      </c>
      <c r="E26" s="14" t="n">
        <f aca="false">+$E7*$B26*'Historical Flow'!$F$19</f>
        <v>202095.05785766</v>
      </c>
      <c r="F26" s="14" t="n">
        <f aca="false">+E26/$B26</f>
        <v>6736.50192858867</v>
      </c>
      <c r="G26" s="14" t="n">
        <f aca="false">+$E7*$B26*'Historical Flow'!$H$19</f>
        <v>1674343.25255746</v>
      </c>
      <c r="H26" s="14" t="n">
        <f aca="false">+G26/$B26</f>
        <v>55811.4417519153</v>
      </c>
      <c r="I26" s="14" t="n">
        <f aca="false">+$E7*$B26*'Historical Flow'!$J$19</f>
        <v>94043.0910726983</v>
      </c>
      <c r="J26" s="14" t="n">
        <f aca="false">+I26/$B26</f>
        <v>3134.76970242328</v>
      </c>
      <c r="K26" s="14" t="n">
        <f aca="false">+$E7*$B26*'Historical Flow'!$L$19</f>
        <v>67298.4501217813</v>
      </c>
      <c r="L26" s="14" t="n">
        <f aca="false">+K26/$B26</f>
        <v>2243.28167072604</v>
      </c>
      <c r="M26" s="15" t="n">
        <f aca="false">+C26+E26+G26+I26+K26</f>
        <v>3000000</v>
      </c>
      <c r="O26" s="14" t="n">
        <f aca="false">+C26+G26</f>
        <v>2636563.40094786</v>
      </c>
      <c r="P26" s="14" t="n">
        <f aca="false">+M26-O26</f>
        <v>363436.599052139</v>
      </c>
      <c r="Q26" s="16" t="n">
        <f aca="false">SUM(O26:P26)</f>
        <v>3000000</v>
      </c>
    </row>
    <row r="27" customFormat="false" ht="12.75" hidden="false" customHeight="false" outlineLevel="0" collapsed="false">
      <c r="A27" s="7" t="n">
        <v>36800</v>
      </c>
      <c r="B27" s="1" t="n">
        <v>31</v>
      </c>
      <c r="C27" s="14" t="n">
        <f aca="false">+$E8*$B27*'Historical Flow'!$D$19</f>
        <v>447432.369001537</v>
      </c>
      <c r="D27" s="14" t="n">
        <f aca="false">+C27/$B27</f>
        <v>14433.302225856</v>
      </c>
      <c r="E27" s="14" t="n">
        <f aca="false">+$E8*$B27*'Historical Flow'!$F$19</f>
        <v>93974.201903812</v>
      </c>
      <c r="F27" s="14" t="n">
        <f aca="false">+E27/$B27</f>
        <v>3031.4258678649</v>
      </c>
      <c r="G27" s="14" t="n">
        <f aca="false">+$E8*$B27*'Historical Flow'!$H$19</f>
        <v>778569.612439218</v>
      </c>
      <c r="H27" s="14" t="n">
        <f aca="false">+G27/$B27</f>
        <v>25115.1487883619</v>
      </c>
      <c r="I27" s="14" t="n">
        <f aca="false">+$E8*$B27*'Historical Flow'!$J$19</f>
        <v>43730.0373488047</v>
      </c>
      <c r="J27" s="14" t="n">
        <f aca="false">+I27/$B27</f>
        <v>1410.64636609047</v>
      </c>
      <c r="K27" s="14" t="n">
        <f aca="false">+$E8*$B27*'Historical Flow'!$L$19</f>
        <v>31293.7793066283</v>
      </c>
      <c r="L27" s="14" t="n">
        <f aca="false">+K27/$B27</f>
        <v>1009.47675182672</v>
      </c>
      <c r="M27" s="15" t="n">
        <f aca="false">+C27+E27+G27+I27+K27</f>
        <v>1395000</v>
      </c>
      <c r="O27" s="14" t="n">
        <f aca="false">+C27+G27</f>
        <v>1226001.98144076</v>
      </c>
      <c r="P27" s="14" t="n">
        <f aca="false">+M27-O27</f>
        <v>168998.018559245</v>
      </c>
      <c r="Q27" s="16" t="n">
        <f aca="false">SUM(O27:P27)</f>
        <v>1395000</v>
      </c>
    </row>
    <row r="28" customFormat="false" ht="12.75" hidden="false" customHeight="false" outlineLevel="0" collapsed="false">
      <c r="A28" s="7" t="n">
        <v>36831</v>
      </c>
      <c r="B28" s="1" t="n">
        <v>30</v>
      </c>
      <c r="C28" s="14" t="n">
        <f aca="false">+$E9*$B28*'Historical Flow'!$D$19</f>
        <v>432999.066775681</v>
      </c>
      <c r="D28" s="14" t="n">
        <f aca="false">+C28/$B28</f>
        <v>14433.302225856</v>
      </c>
      <c r="E28" s="14" t="n">
        <f aca="false">+$E9*$B28*'Historical Flow'!$F$19</f>
        <v>90942.7760359471</v>
      </c>
      <c r="F28" s="14" t="n">
        <f aca="false">+E28/$B28</f>
        <v>3031.4258678649</v>
      </c>
      <c r="G28" s="14" t="n">
        <f aca="false">+$E9*$B28*'Historical Flow'!$H$19</f>
        <v>753454.463650857</v>
      </c>
      <c r="H28" s="14" t="n">
        <f aca="false">+G28/$B28</f>
        <v>25115.1487883619</v>
      </c>
      <c r="I28" s="14" t="n">
        <f aca="false">+$E9*$B28*'Historical Flow'!$J$19</f>
        <v>42319.3909827142</v>
      </c>
      <c r="J28" s="14" t="n">
        <f aca="false">+I28/$B28</f>
        <v>1410.64636609047</v>
      </c>
      <c r="K28" s="14" t="n">
        <f aca="false">+$E9*$B28*'Historical Flow'!$L$19</f>
        <v>30284.3025548016</v>
      </c>
      <c r="L28" s="14" t="n">
        <f aca="false">+K28/$B28</f>
        <v>1009.47675182672</v>
      </c>
      <c r="M28" s="15" t="n">
        <f aca="false">+C28+E28+G28+I28+K28</f>
        <v>1350000</v>
      </c>
      <c r="O28" s="14" t="n">
        <f aca="false">+C28+G28</f>
        <v>1186453.53042654</v>
      </c>
      <c r="P28" s="14" t="n">
        <f aca="false">+M28-O28</f>
        <v>163546.469573463</v>
      </c>
      <c r="Q28" s="16" t="n">
        <f aca="false">SUM(O28:P28)</f>
        <v>1350000</v>
      </c>
    </row>
    <row r="29" customFormat="false" ht="12.75" hidden="false" customHeight="false" outlineLevel="0" collapsed="false">
      <c r="A29" s="7" t="n">
        <v>36861</v>
      </c>
      <c r="B29" s="1" t="n">
        <v>31</v>
      </c>
      <c r="C29" s="14" t="n">
        <f aca="false">+$E10*$B29*'Historical Flow'!$D$19</f>
        <v>447432.369001537</v>
      </c>
      <c r="D29" s="14" t="n">
        <f aca="false">+C29/$B29</f>
        <v>14433.302225856</v>
      </c>
      <c r="E29" s="14" t="n">
        <f aca="false">+$E10*$B29*'Historical Flow'!$F$19</f>
        <v>93974.201903812</v>
      </c>
      <c r="F29" s="14" t="n">
        <f aca="false">+E29/$B29</f>
        <v>3031.4258678649</v>
      </c>
      <c r="G29" s="14" t="n">
        <f aca="false">+$E10*$B29*'Historical Flow'!$H$19</f>
        <v>778569.612439218</v>
      </c>
      <c r="H29" s="14" t="n">
        <f aca="false">+G29/$B29</f>
        <v>25115.1487883619</v>
      </c>
      <c r="I29" s="14" t="n">
        <f aca="false">+$E10*$B29*'Historical Flow'!$J$19</f>
        <v>43730.0373488047</v>
      </c>
      <c r="J29" s="14" t="n">
        <f aca="false">+I29/$B29</f>
        <v>1410.64636609047</v>
      </c>
      <c r="K29" s="14" t="n">
        <f aca="false">+$E10*$B29*'Historical Flow'!$L$19</f>
        <v>31293.7793066283</v>
      </c>
      <c r="L29" s="14" t="n">
        <f aca="false">+K29/$B29</f>
        <v>1009.47675182672</v>
      </c>
      <c r="M29" s="15" t="n">
        <f aca="false">+C29+E29+G29+I29+K29</f>
        <v>1395000</v>
      </c>
      <c r="O29" s="14" t="n">
        <f aca="false">+C29+G29</f>
        <v>1226001.98144076</v>
      </c>
      <c r="P29" s="14" t="n">
        <f aca="false">+M29-O29</f>
        <v>168998.018559245</v>
      </c>
      <c r="Q29" s="16" t="n">
        <f aca="false">SUM(O29:P29)</f>
        <v>1395000</v>
      </c>
    </row>
    <row r="30" customFormat="false" ht="12.75" hidden="false" customHeight="false" outlineLevel="0" collapsed="false">
      <c r="A30" s="7" t="n">
        <v>36892</v>
      </c>
      <c r="B30" s="1" t="n">
        <v>31</v>
      </c>
      <c r="C30" s="14" t="n">
        <f aca="false">+$E11*$B30*'Historical Flow'!$D$19</f>
        <v>447432.369001537</v>
      </c>
      <c r="D30" s="14" t="n">
        <f aca="false">+C30/$B30</f>
        <v>14433.302225856</v>
      </c>
      <c r="E30" s="14" t="n">
        <f aca="false">+$E11*$B30*'Historical Flow'!$F$19</f>
        <v>93974.201903812</v>
      </c>
      <c r="F30" s="14" t="n">
        <f aca="false">+E30/$B30</f>
        <v>3031.4258678649</v>
      </c>
      <c r="G30" s="14" t="n">
        <f aca="false">+$E11*$B30*'Historical Flow'!$H$19</f>
        <v>778569.612439218</v>
      </c>
      <c r="H30" s="14" t="n">
        <f aca="false">+G30/$B30</f>
        <v>25115.1487883619</v>
      </c>
      <c r="I30" s="14" t="n">
        <f aca="false">+$E11*$B30*'Historical Flow'!$J$19</f>
        <v>43730.0373488047</v>
      </c>
      <c r="J30" s="14" t="n">
        <f aca="false">+I30/$B30</f>
        <v>1410.64636609047</v>
      </c>
      <c r="K30" s="14" t="n">
        <f aca="false">+$E11*$B30*'Historical Flow'!$L$19</f>
        <v>31293.7793066283</v>
      </c>
      <c r="L30" s="14" t="n">
        <f aca="false">+K30/$B30</f>
        <v>1009.47675182672</v>
      </c>
      <c r="M30" s="15" t="n">
        <f aca="false">+C30+E30+G30+I30+K30</f>
        <v>1395000</v>
      </c>
      <c r="O30" s="14" t="n">
        <f aca="false">+C30+G30</f>
        <v>1226001.98144076</v>
      </c>
      <c r="P30" s="14" t="n">
        <f aca="false">+M30-O30</f>
        <v>168998.018559245</v>
      </c>
      <c r="Q30" s="16" t="n">
        <f aca="false">SUM(O30:P30)</f>
        <v>1395000</v>
      </c>
    </row>
    <row r="31" customFormat="false" ht="12.75" hidden="false" customHeight="false" outlineLevel="0" collapsed="false">
      <c r="A31" s="7" t="n">
        <v>36923</v>
      </c>
      <c r="B31" s="1" t="n">
        <v>28</v>
      </c>
      <c r="C31" s="14" t="n">
        <f aca="false">+$E12*$B31*'Historical Flow'!$D$19</f>
        <v>404132.462323969</v>
      </c>
      <c r="D31" s="14" t="n">
        <f aca="false">+C31/$B31</f>
        <v>14433.302225856</v>
      </c>
      <c r="E31" s="14" t="n">
        <f aca="false">+$E12*$B31*'Historical Flow'!$F$19</f>
        <v>84879.9243002173</v>
      </c>
      <c r="F31" s="14" t="n">
        <f aca="false">+E31/$B31</f>
        <v>3031.4258678649</v>
      </c>
      <c r="G31" s="14" t="n">
        <f aca="false">+$E12*$B31*'Historical Flow'!$H$19</f>
        <v>703224.166074133</v>
      </c>
      <c r="H31" s="14" t="n">
        <f aca="false">+G31/$B31</f>
        <v>25115.1487883619</v>
      </c>
      <c r="I31" s="14" t="n">
        <f aca="false">+$E12*$B31*'Historical Flow'!$J$19</f>
        <v>39498.0982505333</v>
      </c>
      <c r="J31" s="14" t="n">
        <f aca="false">+I31/$B31</f>
        <v>1410.64636609047</v>
      </c>
      <c r="K31" s="14" t="n">
        <f aca="false">+$E12*$B31*'Historical Flow'!$L$19</f>
        <v>28265.3490511481</v>
      </c>
      <c r="L31" s="14" t="n">
        <f aca="false">+K31/$B31</f>
        <v>1009.47675182672</v>
      </c>
      <c r="M31" s="15" t="n">
        <f aca="false">+C31+E31+G31+I31+K31</f>
        <v>1260000</v>
      </c>
      <c r="O31" s="14" t="n">
        <f aca="false">+C31+G31</f>
        <v>1107356.6283981</v>
      </c>
      <c r="P31" s="14" t="n">
        <f aca="false">+M31-O31</f>
        <v>152643.371601899</v>
      </c>
      <c r="Q31" s="16" t="n">
        <f aca="false">SUM(O31:P31)</f>
        <v>1260000</v>
      </c>
    </row>
    <row r="32" customFormat="false" ht="12.75" hidden="false" customHeight="false" outlineLevel="0" collapsed="false">
      <c r="A32" s="7" t="n">
        <v>36951</v>
      </c>
      <c r="B32" s="1" t="n">
        <v>31</v>
      </c>
      <c r="C32" s="14" t="n">
        <f aca="false">+$E13*$B32*'Historical Flow'!$D$19</f>
        <v>447432.369001537</v>
      </c>
      <c r="D32" s="14" t="n">
        <f aca="false">+C32/$B32</f>
        <v>14433.302225856</v>
      </c>
      <c r="E32" s="14" t="n">
        <f aca="false">+$E13*$B32*'Historical Flow'!$F$19</f>
        <v>93974.201903812</v>
      </c>
      <c r="F32" s="14" t="n">
        <f aca="false">+E32/$B32</f>
        <v>3031.4258678649</v>
      </c>
      <c r="G32" s="14" t="n">
        <f aca="false">+$E13*$B32*'Historical Flow'!$H$19</f>
        <v>778569.612439218</v>
      </c>
      <c r="H32" s="14" t="n">
        <f aca="false">+G32/$B32</f>
        <v>25115.1487883619</v>
      </c>
      <c r="I32" s="14" t="n">
        <f aca="false">+$E13*$B32*'Historical Flow'!$J$19</f>
        <v>43730.0373488047</v>
      </c>
      <c r="J32" s="14" t="n">
        <f aca="false">+I32/$B32</f>
        <v>1410.64636609047</v>
      </c>
      <c r="K32" s="14" t="n">
        <f aca="false">+$E13*$B32*'Historical Flow'!$L$19</f>
        <v>31293.7793066283</v>
      </c>
      <c r="L32" s="14" t="n">
        <f aca="false">+K32/$B32</f>
        <v>1009.47675182672</v>
      </c>
      <c r="M32" s="15" t="n">
        <f aca="false">+C32+E32+G32+I32+K32</f>
        <v>1395000</v>
      </c>
      <c r="O32" s="14" t="n">
        <f aca="false">+C32+G32</f>
        <v>1226001.98144076</v>
      </c>
      <c r="P32" s="14" t="n">
        <f aca="false">+M32-O32</f>
        <v>168998.018559245</v>
      </c>
      <c r="Q32" s="16" t="n">
        <f aca="false">SUM(O32:P32)</f>
        <v>1395000</v>
      </c>
    </row>
    <row r="33" customFormat="false" ht="12.75" hidden="false" customHeight="false" outlineLevel="0" collapsed="false">
      <c r="A33" s="7" t="n">
        <v>36982</v>
      </c>
      <c r="B33" s="1" t="n">
        <v>30</v>
      </c>
      <c r="C33" s="14" t="n">
        <f aca="false">+$E14*$B33*'Historical Flow'!$D$19</f>
        <v>432999.066775681</v>
      </c>
      <c r="D33" s="14" t="n">
        <f aca="false">+C33/$B33</f>
        <v>14433.302225856</v>
      </c>
      <c r="E33" s="14" t="n">
        <f aca="false">+$E14*$B33*'Historical Flow'!$F$19</f>
        <v>90942.7760359471</v>
      </c>
      <c r="F33" s="14" t="n">
        <f aca="false">+E33/$B33</f>
        <v>3031.4258678649</v>
      </c>
      <c r="G33" s="14" t="n">
        <f aca="false">+$E14*$B33*'Historical Flow'!$H$19</f>
        <v>753454.463650857</v>
      </c>
      <c r="H33" s="14" t="n">
        <f aca="false">+G33/$B33</f>
        <v>25115.1487883619</v>
      </c>
      <c r="I33" s="14" t="n">
        <f aca="false">+$E14*$B33*'Historical Flow'!$J$19</f>
        <v>42319.3909827142</v>
      </c>
      <c r="J33" s="14" t="n">
        <f aca="false">+I33/$B33</f>
        <v>1410.64636609047</v>
      </c>
      <c r="K33" s="14" t="n">
        <f aca="false">+$E14*$B33*'Historical Flow'!$L$19</f>
        <v>30284.3025548016</v>
      </c>
      <c r="L33" s="14" t="n">
        <f aca="false">+K33/$B33</f>
        <v>1009.47675182672</v>
      </c>
      <c r="M33" s="15" t="n">
        <f aca="false">+C33+E33+G33+I33+K33</f>
        <v>1350000</v>
      </c>
      <c r="O33" s="14" t="n">
        <f aca="false">+C33+G33</f>
        <v>1186453.53042654</v>
      </c>
      <c r="P33" s="14" t="n">
        <f aca="false">+M33-O33</f>
        <v>163546.469573463</v>
      </c>
      <c r="Q33" s="16" t="n">
        <f aca="false">SUM(O33:P33)</f>
        <v>1350000</v>
      </c>
    </row>
    <row r="34" customFormat="false" ht="12.75" hidden="false" customHeight="false" outlineLevel="0" collapsed="false">
      <c r="M34" s="17"/>
      <c r="Q34" s="17"/>
    </row>
    <row r="35" customFormat="false" ht="12.75" hidden="false" customHeight="false" outlineLevel="0" collapsed="false">
      <c r="A35" s="18" t="s">
        <v>21</v>
      </c>
      <c r="B35" s="19"/>
      <c r="C35" s="20" t="n">
        <f aca="false">SUM(C22:C33)</f>
        <v>7478054.25324073</v>
      </c>
      <c r="D35" s="20"/>
      <c r="E35" s="20" t="n">
        <f aca="false">SUM(E22:E33)</f>
        <v>1570615.42465045</v>
      </c>
      <c r="F35" s="20"/>
      <c r="G35" s="20" t="n">
        <f aca="false">SUM(G22:G33)</f>
        <v>13012437.6444591</v>
      </c>
      <c r="H35" s="20"/>
      <c r="I35" s="20" t="n">
        <f aca="false">SUM(I22:I33)</f>
        <v>730871.556119987</v>
      </c>
      <c r="J35" s="20"/>
      <c r="K35" s="20" t="n">
        <f aca="false">SUM(K22:K33)</f>
        <v>523021.121529777</v>
      </c>
      <c r="L35" s="20"/>
      <c r="M35" s="21" t="n">
        <f aca="false">SUM(C35:K35)</f>
        <v>23315000</v>
      </c>
      <c r="O35" s="22" t="n">
        <f aca="false">SUM(O22:O33)</f>
        <v>20490491.8976998</v>
      </c>
      <c r="P35" s="20" t="n">
        <f aca="false">SUM(P22:P33)</f>
        <v>2824508.10230021</v>
      </c>
      <c r="Q35" s="21" t="n">
        <f aca="false">SUM(Q22:Q33)</f>
        <v>23315000</v>
      </c>
    </row>
    <row r="36" customFormat="false" ht="12.75" hidden="false" customHeight="false" outlineLevel="0" collapsed="false">
      <c r="C36" s="23"/>
      <c r="D36" s="23"/>
      <c r="E36" s="23"/>
      <c r="F36" s="23"/>
      <c r="G36" s="23"/>
      <c r="H36" s="23"/>
      <c r="I36" s="23"/>
      <c r="J36" s="23"/>
    </row>
    <row r="37" customFormat="false" ht="12.75" hidden="false" customHeight="false" outlineLevel="0" collapsed="false">
      <c r="A37" s="11" t="s">
        <v>22</v>
      </c>
      <c r="B37" s="11"/>
      <c r="C37" s="11"/>
      <c r="D37" s="11"/>
      <c r="E37" s="23"/>
      <c r="F37" s="23"/>
      <c r="G37" s="23"/>
      <c r="H37" s="23"/>
      <c r="I37" s="23"/>
      <c r="J37" s="23"/>
    </row>
    <row r="38" customFormat="false" ht="12.75" hidden="false" customHeight="false" outlineLevel="0" collapsed="false">
      <c r="A38" s="7" t="n">
        <v>36647</v>
      </c>
      <c r="C38" s="23"/>
      <c r="D38" s="14" t="n">
        <f aca="false">+D22+H22</f>
        <v>65914.0850236965</v>
      </c>
      <c r="E38" s="23"/>
      <c r="F38" s="23"/>
      <c r="G38" s="23"/>
      <c r="H38" s="23"/>
      <c r="I38" s="23"/>
      <c r="J38" s="23"/>
    </row>
    <row r="39" customFormat="false" ht="12.75" hidden="false" customHeight="false" outlineLevel="0" collapsed="false">
      <c r="A39" s="7" t="n">
        <v>36678</v>
      </c>
      <c r="C39" s="24"/>
      <c r="D39" s="14" t="n">
        <f aca="false">+D23+H23</f>
        <v>65914.0850236965</v>
      </c>
      <c r="E39" s="24"/>
      <c r="F39" s="24"/>
      <c r="G39" s="24"/>
      <c r="H39" s="24"/>
      <c r="I39" s="24"/>
      <c r="J39" s="24"/>
    </row>
    <row r="40" customFormat="false" ht="12.75" hidden="false" customHeight="false" outlineLevel="0" collapsed="false">
      <c r="A40" s="7" t="n">
        <v>36708</v>
      </c>
      <c r="D40" s="14" t="n">
        <f aca="false">+D24+H24</f>
        <v>87885.446698262</v>
      </c>
    </row>
    <row r="41" customFormat="false" ht="12.75" hidden="false" customHeight="false" outlineLevel="0" collapsed="false">
      <c r="A41" s="7" t="n">
        <v>36739</v>
      </c>
      <c r="D41" s="14" t="n">
        <f aca="false">+D25+H25</f>
        <v>87885.446698262</v>
      </c>
    </row>
    <row r="42" customFormat="false" ht="12.75" hidden="false" customHeight="false" outlineLevel="0" collapsed="false">
      <c r="A42" s="7" t="n">
        <v>36770</v>
      </c>
      <c r="D42" s="14" t="n">
        <f aca="false">+D26+H26</f>
        <v>87885.446698262</v>
      </c>
    </row>
    <row r="43" customFormat="false" ht="12.75" hidden="false" customHeight="false" outlineLevel="0" collapsed="false">
      <c r="A43" s="7" t="n">
        <v>36800</v>
      </c>
      <c r="D43" s="14" t="n">
        <f aca="false">+D27+H27</f>
        <v>39548.4510142179</v>
      </c>
    </row>
    <row r="44" customFormat="false" ht="12.75" hidden="false" customHeight="false" outlineLevel="0" collapsed="false">
      <c r="A44" s="7" t="n">
        <v>36831</v>
      </c>
      <c r="D44" s="14" t="n">
        <f aca="false">+D28+H28</f>
        <v>39548.4510142179</v>
      </c>
    </row>
    <row r="45" customFormat="false" ht="12.75" hidden="false" customHeight="false" outlineLevel="0" collapsed="false">
      <c r="A45" s="7" t="n">
        <v>36861</v>
      </c>
      <c r="D45" s="14" t="n">
        <f aca="false">+D29+H29</f>
        <v>39548.4510142179</v>
      </c>
    </row>
    <row r="46" customFormat="false" ht="12.75" hidden="false" customHeight="false" outlineLevel="0" collapsed="false">
      <c r="A46" s="7" t="n">
        <v>36892</v>
      </c>
      <c r="D46" s="14" t="n">
        <f aca="false">+D30+H30</f>
        <v>39548.4510142179</v>
      </c>
    </row>
    <row r="47" customFormat="false" ht="12.75" hidden="false" customHeight="false" outlineLevel="0" collapsed="false">
      <c r="A47" s="7" t="n">
        <v>36923</v>
      </c>
      <c r="D47" s="14" t="n">
        <f aca="false">+D31+H31</f>
        <v>39548.4510142179</v>
      </c>
    </row>
    <row r="48" customFormat="false" ht="12.75" hidden="false" customHeight="false" outlineLevel="0" collapsed="false">
      <c r="A48" s="7" t="n">
        <v>36951</v>
      </c>
      <c r="D48" s="14" t="n">
        <f aca="false">+D32+H32</f>
        <v>39548.4510142179</v>
      </c>
    </row>
    <row r="49" customFormat="false" ht="12.75" hidden="false" customHeight="false" outlineLevel="0" collapsed="false">
      <c r="A49" s="7" t="n">
        <v>36982</v>
      </c>
      <c r="D49" s="14" t="n">
        <f aca="false">+D33+H33</f>
        <v>39548.4510142179</v>
      </c>
    </row>
    <row r="50" customFormat="false" ht="12.75" hidden="false" customHeight="false" outlineLevel="0" collapsed="false">
      <c r="D50" s="14"/>
    </row>
    <row r="51" customFormat="false" ht="12.75" hidden="false" customHeight="false" outlineLevel="0" collapsed="false">
      <c r="D51" s="14"/>
    </row>
    <row r="52" customFormat="false" ht="12.75" hidden="false" customHeight="false" outlineLevel="0" collapsed="false">
      <c r="D52" s="14"/>
    </row>
    <row r="53" customFormat="false" ht="12.75" hidden="false" customHeight="false" outlineLevel="0" collapsed="false">
      <c r="D53" s="14"/>
    </row>
    <row r="54" customFormat="false" ht="12.75" hidden="false" customHeight="false" outlineLevel="0" collapsed="false">
      <c r="D54" s="14"/>
    </row>
    <row r="55" customFormat="false" ht="12.75" hidden="false" customHeight="false" outlineLevel="0" collapsed="false">
      <c r="D55" s="14"/>
    </row>
    <row r="56" customFormat="false" ht="12.75" hidden="false" customHeight="false" outlineLevel="0" collapsed="false">
      <c r="D56" s="14"/>
    </row>
  </sheetData>
  <mergeCells count="4">
    <mergeCell ref="A1:J1"/>
    <mergeCell ref="A20:H20"/>
    <mergeCell ref="J20:L20"/>
    <mergeCell ref="A37:D37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6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32" activeCellId="0" sqref="E32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5" width="13.14"/>
    <col collapsed="false" customWidth="true" hidden="false" outlineLevel="0" max="2" min="2" style="25" width="9.85"/>
    <col collapsed="false" customWidth="true" hidden="false" outlineLevel="0" max="3" min="3" style="25" width="10.13"/>
    <col collapsed="false" customWidth="true" hidden="false" outlineLevel="0" max="4" min="4" style="25" width="8.56"/>
    <col collapsed="false" customWidth="true" hidden="false" outlineLevel="0" max="5" min="5" style="25" width="13.99"/>
    <col collapsed="false" customWidth="true" hidden="false" outlineLevel="0" max="6" min="6" style="25" width="6.85"/>
    <col collapsed="false" customWidth="true" hidden="false" outlineLevel="0" max="8" min="7" style="25" width="5.71"/>
    <col collapsed="false" customWidth="true" hidden="false" outlineLevel="0" max="9" min="9" style="25" width="7.7"/>
    <col collapsed="false" customWidth="true" hidden="false" outlineLevel="0" max="10" min="10" style="25" width="7.42"/>
    <col collapsed="false" customWidth="true" hidden="false" outlineLevel="0" max="11" min="11" style="25" width="7.7"/>
    <col collapsed="false" customWidth="true" hidden="false" outlineLevel="0" max="12" min="12" style="25" width="10.56"/>
    <col collapsed="false" customWidth="true" hidden="false" outlineLevel="0" max="13" min="13" style="25" width="10.99"/>
    <col collapsed="false" customWidth="true" hidden="false" outlineLevel="0" max="14" min="14" style="25" width="8.56"/>
    <col collapsed="false" customWidth="true" hidden="false" outlineLevel="0" max="15" min="15" style="25" width="7.7"/>
    <col collapsed="false" customWidth="false" hidden="false" outlineLevel="0" max="17" min="16" style="25" width="9.14"/>
    <col collapsed="false" customWidth="true" hidden="false" outlineLevel="0" max="18" min="18" style="25" width="7.14"/>
    <col collapsed="false" customWidth="true" hidden="false" outlineLevel="0" max="19" min="19" style="25" width="4.85"/>
    <col collapsed="false" customWidth="true" hidden="false" outlineLevel="0" max="20" min="20" style="25" width="12.85"/>
    <col collapsed="false" customWidth="true" hidden="false" outlineLevel="0" max="21" min="21" style="25" width="14.41"/>
    <col collapsed="false" customWidth="true" hidden="false" outlineLevel="0" max="22" min="22" style="25" width="10.71"/>
    <col collapsed="false" customWidth="false" hidden="false" outlineLevel="0" max="257" min="23" style="25" width="9.14"/>
  </cols>
  <sheetData>
    <row r="1" customFormat="false" ht="13.5" hidden="false" customHeight="false" outlineLevel="0" collapsed="false"/>
    <row r="2" customFormat="false" ht="20.25" hidden="false" customHeight="true" outlineLevel="0" collapsed="false">
      <c r="A2" s="26" t="s">
        <v>23</v>
      </c>
      <c r="B2" s="27" t="n">
        <f aca="true">TODAY()</f>
        <v>45926</v>
      </c>
      <c r="C2" s="28"/>
      <c r="D2" s="28"/>
      <c r="E2" s="29"/>
      <c r="I2" s="30" t="s">
        <v>24</v>
      </c>
      <c r="J2" s="31"/>
      <c r="K2" s="32"/>
      <c r="M2" s="33" t="s">
        <v>25</v>
      </c>
      <c r="N2" s="34" t="n">
        <v>712988</v>
      </c>
    </row>
    <row r="3" customFormat="false" ht="13.5" hidden="false" customHeight="false" outlineLevel="0" collapsed="false">
      <c r="A3" s="35"/>
      <c r="B3" s="36"/>
      <c r="C3" s="36"/>
      <c r="D3" s="36"/>
    </row>
    <row r="4" customFormat="false" ht="26.25" hidden="false" customHeight="false" outlineLevel="0" collapsed="false">
      <c r="A4" s="37" t="s">
        <v>26</v>
      </c>
      <c r="B4" s="38" t="s">
        <v>27</v>
      </c>
      <c r="C4" s="38" t="s">
        <v>28</v>
      </c>
      <c r="D4" s="38" t="s">
        <v>29</v>
      </c>
      <c r="E4" s="38" t="s">
        <v>30</v>
      </c>
      <c r="F4" s="39" t="s">
        <v>31</v>
      </c>
      <c r="G4" s="40" t="s">
        <v>32</v>
      </c>
      <c r="H4" s="40" t="s">
        <v>33</v>
      </c>
      <c r="I4" s="40" t="s">
        <v>34</v>
      </c>
      <c r="J4" s="40" t="s">
        <v>35</v>
      </c>
      <c r="K4" s="40" t="s">
        <v>36</v>
      </c>
      <c r="L4" s="40" t="s">
        <v>37</v>
      </c>
      <c r="M4" s="40" t="s">
        <v>38</v>
      </c>
      <c r="N4" s="40" t="s">
        <v>39</v>
      </c>
      <c r="O4" s="40" t="s">
        <v>40</v>
      </c>
      <c r="P4" s="40" t="s">
        <v>41</v>
      </c>
      <c r="Q4" s="40" t="s">
        <v>42</v>
      </c>
      <c r="R4" s="40" t="s">
        <v>43</v>
      </c>
      <c r="S4" s="40" t="s">
        <v>44</v>
      </c>
      <c r="T4" s="41" t="s">
        <v>45</v>
      </c>
      <c r="U4" s="42" t="s">
        <v>46</v>
      </c>
      <c r="V4" s="43"/>
      <c r="W4" s="43"/>
      <c r="X4" s="43"/>
      <c r="Y4" s="43"/>
      <c r="Z4" s="43"/>
      <c r="AA4" s="43"/>
      <c r="AB4" s="43"/>
      <c r="AC4" s="43"/>
      <c r="AD4" s="43"/>
      <c r="AE4" s="43"/>
      <c r="AF4" s="43"/>
      <c r="AG4" s="43"/>
      <c r="AH4" s="43"/>
      <c r="AI4" s="43"/>
      <c r="AJ4" s="43"/>
      <c r="AK4" s="43"/>
      <c r="AL4" s="43"/>
      <c r="AM4" s="43"/>
      <c r="AN4" s="43"/>
      <c r="AO4" s="43"/>
      <c r="AP4" s="43"/>
      <c r="AQ4" s="43"/>
      <c r="AR4" s="43"/>
      <c r="AS4" s="43"/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3"/>
      <c r="BE4" s="43"/>
      <c r="BF4" s="43"/>
      <c r="BG4" s="43"/>
      <c r="BH4" s="43"/>
      <c r="BI4" s="43"/>
      <c r="BJ4" s="43"/>
      <c r="BK4" s="43"/>
      <c r="BL4" s="43"/>
      <c r="BM4" s="43"/>
      <c r="BN4" s="43"/>
      <c r="BO4" s="43"/>
      <c r="BP4" s="43"/>
      <c r="BQ4" s="43"/>
      <c r="BR4" s="43"/>
      <c r="BS4" s="43"/>
      <c r="BT4" s="43"/>
      <c r="BU4" s="43"/>
      <c r="BV4" s="43"/>
      <c r="BW4" s="43"/>
      <c r="BX4" s="43"/>
      <c r="BY4" s="43"/>
      <c r="BZ4" s="43"/>
      <c r="CA4" s="43"/>
      <c r="CB4" s="43"/>
      <c r="CC4" s="43"/>
      <c r="CD4" s="43"/>
      <c r="CE4" s="43"/>
      <c r="CF4" s="43"/>
      <c r="CG4" s="43"/>
      <c r="CH4" s="43"/>
      <c r="CI4" s="43"/>
      <c r="CJ4" s="43"/>
      <c r="CK4" s="43"/>
      <c r="CL4" s="43"/>
      <c r="CM4" s="43"/>
      <c r="CN4" s="43"/>
      <c r="CO4" s="43"/>
      <c r="CP4" s="43"/>
      <c r="CQ4" s="43"/>
      <c r="CR4" s="43"/>
      <c r="CS4" s="43"/>
      <c r="CT4" s="43"/>
      <c r="CU4" s="43"/>
      <c r="CV4" s="43"/>
      <c r="CW4" s="43"/>
      <c r="CX4" s="43"/>
      <c r="CY4" s="43"/>
      <c r="CZ4" s="43"/>
      <c r="DA4" s="43"/>
      <c r="DB4" s="43"/>
      <c r="DC4" s="43"/>
      <c r="DD4" s="43"/>
      <c r="DE4" s="43"/>
      <c r="DF4" s="43"/>
      <c r="DG4" s="43"/>
      <c r="DH4" s="43"/>
      <c r="DI4" s="43"/>
      <c r="DJ4" s="43"/>
      <c r="DK4" s="43"/>
      <c r="DL4" s="43"/>
      <c r="DM4" s="43"/>
      <c r="DN4" s="43"/>
      <c r="DO4" s="43"/>
      <c r="DP4" s="43"/>
      <c r="DQ4" s="43"/>
      <c r="DR4" s="43"/>
      <c r="DS4" s="43"/>
      <c r="DT4" s="43"/>
      <c r="DU4" s="43"/>
      <c r="DV4" s="43"/>
      <c r="DW4" s="43"/>
      <c r="DX4" s="43"/>
      <c r="DY4" s="43"/>
      <c r="DZ4" s="43"/>
      <c r="EA4" s="43"/>
      <c r="EB4" s="43"/>
      <c r="EC4" s="43"/>
      <c r="ED4" s="43"/>
      <c r="EE4" s="43"/>
      <c r="EF4" s="43"/>
      <c r="EG4" s="43"/>
      <c r="EH4" s="43"/>
      <c r="EI4" s="43"/>
      <c r="EJ4" s="43"/>
      <c r="EK4" s="43"/>
      <c r="EL4" s="43"/>
      <c r="EM4" s="43"/>
      <c r="EN4" s="43"/>
      <c r="EO4" s="43"/>
      <c r="EP4" s="43"/>
      <c r="EQ4" s="43"/>
      <c r="ER4" s="43"/>
      <c r="ES4" s="43"/>
      <c r="ET4" s="43"/>
      <c r="EU4" s="43"/>
      <c r="EV4" s="43"/>
      <c r="EW4" s="43"/>
      <c r="EX4" s="43"/>
      <c r="EY4" s="43"/>
      <c r="EZ4" s="43"/>
      <c r="FA4" s="43"/>
      <c r="FB4" s="43"/>
      <c r="FC4" s="43"/>
      <c r="FD4" s="43"/>
      <c r="FE4" s="43"/>
      <c r="FF4" s="43"/>
      <c r="FG4" s="43"/>
      <c r="FH4" s="43"/>
      <c r="FI4" s="43"/>
      <c r="FJ4" s="43"/>
      <c r="FK4" s="43"/>
      <c r="FL4" s="43"/>
      <c r="FM4" s="43"/>
      <c r="FN4" s="43"/>
      <c r="FO4" s="43"/>
      <c r="FP4" s="43"/>
      <c r="FQ4" s="43"/>
      <c r="FR4" s="43"/>
      <c r="FS4" s="43"/>
      <c r="FT4" s="43"/>
      <c r="FU4" s="43"/>
      <c r="FV4" s="43"/>
      <c r="FW4" s="43"/>
      <c r="FX4" s="43"/>
      <c r="FY4" s="43"/>
      <c r="FZ4" s="43"/>
      <c r="GA4" s="43"/>
      <c r="GB4" s="43"/>
      <c r="GC4" s="43"/>
      <c r="GD4" s="43"/>
      <c r="GE4" s="43"/>
      <c r="GF4" s="43"/>
      <c r="GG4" s="43"/>
      <c r="GH4" s="43"/>
      <c r="GI4" s="43"/>
      <c r="GJ4" s="43"/>
      <c r="GK4" s="43"/>
      <c r="GL4" s="43"/>
      <c r="GM4" s="43"/>
      <c r="GN4" s="43"/>
      <c r="GO4" s="43"/>
      <c r="GP4" s="43"/>
      <c r="GQ4" s="43"/>
      <c r="GR4" s="43"/>
      <c r="GS4" s="43"/>
      <c r="GT4" s="43"/>
      <c r="GU4" s="43"/>
      <c r="GV4" s="43"/>
      <c r="GW4" s="43"/>
      <c r="GX4" s="43"/>
      <c r="GY4" s="43"/>
      <c r="GZ4" s="43"/>
      <c r="HA4" s="43"/>
      <c r="HB4" s="43"/>
      <c r="HC4" s="43"/>
      <c r="HD4" s="43"/>
      <c r="HE4" s="43"/>
      <c r="HF4" s="43"/>
      <c r="HG4" s="43"/>
      <c r="HH4" s="43"/>
      <c r="HI4" s="43"/>
      <c r="HJ4" s="43"/>
      <c r="HK4" s="43"/>
      <c r="HL4" s="43"/>
      <c r="HM4" s="43"/>
      <c r="HN4" s="43"/>
      <c r="HO4" s="43"/>
      <c r="HP4" s="43"/>
      <c r="HQ4" s="43"/>
      <c r="HR4" s="43"/>
      <c r="HS4" s="43"/>
      <c r="HT4" s="43"/>
      <c r="HU4" s="43"/>
      <c r="HV4" s="43"/>
      <c r="HW4" s="43"/>
      <c r="HX4" s="43"/>
      <c r="HY4" s="43"/>
      <c r="HZ4" s="43"/>
      <c r="IA4" s="43"/>
      <c r="IB4" s="43"/>
      <c r="IC4" s="43"/>
      <c r="ID4" s="43"/>
      <c r="IE4" s="43"/>
      <c r="IF4" s="43"/>
      <c r="IG4" s="43"/>
      <c r="IH4" s="43"/>
      <c r="II4" s="43"/>
      <c r="IJ4" s="43"/>
      <c r="IK4" s="43"/>
      <c r="IL4" s="43"/>
      <c r="IM4" s="43"/>
      <c r="IN4" s="43"/>
      <c r="IO4" s="43"/>
      <c r="IP4" s="43"/>
      <c r="IQ4" s="43"/>
      <c r="IR4" s="43"/>
      <c r="IS4" s="43"/>
      <c r="IT4" s="43"/>
      <c r="IU4" s="43"/>
      <c r="IV4" s="43"/>
      <c r="IW4" s="43"/>
    </row>
    <row r="5" customFormat="false" ht="12.75" hidden="false" customHeight="false" outlineLevel="0" collapsed="false">
      <c r="A5" s="44" t="n">
        <v>36647</v>
      </c>
      <c r="B5" s="45" t="n">
        <f aca="false">-VLOOKUP(A5,'Deal Volumes'!$A$3:$J$16,10)</f>
        <v>-116250</v>
      </c>
      <c r="C5" s="44" t="n">
        <f aca="false">+A5</f>
        <v>36647</v>
      </c>
      <c r="D5" s="46" t="n">
        <f aca="false">EOMONTH(C5,0)</f>
        <v>36677</v>
      </c>
      <c r="E5" s="25" t="s">
        <v>20</v>
      </c>
      <c r="F5" s="47" t="s">
        <v>47</v>
      </c>
      <c r="G5" s="48" t="n">
        <v>2.571</v>
      </c>
      <c r="H5" s="49" t="n">
        <f aca="false">G5</f>
        <v>2.571</v>
      </c>
      <c r="I5" s="50" t="n">
        <f aca="false">+A5-$B$2</f>
        <v>-9279</v>
      </c>
      <c r="J5" s="47" t="n">
        <f aca="false">+C5-A5</f>
        <v>0</v>
      </c>
      <c r="K5" s="45" t="n">
        <f aca="false">+D5-C5+1</f>
        <v>31</v>
      </c>
      <c r="L5" s="47" t="n">
        <v>1</v>
      </c>
      <c r="M5" s="51" t="n">
        <v>0.061485649559373</v>
      </c>
      <c r="N5" s="52" t="n">
        <f aca="false">+O5</f>
        <v>0.45</v>
      </c>
      <c r="O5" s="53" t="n">
        <v>0.45</v>
      </c>
      <c r="P5" s="52" t="n">
        <v>1</v>
      </c>
      <c r="Q5" s="54" t="n">
        <v>0</v>
      </c>
      <c r="R5" s="47" t="n">
        <f aca="false">IF(F5="Call",1,0)</f>
        <v>1</v>
      </c>
      <c r="S5" s="43" t="n">
        <v>0</v>
      </c>
      <c r="T5" s="55" t="e">
        <f aca="false">OSTRIP(G5,H5,I5,J5,K5,L5,M5,N5,O5,P5,Q5,R5,S5)</f>
        <v>#NAME?</v>
      </c>
      <c r="U5" s="56" t="e">
        <f aca="false">T5*B5</f>
        <v>#NAME?</v>
      </c>
      <c r="V5" s="57"/>
      <c r="W5" s="58"/>
      <c r="X5" s="47"/>
      <c r="Y5" s="47"/>
      <c r="Z5" s="47"/>
    </row>
    <row r="6" customFormat="false" ht="12.75" hidden="false" customHeight="false" outlineLevel="0" collapsed="false">
      <c r="A6" s="44" t="n">
        <v>36678</v>
      </c>
      <c r="B6" s="45" t="n">
        <f aca="false">-VLOOKUP(A6,'Deal Volumes'!$A$3:$J$16,10)</f>
        <v>-112500</v>
      </c>
      <c r="C6" s="44" t="n">
        <f aca="false">+A6</f>
        <v>36678</v>
      </c>
      <c r="D6" s="46" t="n">
        <f aca="false">EOMONTH(C6,0)</f>
        <v>36707</v>
      </c>
      <c r="E6" s="25" t="s">
        <v>20</v>
      </c>
      <c r="F6" s="47" t="s">
        <v>47</v>
      </c>
      <c r="G6" s="48" t="n">
        <v>2.5905</v>
      </c>
      <c r="H6" s="49" t="n">
        <f aca="false">G6</f>
        <v>2.5905</v>
      </c>
      <c r="I6" s="50" t="n">
        <f aca="false">+A6-$B$2</f>
        <v>-9248</v>
      </c>
      <c r="J6" s="47" t="n">
        <f aca="false">+C6-A6</f>
        <v>0</v>
      </c>
      <c r="K6" s="45" t="n">
        <f aca="false">+D6-C6+1</f>
        <v>30</v>
      </c>
      <c r="L6" s="47" t="n">
        <v>1</v>
      </c>
      <c r="M6" s="51" t="n">
        <v>0.06240361356018</v>
      </c>
      <c r="N6" s="52" t="n">
        <f aca="false">+O6</f>
        <v>0.5</v>
      </c>
      <c r="O6" s="53" t="n">
        <v>0.5</v>
      </c>
      <c r="P6" s="52" t="n">
        <v>1</v>
      </c>
      <c r="Q6" s="54" t="n">
        <v>0</v>
      </c>
      <c r="R6" s="47" t="n">
        <f aca="false">IF(F6="Call",1,0)</f>
        <v>1</v>
      </c>
      <c r="S6" s="43" t="n">
        <v>0</v>
      </c>
      <c r="T6" s="55" t="e">
        <f aca="false">OSTRIP(G6,H6,I6,J6,K6,L6,M6,N6,O6,P6,Q6,R6,S6)</f>
        <v>#NAME?</v>
      </c>
      <c r="U6" s="56" t="e">
        <f aca="false">T6*B6</f>
        <v>#NAME?</v>
      </c>
      <c r="V6" s="57"/>
      <c r="W6" s="58"/>
      <c r="X6" s="47"/>
      <c r="Y6" s="47"/>
      <c r="Z6" s="47"/>
    </row>
    <row r="7" customFormat="false" ht="12.75" hidden="false" customHeight="false" outlineLevel="0" collapsed="false">
      <c r="A7" s="44" t="n">
        <v>36708</v>
      </c>
      <c r="B7" s="45" t="n">
        <f aca="false">-VLOOKUP(A7,'Deal Volumes'!$A$3:$J$16,10)</f>
        <v>-155000</v>
      </c>
      <c r="C7" s="44" t="n">
        <f aca="false">+A7</f>
        <v>36708</v>
      </c>
      <c r="D7" s="46" t="n">
        <f aca="false">EOMONTH(C7,0)</f>
        <v>36738</v>
      </c>
      <c r="E7" s="25" t="s">
        <v>20</v>
      </c>
      <c r="F7" s="47" t="s">
        <v>47</v>
      </c>
      <c r="G7" s="48" t="n">
        <v>2.607</v>
      </c>
      <c r="H7" s="49" t="n">
        <f aca="false">G7</f>
        <v>2.607</v>
      </c>
      <c r="I7" s="50" t="n">
        <f aca="false">+A7-$B$2</f>
        <v>-9218</v>
      </c>
      <c r="J7" s="47" t="n">
        <f aca="false">+C7-A7</f>
        <v>0</v>
      </c>
      <c r="K7" s="45" t="n">
        <f aca="false">+D7-C7+1</f>
        <v>31</v>
      </c>
      <c r="L7" s="47" t="n">
        <v>1</v>
      </c>
      <c r="M7" s="51" t="n">
        <v>0.063184628319211</v>
      </c>
      <c r="N7" s="52" t="n">
        <f aca="false">+O7</f>
        <v>0.5</v>
      </c>
      <c r="O7" s="53" t="n">
        <v>0.5</v>
      </c>
      <c r="P7" s="52" t="n">
        <v>1</v>
      </c>
      <c r="Q7" s="54" t="n">
        <v>0</v>
      </c>
      <c r="R7" s="47" t="n">
        <f aca="false">IF(F7="Call",1,0)</f>
        <v>1</v>
      </c>
      <c r="S7" s="43" t="n">
        <v>0</v>
      </c>
      <c r="T7" s="55" t="e">
        <f aca="false">OSTRIP(G7,H7,I7,J7,K7,L7,M7,N7,O7,P7,Q7,R7,S7)</f>
        <v>#NAME?</v>
      </c>
      <c r="U7" s="56" t="e">
        <f aca="false">T7*B7</f>
        <v>#NAME?</v>
      </c>
      <c r="V7" s="57"/>
      <c r="W7" s="58"/>
      <c r="X7" s="47"/>
      <c r="Y7" s="47"/>
      <c r="Z7" s="47"/>
    </row>
    <row r="8" customFormat="false" ht="12.75" hidden="false" customHeight="false" outlineLevel="0" collapsed="false">
      <c r="A8" s="44" t="n">
        <v>36739</v>
      </c>
      <c r="B8" s="45" t="n">
        <f aca="false">-VLOOKUP(A8,'Deal Volumes'!$A$3:$J$16,10)</f>
        <v>-155000</v>
      </c>
      <c r="C8" s="44" t="n">
        <f aca="false">+A8</f>
        <v>36739</v>
      </c>
      <c r="D8" s="46" t="n">
        <f aca="false">EOMONTH(C8,0)</f>
        <v>36769</v>
      </c>
      <c r="E8" s="25" t="s">
        <v>20</v>
      </c>
      <c r="F8" s="47" t="s">
        <v>47</v>
      </c>
      <c r="G8" s="48" t="n">
        <v>2.6235</v>
      </c>
      <c r="H8" s="49" t="n">
        <f aca="false">G8</f>
        <v>2.6235</v>
      </c>
      <c r="I8" s="50" t="n">
        <f aca="false">+A8-$B$2</f>
        <v>-9187</v>
      </c>
      <c r="J8" s="47" t="n">
        <f aca="false">+C8-A8</f>
        <v>0</v>
      </c>
      <c r="K8" s="45" t="n">
        <f aca="false">+D8-C8+1</f>
        <v>31</v>
      </c>
      <c r="L8" s="47" t="n">
        <v>1</v>
      </c>
      <c r="M8" s="51" t="n">
        <v>0.063820029255873</v>
      </c>
      <c r="N8" s="52" t="n">
        <f aca="false">+O8</f>
        <v>0.55</v>
      </c>
      <c r="O8" s="53" t="n">
        <v>0.55</v>
      </c>
      <c r="P8" s="52" t="n">
        <v>1</v>
      </c>
      <c r="Q8" s="54" t="n">
        <v>0</v>
      </c>
      <c r="R8" s="47" t="n">
        <f aca="false">IF(F8="Call",1,0)</f>
        <v>1</v>
      </c>
      <c r="S8" s="43" t="n">
        <v>0</v>
      </c>
      <c r="T8" s="55" t="e">
        <f aca="false">OSTRIP(G8,H8,I8,J8,K8,L8,M8,N8,O8,P8,Q8,R8,S8)</f>
        <v>#NAME?</v>
      </c>
      <c r="U8" s="56" t="e">
        <f aca="false">T8*B8</f>
        <v>#NAME?</v>
      </c>
      <c r="V8" s="57"/>
      <c r="W8" s="58"/>
      <c r="X8" s="47"/>
      <c r="Y8" s="47"/>
      <c r="Z8" s="47"/>
    </row>
    <row r="9" customFormat="false" ht="12.75" hidden="false" customHeight="false" outlineLevel="0" collapsed="false">
      <c r="A9" s="44" t="n">
        <v>36770</v>
      </c>
      <c r="B9" s="45" t="n">
        <f aca="false">-VLOOKUP(A9,'Deal Volumes'!$A$3:$J$16,10)</f>
        <v>-150000</v>
      </c>
      <c r="C9" s="44" t="n">
        <f aca="false">+A9</f>
        <v>36770</v>
      </c>
      <c r="D9" s="46" t="n">
        <f aca="false">EOMONTH(C9,0)</f>
        <v>36799</v>
      </c>
      <c r="E9" s="25" t="s">
        <v>20</v>
      </c>
      <c r="F9" s="47" t="s">
        <v>47</v>
      </c>
      <c r="G9" s="48" t="n">
        <v>2.623</v>
      </c>
      <c r="H9" s="49" t="n">
        <f aca="false">G9</f>
        <v>2.623</v>
      </c>
      <c r="I9" s="50" t="n">
        <f aca="false">+A9-$B$2</f>
        <v>-9156</v>
      </c>
      <c r="J9" s="47" t="n">
        <f aca="false">+C9-A9</f>
        <v>0</v>
      </c>
      <c r="K9" s="45" t="n">
        <f aca="false">+D9-C9+1</f>
        <v>30</v>
      </c>
      <c r="L9" s="47" t="n">
        <v>1</v>
      </c>
      <c r="M9" s="51" t="n">
        <v>0.064455430326432</v>
      </c>
      <c r="N9" s="52" t="n">
        <f aca="false">+O9</f>
        <v>0.55</v>
      </c>
      <c r="O9" s="53" t="n">
        <v>0.55</v>
      </c>
      <c r="P9" s="52" t="n">
        <v>1</v>
      </c>
      <c r="Q9" s="54" t="n">
        <v>0</v>
      </c>
      <c r="R9" s="47" t="n">
        <f aca="false">IF(F9="Call",1,0)</f>
        <v>1</v>
      </c>
      <c r="S9" s="43" t="n">
        <v>0</v>
      </c>
      <c r="T9" s="55" t="e">
        <f aca="false">OSTRIP(G9,H9,I9,J9,K9,L9,M9,N9,O9,P9,Q9,R9,S9)</f>
        <v>#NAME?</v>
      </c>
      <c r="U9" s="56" t="e">
        <f aca="false">T9*B9</f>
        <v>#NAME?</v>
      </c>
      <c r="V9" s="57"/>
      <c r="W9" s="58"/>
      <c r="X9" s="47"/>
      <c r="Y9" s="47"/>
      <c r="Z9" s="47"/>
    </row>
    <row r="10" customFormat="false" ht="12.75" hidden="false" customHeight="false" outlineLevel="0" collapsed="false">
      <c r="A10" s="44" t="n">
        <v>36800</v>
      </c>
      <c r="B10" s="45" t="n">
        <f aca="false">-VLOOKUP(A10,'Deal Volumes'!$A$3:$J$16,10)</f>
        <v>-69750</v>
      </c>
      <c r="C10" s="44" t="n">
        <f aca="false">+A10</f>
        <v>36800</v>
      </c>
      <c r="D10" s="46" t="n">
        <f aca="false">EOMONTH(C10,0)</f>
        <v>36830</v>
      </c>
      <c r="E10" s="25" t="s">
        <v>20</v>
      </c>
      <c r="F10" s="47" t="s">
        <v>47</v>
      </c>
      <c r="G10" s="48" t="n">
        <v>2.648</v>
      </c>
      <c r="H10" s="49" t="n">
        <f aca="false">G10</f>
        <v>2.648</v>
      </c>
      <c r="I10" s="50" t="n">
        <f aca="false">+A10-$B$2</f>
        <v>-9126</v>
      </c>
      <c r="J10" s="47" t="n">
        <f aca="false">+C10-A10</f>
        <v>0</v>
      </c>
      <c r="K10" s="45" t="n">
        <f aca="false">+D10-C10+1</f>
        <v>31</v>
      </c>
      <c r="L10" s="47" t="n">
        <v>1</v>
      </c>
      <c r="M10" s="51" t="n">
        <v>0.065038264108629</v>
      </c>
      <c r="N10" s="52" t="n">
        <f aca="false">+O10</f>
        <v>0.5</v>
      </c>
      <c r="O10" s="53" t="n">
        <v>0.5</v>
      </c>
      <c r="P10" s="52" t="n">
        <v>1</v>
      </c>
      <c r="Q10" s="54" t="n">
        <v>0</v>
      </c>
      <c r="R10" s="47" t="n">
        <f aca="false">IF(F10="Call",1,0)</f>
        <v>1</v>
      </c>
      <c r="S10" s="43" t="n">
        <v>0</v>
      </c>
      <c r="T10" s="55" t="e">
        <f aca="false">OSTRIP(G10,H10,I10,J10,K10,L10,M10,N10,O10,P10,Q10,R10,S10)</f>
        <v>#NAME?</v>
      </c>
      <c r="U10" s="56" t="e">
        <f aca="false">T10*B10</f>
        <v>#NAME?</v>
      </c>
      <c r="V10" s="57"/>
      <c r="W10" s="58"/>
      <c r="X10" s="47"/>
      <c r="Y10" s="47"/>
      <c r="Z10" s="47"/>
      <c r="AA10" s="47"/>
      <c r="AB10" s="47"/>
      <c r="AC10" s="47"/>
      <c r="AD10" s="47"/>
      <c r="AE10" s="47"/>
      <c r="AF10" s="47"/>
      <c r="AG10" s="47"/>
      <c r="AH10" s="47"/>
      <c r="AI10" s="47"/>
      <c r="AJ10" s="47"/>
      <c r="AK10" s="47"/>
      <c r="AL10" s="47"/>
      <c r="AM10" s="47"/>
      <c r="AN10" s="47"/>
      <c r="AO10" s="47"/>
      <c r="AP10" s="47"/>
      <c r="AQ10" s="47"/>
      <c r="AR10" s="47"/>
      <c r="AS10" s="47"/>
      <c r="AT10" s="47"/>
      <c r="AU10" s="47"/>
      <c r="AV10" s="47"/>
      <c r="AW10" s="47"/>
      <c r="AX10" s="47"/>
      <c r="AY10" s="47"/>
      <c r="AZ10" s="47"/>
      <c r="BA10" s="47"/>
      <c r="BB10" s="47"/>
      <c r="BC10" s="47"/>
      <c r="BD10" s="47"/>
      <c r="BE10" s="47"/>
      <c r="BF10" s="47"/>
      <c r="BG10" s="47"/>
      <c r="BH10" s="47"/>
      <c r="BI10" s="47"/>
      <c r="BJ10" s="47"/>
      <c r="BK10" s="47"/>
      <c r="BL10" s="47"/>
      <c r="BM10" s="47"/>
      <c r="BN10" s="47"/>
      <c r="BO10" s="47"/>
      <c r="BP10" s="47"/>
      <c r="BQ10" s="47"/>
      <c r="BR10" s="47"/>
      <c r="BS10" s="47"/>
      <c r="BT10" s="47"/>
      <c r="BU10" s="47"/>
      <c r="BV10" s="47"/>
      <c r="BW10" s="47"/>
      <c r="BX10" s="47"/>
      <c r="BY10" s="47"/>
      <c r="BZ10" s="47"/>
      <c r="CA10" s="47"/>
      <c r="CB10" s="47"/>
      <c r="CC10" s="47"/>
      <c r="CD10" s="47"/>
      <c r="CE10" s="47"/>
      <c r="CF10" s="47"/>
      <c r="CG10" s="47"/>
      <c r="CH10" s="47"/>
      <c r="CI10" s="47"/>
      <c r="CJ10" s="47"/>
      <c r="CK10" s="47"/>
      <c r="CL10" s="47"/>
      <c r="CM10" s="47"/>
      <c r="CN10" s="47"/>
      <c r="CO10" s="47"/>
      <c r="CP10" s="47"/>
      <c r="CQ10" s="47"/>
      <c r="CR10" s="47"/>
      <c r="CS10" s="47"/>
      <c r="CT10" s="47"/>
      <c r="CU10" s="47"/>
      <c r="CV10" s="47"/>
      <c r="CW10" s="47"/>
      <c r="CX10" s="47"/>
      <c r="CY10" s="47"/>
      <c r="CZ10" s="47"/>
      <c r="DA10" s="47"/>
      <c r="DB10" s="47"/>
      <c r="DC10" s="47"/>
      <c r="DD10" s="47"/>
      <c r="DE10" s="47"/>
      <c r="DF10" s="47"/>
      <c r="DG10" s="47"/>
      <c r="DH10" s="47"/>
      <c r="DI10" s="47"/>
      <c r="DJ10" s="47"/>
      <c r="DK10" s="47"/>
      <c r="DL10" s="47"/>
      <c r="DM10" s="47"/>
      <c r="DN10" s="47"/>
      <c r="DO10" s="47"/>
      <c r="DP10" s="47"/>
      <c r="DQ10" s="47"/>
      <c r="DR10" s="47"/>
      <c r="DS10" s="47"/>
      <c r="DT10" s="47"/>
      <c r="DU10" s="47"/>
      <c r="DV10" s="47"/>
      <c r="DW10" s="47"/>
      <c r="DX10" s="47"/>
      <c r="DY10" s="47"/>
      <c r="DZ10" s="47"/>
      <c r="EA10" s="47"/>
      <c r="EB10" s="47"/>
      <c r="EC10" s="47"/>
      <c r="ED10" s="47"/>
      <c r="EE10" s="47"/>
      <c r="EF10" s="47"/>
      <c r="EG10" s="47"/>
      <c r="EH10" s="47"/>
      <c r="EI10" s="47"/>
      <c r="EJ10" s="47"/>
      <c r="EK10" s="47"/>
      <c r="EL10" s="47"/>
      <c r="EM10" s="47"/>
      <c r="EN10" s="47"/>
      <c r="EO10" s="47"/>
      <c r="EP10" s="47"/>
      <c r="EQ10" s="47"/>
      <c r="ER10" s="47"/>
      <c r="ES10" s="47"/>
      <c r="ET10" s="47"/>
      <c r="EU10" s="47"/>
      <c r="EV10" s="47"/>
      <c r="EW10" s="47"/>
      <c r="EX10" s="47"/>
      <c r="EY10" s="47"/>
      <c r="EZ10" s="47"/>
      <c r="FA10" s="47"/>
      <c r="FB10" s="47"/>
      <c r="FC10" s="47"/>
      <c r="FD10" s="47"/>
      <c r="FE10" s="47"/>
      <c r="FF10" s="47"/>
      <c r="FG10" s="47"/>
      <c r="FH10" s="47"/>
      <c r="FI10" s="47"/>
      <c r="FJ10" s="47"/>
      <c r="FK10" s="47"/>
      <c r="FL10" s="47"/>
      <c r="FM10" s="47"/>
      <c r="FN10" s="47"/>
      <c r="FO10" s="47"/>
      <c r="FP10" s="47"/>
      <c r="FQ10" s="47"/>
      <c r="FR10" s="47"/>
      <c r="FS10" s="47"/>
      <c r="FT10" s="47"/>
      <c r="FU10" s="47"/>
      <c r="FV10" s="47"/>
      <c r="FW10" s="47"/>
      <c r="FX10" s="47"/>
      <c r="FY10" s="47"/>
      <c r="FZ10" s="47"/>
      <c r="GA10" s="47"/>
      <c r="GB10" s="47"/>
      <c r="GC10" s="47"/>
      <c r="GD10" s="47"/>
      <c r="GE10" s="47"/>
      <c r="GF10" s="47"/>
      <c r="GG10" s="47"/>
      <c r="GH10" s="47"/>
      <c r="GI10" s="47"/>
      <c r="GJ10" s="47"/>
      <c r="GK10" s="47"/>
      <c r="GL10" s="47"/>
      <c r="GM10" s="47"/>
      <c r="GN10" s="47"/>
      <c r="GO10" s="47"/>
      <c r="GP10" s="47"/>
      <c r="GQ10" s="47"/>
      <c r="GR10" s="47"/>
      <c r="GS10" s="47"/>
      <c r="GT10" s="47"/>
      <c r="GU10" s="47"/>
      <c r="GV10" s="47"/>
      <c r="GW10" s="47"/>
      <c r="GX10" s="47"/>
      <c r="GY10" s="47"/>
      <c r="GZ10" s="47"/>
      <c r="HA10" s="47"/>
      <c r="HB10" s="47"/>
      <c r="HC10" s="47"/>
      <c r="HD10" s="47"/>
      <c r="HE10" s="47"/>
      <c r="HF10" s="47"/>
      <c r="HG10" s="47"/>
      <c r="HH10" s="47"/>
      <c r="HI10" s="47"/>
      <c r="HJ10" s="47"/>
      <c r="HK10" s="47"/>
      <c r="HL10" s="47"/>
      <c r="HM10" s="47"/>
      <c r="HN10" s="47"/>
      <c r="HO10" s="47"/>
      <c r="HP10" s="47"/>
      <c r="HQ10" s="47"/>
      <c r="HR10" s="47"/>
      <c r="HS10" s="47"/>
      <c r="HT10" s="47"/>
      <c r="HU10" s="47"/>
      <c r="HV10" s="47"/>
      <c r="HW10" s="47"/>
      <c r="HX10" s="47"/>
      <c r="HY10" s="47"/>
      <c r="HZ10" s="47"/>
      <c r="IA10" s="47"/>
      <c r="IB10" s="47"/>
      <c r="IC10" s="47"/>
      <c r="ID10" s="47"/>
      <c r="IE10" s="47"/>
      <c r="IF10" s="47"/>
      <c r="IG10" s="47"/>
      <c r="IH10" s="47"/>
      <c r="II10" s="47"/>
      <c r="IJ10" s="47"/>
      <c r="IK10" s="47"/>
      <c r="IL10" s="47"/>
      <c r="IM10" s="47"/>
      <c r="IN10" s="47"/>
      <c r="IO10" s="47"/>
      <c r="IP10" s="47"/>
      <c r="IQ10" s="47"/>
      <c r="IR10" s="47"/>
      <c r="IS10" s="47"/>
      <c r="IT10" s="47"/>
      <c r="IU10" s="47"/>
      <c r="IV10" s="47"/>
      <c r="IW10" s="47"/>
    </row>
    <row r="11" customFormat="false" ht="12.75" hidden="false" customHeight="false" outlineLevel="0" collapsed="false">
      <c r="A11" s="44" t="n">
        <v>36831</v>
      </c>
      <c r="B11" s="45" t="n">
        <f aca="false">-VLOOKUP(A11,'Deal Volumes'!$A$3:$J$16,10)</f>
        <v>-67500</v>
      </c>
      <c r="C11" s="44" t="n">
        <f aca="false">+A11</f>
        <v>36831</v>
      </c>
      <c r="D11" s="46" t="n">
        <f aca="false">EOMONTH(C11,0)</f>
        <v>36860</v>
      </c>
      <c r="E11" s="25" t="s">
        <v>20</v>
      </c>
      <c r="F11" s="47" t="s">
        <v>47</v>
      </c>
      <c r="G11" s="48" t="n">
        <v>2.743</v>
      </c>
      <c r="H11" s="49" t="n">
        <f aca="false">G11</f>
        <v>2.743</v>
      </c>
      <c r="I11" s="50" t="n">
        <f aca="false">+A11-$B$2</f>
        <v>-9095</v>
      </c>
      <c r="J11" s="47" t="n">
        <f aca="false">+C11-A11</f>
        <v>0</v>
      </c>
      <c r="K11" s="45" t="n">
        <f aca="false">+D11-C11+1</f>
        <v>30</v>
      </c>
      <c r="L11" s="47" t="n">
        <v>1</v>
      </c>
      <c r="M11" s="51" t="n">
        <v>0.065581038241004</v>
      </c>
      <c r="N11" s="52" t="n">
        <f aca="false">+O11</f>
        <v>0.85</v>
      </c>
      <c r="O11" s="53" t="n">
        <v>0.85</v>
      </c>
      <c r="P11" s="52" t="n">
        <v>1</v>
      </c>
      <c r="Q11" s="54" t="n">
        <v>0</v>
      </c>
      <c r="R11" s="47" t="n">
        <f aca="false">IF(F11="Call",1,0)</f>
        <v>1</v>
      </c>
      <c r="S11" s="43" t="n">
        <v>0</v>
      </c>
      <c r="T11" s="55" t="e">
        <f aca="false">OSTRIP(G11,H11,I11,J11,K11,L11,M11,N11,O11,P11,Q11,R11,S11)</f>
        <v>#NAME?</v>
      </c>
      <c r="U11" s="56" t="e">
        <f aca="false">T11*B11</f>
        <v>#NAME?</v>
      </c>
      <c r="V11" s="57"/>
      <c r="W11" s="58"/>
      <c r="X11" s="47"/>
      <c r="Y11" s="47"/>
      <c r="Z11" s="47"/>
      <c r="AA11" s="47"/>
      <c r="AB11" s="47"/>
      <c r="AC11" s="47"/>
      <c r="AD11" s="47"/>
      <c r="AE11" s="47"/>
      <c r="AF11" s="47"/>
      <c r="AG11" s="47"/>
      <c r="AH11" s="47"/>
      <c r="AI11" s="47"/>
      <c r="AJ11" s="47"/>
      <c r="AK11" s="47"/>
      <c r="AL11" s="47"/>
      <c r="AM11" s="47"/>
      <c r="AN11" s="47"/>
      <c r="AO11" s="47"/>
      <c r="AP11" s="47"/>
      <c r="AQ11" s="47"/>
      <c r="AR11" s="47"/>
      <c r="AS11" s="47"/>
      <c r="AT11" s="47"/>
      <c r="AU11" s="47"/>
      <c r="AV11" s="47"/>
      <c r="AW11" s="47"/>
      <c r="AX11" s="47"/>
      <c r="AY11" s="47"/>
      <c r="AZ11" s="47"/>
      <c r="BA11" s="47"/>
      <c r="BB11" s="47"/>
      <c r="BC11" s="47"/>
      <c r="BD11" s="47"/>
      <c r="BE11" s="47"/>
      <c r="BF11" s="47"/>
      <c r="BG11" s="47"/>
      <c r="BH11" s="47"/>
      <c r="BI11" s="47"/>
      <c r="BJ11" s="47"/>
      <c r="BK11" s="47"/>
      <c r="BL11" s="47"/>
      <c r="BM11" s="47"/>
      <c r="BN11" s="47"/>
      <c r="BO11" s="47"/>
      <c r="BP11" s="47"/>
      <c r="BQ11" s="47"/>
      <c r="BR11" s="47"/>
      <c r="BS11" s="47"/>
      <c r="BT11" s="47"/>
      <c r="BU11" s="47"/>
      <c r="BV11" s="47"/>
      <c r="BW11" s="47"/>
      <c r="BX11" s="47"/>
      <c r="BY11" s="47"/>
      <c r="BZ11" s="47"/>
      <c r="CA11" s="47"/>
      <c r="CB11" s="47"/>
      <c r="CC11" s="47"/>
      <c r="CD11" s="47"/>
      <c r="CE11" s="47"/>
      <c r="CF11" s="47"/>
      <c r="CG11" s="47"/>
      <c r="CH11" s="47"/>
      <c r="CI11" s="47"/>
      <c r="CJ11" s="47"/>
      <c r="CK11" s="47"/>
      <c r="CL11" s="47"/>
      <c r="CM11" s="47"/>
      <c r="CN11" s="47"/>
      <c r="CO11" s="47"/>
      <c r="CP11" s="47"/>
      <c r="CQ11" s="47"/>
      <c r="CR11" s="47"/>
      <c r="CS11" s="47"/>
      <c r="CT11" s="47"/>
      <c r="CU11" s="47"/>
      <c r="CV11" s="47"/>
      <c r="CW11" s="47"/>
      <c r="CX11" s="47"/>
      <c r="CY11" s="47"/>
      <c r="CZ11" s="47"/>
      <c r="DA11" s="47"/>
      <c r="DB11" s="47"/>
      <c r="DC11" s="47"/>
      <c r="DD11" s="47"/>
      <c r="DE11" s="47"/>
      <c r="DF11" s="47"/>
      <c r="DG11" s="47"/>
      <c r="DH11" s="47"/>
      <c r="DI11" s="47"/>
      <c r="DJ11" s="47"/>
      <c r="DK11" s="47"/>
      <c r="DL11" s="47"/>
      <c r="DM11" s="47"/>
      <c r="DN11" s="47"/>
      <c r="DO11" s="47"/>
      <c r="DP11" s="47"/>
      <c r="DQ11" s="47"/>
      <c r="DR11" s="47"/>
      <c r="DS11" s="47"/>
      <c r="DT11" s="47"/>
      <c r="DU11" s="47"/>
      <c r="DV11" s="47"/>
      <c r="DW11" s="47"/>
      <c r="DX11" s="47"/>
      <c r="DY11" s="47"/>
      <c r="DZ11" s="47"/>
      <c r="EA11" s="47"/>
      <c r="EB11" s="47"/>
      <c r="EC11" s="47"/>
      <c r="ED11" s="47"/>
      <c r="EE11" s="47"/>
      <c r="EF11" s="47"/>
      <c r="EG11" s="47"/>
      <c r="EH11" s="47"/>
      <c r="EI11" s="47"/>
      <c r="EJ11" s="47"/>
      <c r="EK11" s="47"/>
      <c r="EL11" s="47"/>
      <c r="EM11" s="47"/>
      <c r="EN11" s="47"/>
      <c r="EO11" s="47"/>
      <c r="EP11" s="47"/>
      <c r="EQ11" s="47"/>
      <c r="ER11" s="47"/>
      <c r="ES11" s="47"/>
      <c r="ET11" s="47"/>
      <c r="EU11" s="47"/>
      <c r="EV11" s="47"/>
      <c r="EW11" s="47"/>
      <c r="EX11" s="47"/>
      <c r="EY11" s="47"/>
      <c r="EZ11" s="47"/>
      <c r="FA11" s="47"/>
      <c r="FB11" s="47"/>
      <c r="FC11" s="47"/>
      <c r="FD11" s="47"/>
      <c r="FE11" s="47"/>
      <c r="FF11" s="47"/>
      <c r="FG11" s="47"/>
      <c r="FH11" s="47"/>
      <c r="FI11" s="47"/>
      <c r="FJ11" s="47"/>
      <c r="FK11" s="47"/>
      <c r="FL11" s="47"/>
      <c r="FM11" s="47"/>
      <c r="FN11" s="47"/>
      <c r="FO11" s="47"/>
      <c r="FP11" s="47"/>
      <c r="FQ11" s="47"/>
      <c r="FR11" s="47"/>
      <c r="FS11" s="47"/>
      <c r="FT11" s="47"/>
      <c r="FU11" s="47"/>
      <c r="FV11" s="47"/>
      <c r="FW11" s="47"/>
      <c r="FX11" s="47"/>
      <c r="FY11" s="47"/>
      <c r="FZ11" s="47"/>
      <c r="GA11" s="47"/>
      <c r="GB11" s="47"/>
      <c r="GC11" s="47"/>
      <c r="GD11" s="47"/>
      <c r="GE11" s="47"/>
      <c r="GF11" s="47"/>
      <c r="GG11" s="47"/>
      <c r="GH11" s="47"/>
      <c r="GI11" s="47"/>
      <c r="GJ11" s="47"/>
      <c r="GK11" s="47"/>
      <c r="GL11" s="47"/>
      <c r="GM11" s="47"/>
      <c r="GN11" s="47"/>
      <c r="GO11" s="47"/>
      <c r="GP11" s="47"/>
      <c r="GQ11" s="47"/>
      <c r="GR11" s="47"/>
      <c r="GS11" s="47"/>
      <c r="GT11" s="47"/>
      <c r="GU11" s="47"/>
      <c r="GV11" s="47"/>
      <c r="GW11" s="47"/>
      <c r="GX11" s="47"/>
      <c r="GY11" s="47"/>
      <c r="GZ11" s="47"/>
      <c r="HA11" s="47"/>
      <c r="HB11" s="47"/>
      <c r="HC11" s="47"/>
      <c r="HD11" s="47"/>
      <c r="HE11" s="47"/>
      <c r="HF11" s="47"/>
      <c r="HG11" s="47"/>
      <c r="HH11" s="47"/>
      <c r="HI11" s="47"/>
      <c r="HJ11" s="47"/>
      <c r="HK11" s="47"/>
      <c r="HL11" s="47"/>
      <c r="HM11" s="47"/>
      <c r="HN11" s="47"/>
      <c r="HO11" s="47"/>
      <c r="HP11" s="47"/>
      <c r="HQ11" s="47"/>
      <c r="HR11" s="47"/>
      <c r="HS11" s="47"/>
      <c r="HT11" s="47"/>
      <c r="HU11" s="47"/>
      <c r="HV11" s="47"/>
      <c r="HW11" s="47"/>
      <c r="HX11" s="47"/>
      <c r="HY11" s="47"/>
      <c r="HZ11" s="47"/>
      <c r="IA11" s="47"/>
      <c r="IB11" s="47"/>
      <c r="IC11" s="47"/>
      <c r="ID11" s="47"/>
      <c r="IE11" s="47"/>
      <c r="IF11" s="47"/>
      <c r="IG11" s="47"/>
      <c r="IH11" s="47"/>
      <c r="II11" s="47"/>
      <c r="IJ11" s="47"/>
      <c r="IK11" s="47"/>
      <c r="IL11" s="47"/>
      <c r="IM11" s="47"/>
      <c r="IN11" s="47"/>
      <c r="IO11" s="47"/>
      <c r="IP11" s="47"/>
      <c r="IQ11" s="47"/>
      <c r="IR11" s="47"/>
      <c r="IS11" s="47"/>
      <c r="IT11" s="47"/>
      <c r="IU11" s="47"/>
      <c r="IV11" s="47"/>
      <c r="IW11" s="47"/>
    </row>
    <row r="12" customFormat="false" ht="12.75" hidden="false" customHeight="false" outlineLevel="0" collapsed="false">
      <c r="A12" s="44" t="n">
        <v>36861</v>
      </c>
      <c r="B12" s="45" t="n">
        <f aca="false">-VLOOKUP(A12,'Deal Volumes'!$A$3:$J$16,10)</f>
        <v>-69750</v>
      </c>
      <c r="C12" s="44" t="n">
        <f aca="false">+A12</f>
        <v>36861</v>
      </c>
      <c r="D12" s="46" t="n">
        <f aca="false">EOMONTH(C12,0)</f>
        <v>36891</v>
      </c>
      <c r="E12" s="25" t="s">
        <v>20</v>
      </c>
      <c r="F12" s="47" t="s">
        <v>47</v>
      </c>
      <c r="G12" s="48" t="n">
        <v>2.8455</v>
      </c>
      <c r="H12" s="49" t="n">
        <f aca="false">G12</f>
        <v>2.8455</v>
      </c>
      <c r="I12" s="50" t="n">
        <f aca="false">+A12-$B$2</f>
        <v>-9065</v>
      </c>
      <c r="J12" s="47" t="n">
        <f aca="false">+C12-A12</f>
        <v>0</v>
      </c>
      <c r="K12" s="45" t="n">
        <f aca="false">+D12-C12+1</f>
        <v>31</v>
      </c>
      <c r="L12" s="47" t="n">
        <v>1</v>
      </c>
      <c r="M12" s="51" t="n">
        <v>0.066106303623349</v>
      </c>
      <c r="N12" s="52" t="n">
        <f aca="false">+O12</f>
        <v>1.05</v>
      </c>
      <c r="O12" s="53" t="n">
        <v>1.05</v>
      </c>
      <c r="P12" s="52" t="n">
        <v>1</v>
      </c>
      <c r="Q12" s="54" t="n">
        <v>0</v>
      </c>
      <c r="R12" s="47" t="n">
        <f aca="false">IF(F12="Call",1,0)</f>
        <v>1</v>
      </c>
      <c r="S12" s="43" t="n">
        <v>0</v>
      </c>
      <c r="T12" s="55" t="e">
        <f aca="false">OSTRIP(G12,H12,I12,J12,K12,L12,M12,N12,O12,P12,Q12,R12,S12)</f>
        <v>#NAME?</v>
      </c>
      <c r="U12" s="56" t="e">
        <f aca="false">T12*B12</f>
        <v>#NAME?</v>
      </c>
      <c r="V12" s="57"/>
      <c r="W12" s="58"/>
      <c r="X12" s="47"/>
      <c r="Y12" s="47"/>
      <c r="Z12" s="47"/>
      <c r="AA12" s="47"/>
      <c r="AB12" s="47"/>
      <c r="AC12" s="47"/>
      <c r="AD12" s="47"/>
      <c r="AE12" s="47"/>
      <c r="AF12" s="47"/>
      <c r="AG12" s="47"/>
      <c r="AH12" s="47"/>
      <c r="AI12" s="47"/>
      <c r="AJ12" s="47"/>
      <c r="AK12" s="47"/>
      <c r="AL12" s="47"/>
      <c r="AM12" s="47"/>
      <c r="AN12" s="47"/>
      <c r="AO12" s="47"/>
      <c r="AP12" s="47"/>
      <c r="AQ12" s="47"/>
      <c r="AR12" s="47"/>
      <c r="AS12" s="47"/>
      <c r="AT12" s="47"/>
      <c r="AU12" s="47"/>
      <c r="AV12" s="47"/>
      <c r="AW12" s="47"/>
      <c r="AX12" s="47"/>
      <c r="AY12" s="47"/>
      <c r="AZ12" s="47"/>
      <c r="BA12" s="47"/>
      <c r="BB12" s="47"/>
      <c r="BC12" s="47"/>
      <c r="BD12" s="47"/>
      <c r="BE12" s="47"/>
      <c r="BF12" s="47"/>
      <c r="BG12" s="47"/>
      <c r="BH12" s="47"/>
      <c r="BI12" s="47"/>
      <c r="BJ12" s="47"/>
      <c r="BK12" s="47"/>
      <c r="BL12" s="47"/>
      <c r="BM12" s="47"/>
      <c r="BN12" s="47"/>
      <c r="BO12" s="47"/>
      <c r="BP12" s="47"/>
      <c r="BQ12" s="47"/>
      <c r="BR12" s="47"/>
      <c r="BS12" s="47"/>
      <c r="BT12" s="47"/>
      <c r="BU12" s="47"/>
      <c r="BV12" s="47"/>
      <c r="BW12" s="47"/>
      <c r="BX12" s="47"/>
      <c r="BY12" s="47"/>
      <c r="BZ12" s="47"/>
      <c r="CA12" s="47"/>
      <c r="CB12" s="47"/>
      <c r="CC12" s="47"/>
      <c r="CD12" s="47"/>
      <c r="CE12" s="47"/>
      <c r="CF12" s="47"/>
      <c r="CG12" s="47"/>
      <c r="CH12" s="47"/>
      <c r="CI12" s="47"/>
      <c r="CJ12" s="47"/>
      <c r="CK12" s="47"/>
      <c r="CL12" s="47"/>
      <c r="CM12" s="47"/>
      <c r="CN12" s="47"/>
      <c r="CO12" s="47"/>
      <c r="CP12" s="47"/>
      <c r="CQ12" s="47"/>
      <c r="CR12" s="47"/>
      <c r="CS12" s="47"/>
      <c r="CT12" s="47"/>
      <c r="CU12" s="47"/>
      <c r="CV12" s="47"/>
      <c r="CW12" s="47"/>
      <c r="CX12" s="47"/>
      <c r="CY12" s="47"/>
      <c r="CZ12" s="47"/>
      <c r="DA12" s="47"/>
      <c r="DB12" s="47"/>
      <c r="DC12" s="47"/>
      <c r="DD12" s="47"/>
      <c r="DE12" s="47"/>
      <c r="DF12" s="47"/>
      <c r="DG12" s="47"/>
      <c r="DH12" s="47"/>
      <c r="DI12" s="47"/>
      <c r="DJ12" s="47"/>
      <c r="DK12" s="47"/>
      <c r="DL12" s="47"/>
      <c r="DM12" s="47"/>
      <c r="DN12" s="47"/>
      <c r="DO12" s="47"/>
      <c r="DP12" s="47"/>
      <c r="DQ12" s="47"/>
      <c r="DR12" s="47"/>
      <c r="DS12" s="47"/>
      <c r="DT12" s="47"/>
      <c r="DU12" s="47"/>
      <c r="DV12" s="47"/>
      <c r="DW12" s="47"/>
      <c r="DX12" s="47"/>
      <c r="DY12" s="47"/>
      <c r="DZ12" s="47"/>
      <c r="EA12" s="47"/>
      <c r="EB12" s="47"/>
      <c r="EC12" s="47"/>
      <c r="ED12" s="47"/>
      <c r="EE12" s="47"/>
      <c r="EF12" s="47"/>
      <c r="EG12" s="47"/>
      <c r="EH12" s="47"/>
      <c r="EI12" s="47"/>
      <c r="EJ12" s="47"/>
      <c r="EK12" s="47"/>
      <c r="EL12" s="47"/>
      <c r="EM12" s="47"/>
      <c r="EN12" s="47"/>
      <c r="EO12" s="47"/>
      <c r="EP12" s="47"/>
      <c r="EQ12" s="47"/>
      <c r="ER12" s="47"/>
      <c r="ES12" s="47"/>
      <c r="ET12" s="47"/>
      <c r="EU12" s="47"/>
      <c r="EV12" s="47"/>
      <c r="EW12" s="47"/>
      <c r="EX12" s="47"/>
      <c r="EY12" s="47"/>
      <c r="EZ12" s="47"/>
      <c r="FA12" s="47"/>
      <c r="FB12" s="47"/>
      <c r="FC12" s="47"/>
      <c r="FD12" s="47"/>
      <c r="FE12" s="47"/>
      <c r="FF12" s="47"/>
      <c r="FG12" s="47"/>
      <c r="FH12" s="47"/>
      <c r="FI12" s="47"/>
      <c r="FJ12" s="47"/>
      <c r="FK12" s="47"/>
      <c r="FL12" s="47"/>
      <c r="FM12" s="47"/>
      <c r="FN12" s="47"/>
      <c r="FO12" s="47"/>
      <c r="FP12" s="47"/>
      <c r="FQ12" s="47"/>
      <c r="FR12" s="47"/>
      <c r="FS12" s="47"/>
      <c r="FT12" s="47"/>
      <c r="FU12" s="47"/>
      <c r="FV12" s="47"/>
      <c r="FW12" s="47"/>
      <c r="FX12" s="47"/>
      <c r="FY12" s="47"/>
      <c r="FZ12" s="47"/>
      <c r="GA12" s="47"/>
      <c r="GB12" s="47"/>
      <c r="GC12" s="47"/>
      <c r="GD12" s="47"/>
      <c r="GE12" s="47"/>
      <c r="GF12" s="47"/>
      <c r="GG12" s="47"/>
      <c r="GH12" s="47"/>
      <c r="GI12" s="47"/>
      <c r="GJ12" s="47"/>
      <c r="GK12" s="47"/>
      <c r="GL12" s="47"/>
      <c r="GM12" s="47"/>
      <c r="GN12" s="47"/>
      <c r="GO12" s="47"/>
      <c r="GP12" s="47"/>
      <c r="GQ12" s="47"/>
      <c r="GR12" s="47"/>
      <c r="GS12" s="47"/>
      <c r="GT12" s="47"/>
      <c r="GU12" s="47"/>
      <c r="GV12" s="47"/>
      <c r="GW12" s="47"/>
      <c r="GX12" s="47"/>
      <c r="GY12" s="47"/>
      <c r="GZ12" s="47"/>
      <c r="HA12" s="47"/>
      <c r="HB12" s="47"/>
      <c r="HC12" s="47"/>
      <c r="HD12" s="47"/>
      <c r="HE12" s="47"/>
      <c r="HF12" s="47"/>
      <c r="HG12" s="47"/>
      <c r="HH12" s="47"/>
      <c r="HI12" s="47"/>
      <c r="HJ12" s="47"/>
      <c r="HK12" s="47"/>
      <c r="HL12" s="47"/>
      <c r="HM12" s="47"/>
      <c r="HN12" s="47"/>
      <c r="HO12" s="47"/>
      <c r="HP12" s="47"/>
      <c r="HQ12" s="47"/>
      <c r="HR12" s="47"/>
      <c r="HS12" s="47"/>
      <c r="HT12" s="47"/>
      <c r="HU12" s="47"/>
      <c r="HV12" s="47"/>
      <c r="HW12" s="47"/>
      <c r="HX12" s="47"/>
      <c r="HY12" s="47"/>
      <c r="HZ12" s="47"/>
      <c r="IA12" s="47"/>
      <c r="IB12" s="47"/>
      <c r="IC12" s="47"/>
      <c r="ID12" s="47"/>
      <c r="IE12" s="47"/>
      <c r="IF12" s="47"/>
      <c r="IG12" s="47"/>
      <c r="IH12" s="47"/>
      <c r="II12" s="47"/>
      <c r="IJ12" s="47"/>
      <c r="IK12" s="47"/>
      <c r="IL12" s="47"/>
      <c r="IM12" s="47"/>
      <c r="IN12" s="47"/>
      <c r="IO12" s="47"/>
      <c r="IP12" s="47"/>
      <c r="IQ12" s="47"/>
      <c r="IR12" s="47"/>
      <c r="IS12" s="47"/>
      <c r="IT12" s="47"/>
      <c r="IU12" s="47"/>
      <c r="IV12" s="47"/>
      <c r="IW12" s="47"/>
    </row>
    <row r="13" customFormat="false" ht="12.75" hidden="false" customHeight="false" outlineLevel="0" collapsed="false">
      <c r="A13" s="44" t="n">
        <v>36892</v>
      </c>
      <c r="B13" s="45" t="n">
        <f aca="false">-VLOOKUP(A13,'Deal Volumes'!$A$3:$J$16,10)</f>
        <v>-69750</v>
      </c>
      <c r="C13" s="44" t="n">
        <f aca="false">+A13</f>
        <v>36892</v>
      </c>
      <c r="D13" s="46" t="n">
        <f aca="false">EOMONTH(C13,0)</f>
        <v>36922</v>
      </c>
      <c r="E13" s="25" t="s">
        <v>20</v>
      </c>
      <c r="F13" s="47" t="s">
        <v>47</v>
      </c>
      <c r="G13" s="48" t="n">
        <v>2.868</v>
      </c>
      <c r="H13" s="49" t="n">
        <f aca="false">G13</f>
        <v>2.868</v>
      </c>
      <c r="I13" s="50" t="n">
        <f aca="false">+A13-$B$2</f>
        <v>-9034</v>
      </c>
      <c r="J13" s="47" t="n">
        <f aca="false">+C13-A13</f>
        <v>0</v>
      </c>
      <c r="K13" s="45" t="n">
        <f aca="false">+D13-C13+1</f>
        <v>31</v>
      </c>
      <c r="L13" s="47" t="n">
        <v>1</v>
      </c>
      <c r="M13" s="51" t="n">
        <v>0.066621997418108</v>
      </c>
      <c r="N13" s="52" t="n">
        <f aca="false">+O13</f>
        <v>1.05</v>
      </c>
      <c r="O13" s="53" t="n">
        <v>1.05</v>
      </c>
      <c r="P13" s="52" t="n">
        <v>1</v>
      </c>
      <c r="Q13" s="54" t="n">
        <v>0</v>
      </c>
      <c r="R13" s="47" t="n">
        <f aca="false">IF(F13="Call",1,0)</f>
        <v>1</v>
      </c>
      <c r="S13" s="43" t="n">
        <v>0</v>
      </c>
      <c r="T13" s="55" t="e">
        <f aca="false">OSTRIP(G13,H13,I13,J13,K13,L13,M13,N13,O13,P13,Q13,R13,S13)</f>
        <v>#NAME?</v>
      </c>
      <c r="U13" s="56" t="e">
        <f aca="false">T13*B13</f>
        <v>#NAME?</v>
      </c>
      <c r="V13" s="57"/>
      <c r="W13" s="58"/>
      <c r="X13" s="47"/>
      <c r="Y13" s="47"/>
      <c r="Z13" s="47"/>
      <c r="AA13" s="47"/>
      <c r="AB13" s="47"/>
      <c r="AC13" s="47"/>
      <c r="AD13" s="47"/>
      <c r="AE13" s="47"/>
      <c r="AF13" s="47"/>
      <c r="AG13" s="47"/>
      <c r="AH13" s="47"/>
      <c r="AI13" s="47"/>
      <c r="AJ13" s="47"/>
      <c r="AK13" s="47"/>
      <c r="AL13" s="47"/>
      <c r="AM13" s="47"/>
      <c r="AN13" s="47"/>
      <c r="AO13" s="47"/>
      <c r="AP13" s="47"/>
      <c r="AQ13" s="47"/>
      <c r="AR13" s="47"/>
      <c r="AS13" s="47"/>
      <c r="AT13" s="47"/>
      <c r="AU13" s="47"/>
      <c r="AV13" s="47"/>
      <c r="AW13" s="47"/>
      <c r="AX13" s="47"/>
      <c r="AY13" s="47"/>
      <c r="AZ13" s="47"/>
      <c r="BA13" s="47"/>
      <c r="BB13" s="47"/>
      <c r="BC13" s="47"/>
      <c r="BD13" s="47"/>
      <c r="BE13" s="47"/>
      <c r="BF13" s="47"/>
      <c r="BG13" s="47"/>
      <c r="BH13" s="47"/>
      <c r="BI13" s="47"/>
      <c r="BJ13" s="47"/>
      <c r="BK13" s="47"/>
      <c r="BL13" s="47"/>
      <c r="BM13" s="47"/>
      <c r="BN13" s="47"/>
      <c r="BO13" s="47"/>
      <c r="BP13" s="47"/>
      <c r="BQ13" s="47"/>
      <c r="BR13" s="47"/>
      <c r="BS13" s="47"/>
      <c r="BT13" s="47"/>
      <c r="BU13" s="47"/>
      <c r="BV13" s="47"/>
      <c r="BW13" s="47"/>
      <c r="BX13" s="47"/>
      <c r="BY13" s="47"/>
      <c r="BZ13" s="47"/>
      <c r="CA13" s="47"/>
      <c r="CB13" s="47"/>
      <c r="CC13" s="47"/>
      <c r="CD13" s="47"/>
      <c r="CE13" s="47"/>
      <c r="CF13" s="47"/>
      <c r="CG13" s="47"/>
      <c r="CH13" s="47"/>
      <c r="CI13" s="47"/>
      <c r="CJ13" s="47"/>
      <c r="CK13" s="47"/>
      <c r="CL13" s="47"/>
      <c r="CM13" s="47"/>
      <c r="CN13" s="47"/>
      <c r="CO13" s="47"/>
      <c r="CP13" s="47"/>
      <c r="CQ13" s="47"/>
      <c r="CR13" s="47"/>
      <c r="CS13" s="47"/>
      <c r="CT13" s="47"/>
      <c r="CU13" s="47"/>
      <c r="CV13" s="47"/>
      <c r="CW13" s="47"/>
      <c r="CX13" s="47"/>
      <c r="CY13" s="47"/>
      <c r="CZ13" s="47"/>
      <c r="DA13" s="47"/>
      <c r="DB13" s="47"/>
      <c r="DC13" s="47"/>
      <c r="DD13" s="47"/>
      <c r="DE13" s="47"/>
      <c r="DF13" s="47"/>
      <c r="DG13" s="47"/>
      <c r="DH13" s="47"/>
      <c r="DI13" s="47"/>
      <c r="DJ13" s="47"/>
      <c r="DK13" s="47"/>
      <c r="DL13" s="47"/>
      <c r="DM13" s="47"/>
      <c r="DN13" s="47"/>
      <c r="DO13" s="47"/>
      <c r="DP13" s="47"/>
      <c r="DQ13" s="47"/>
      <c r="DR13" s="47"/>
      <c r="DS13" s="47"/>
      <c r="DT13" s="47"/>
      <c r="DU13" s="47"/>
      <c r="DV13" s="47"/>
      <c r="DW13" s="47"/>
      <c r="DX13" s="47"/>
      <c r="DY13" s="47"/>
      <c r="DZ13" s="47"/>
      <c r="EA13" s="47"/>
      <c r="EB13" s="47"/>
      <c r="EC13" s="47"/>
      <c r="ED13" s="47"/>
      <c r="EE13" s="47"/>
      <c r="EF13" s="47"/>
      <c r="EG13" s="47"/>
      <c r="EH13" s="47"/>
      <c r="EI13" s="47"/>
      <c r="EJ13" s="47"/>
      <c r="EK13" s="47"/>
      <c r="EL13" s="47"/>
      <c r="EM13" s="47"/>
      <c r="EN13" s="47"/>
      <c r="EO13" s="47"/>
      <c r="EP13" s="47"/>
      <c r="EQ13" s="47"/>
      <c r="ER13" s="47"/>
      <c r="ES13" s="47"/>
      <c r="ET13" s="47"/>
      <c r="EU13" s="47"/>
      <c r="EV13" s="47"/>
      <c r="EW13" s="47"/>
      <c r="EX13" s="47"/>
      <c r="EY13" s="47"/>
      <c r="EZ13" s="47"/>
      <c r="FA13" s="47"/>
      <c r="FB13" s="47"/>
      <c r="FC13" s="47"/>
      <c r="FD13" s="47"/>
      <c r="FE13" s="47"/>
      <c r="FF13" s="47"/>
      <c r="FG13" s="47"/>
      <c r="FH13" s="47"/>
      <c r="FI13" s="47"/>
      <c r="FJ13" s="47"/>
      <c r="FK13" s="47"/>
      <c r="FL13" s="47"/>
      <c r="FM13" s="47"/>
      <c r="FN13" s="47"/>
      <c r="FO13" s="47"/>
      <c r="FP13" s="47"/>
      <c r="FQ13" s="47"/>
      <c r="FR13" s="47"/>
      <c r="FS13" s="47"/>
      <c r="FT13" s="47"/>
      <c r="FU13" s="47"/>
      <c r="FV13" s="47"/>
      <c r="FW13" s="47"/>
      <c r="FX13" s="47"/>
      <c r="FY13" s="47"/>
      <c r="FZ13" s="47"/>
      <c r="GA13" s="47"/>
      <c r="GB13" s="47"/>
      <c r="GC13" s="47"/>
      <c r="GD13" s="47"/>
      <c r="GE13" s="47"/>
      <c r="GF13" s="47"/>
      <c r="GG13" s="47"/>
      <c r="GH13" s="47"/>
      <c r="GI13" s="47"/>
      <c r="GJ13" s="47"/>
      <c r="GK13" s="47"/>
      <c r="GL13" s="47"/>
      <c r="GM13" s="47"/>
      <c r="GN13" s="47"/>
      <c r="GO13" s="47"/>
      <c r="GP13" s="47"/>
      <c r="GQ13" s="47"/>
      <c r="GR13" s="47"/>
      <c r="GS13" s="47"/>
      <c r="GT13" s="47"/>
      <c r="GU13" s="47"/>
      <c r="GV13" s="47"/>
      <c r="GW13" s="47"/>
      <c r="GX13" s="47"/>
      <c r="GY13" s="47"/>
      <c r="GZ13" s="47"/>
      <c r="HA13" s="47"/>
      <c r="HB13" s="47"/>
      <c r="HC13" s="47"/>
      <c r="HD13" s="47"/>
      <c r="HE13" s="47"/>
      <c r="HF13" s="47"/>
      <c r="HG13" s="47"/>
      <c r="HH13" s="47"/>
      <c r="HI13" s="47"/>
      <c r="HJ13" s="47"/>
      <c r="HK13" s="47"/>
      <c r="HL13" s="47"/>
      <c r="HM13" s="47"/>
      <c r="HN13" s="47"/>
      <c r="HO13" s="47"/>
      <c r="HP13" s="47"/>
      <c r="HQ13" s="47"/>
      <c r="HR13" s="47"/>
      <c r="HS13" s="47"/>
      <c r="HT13" s="47"/>
      <c r="HU13" s="47"/>
      <c r="HV13" s="47"/>
      <c r="HW13" s="47"/>
      <c r="HX13" s="47"/>
      <c r="HY13" s="47"/>
      <c r="HZ13" s="47"/>
      <c r="IA13" s="47"/>
      <c r="IB13" s="47"/>
      <c r="IC13" s="47"/>
      <c r="ID13" s="47"/>
      <c r="IE13" s="47"/>
      <c r="IF13" s="47"/>
      <c r="IG13" s="47"/>
      <c r="IH13" s="47"/>
      <c r="II13" s="47"/>
      <c r="IJ13" s="47"/>
      <c r="IK13" s="47"/>
      <c r="IL13" s="47"/>
      <c r="IM13" s="47"/>
      <c r="IN13" s="47"/>
      <c r="IO13" s="47"/>
      <c r="IP13" s="47"/>
      <c r="IQ13" s="47"/>
      <c r="IR13" s="47"/>
      <c r="IS13" s="47"/>
      <c r="IT13" s="47"/>
      <c r="IU13" s="47"/>
      <c r="IV13" s="47"/>
      <c r="IW13" s="47"/>
    </row>
    <row r="14" customFormat="false" ht="12.75" hidden="false" customHeight="false" outlineLevel="0" collapsed="false">
      <c r="A14" s="44" t="n">
        <v>36923</v>
      </c>
      <c r="B14" s="45" t="n">
        <f aca="false">-VLOOKUP(A14,'Deal Volumes'!$A$3:$J$16,10)</f>
        <v>-63000</v>
      </c>
      <c r="C14" s="44" t="n">
        <f aca="false">+A14</f>
        <v>36923</v>
      </c>
      <c r="D14" s="46" t="n">
        <f aca="false">EOMONTH(C14,0)</f>
        <v>36950</v>
      </c>
      <c r="E14" s="25" t="s">
        <v>20</v>
      </c>
      <c r="F14" s="47" t="s">
        <v>47</v>
      </c>
      <c r="G14" s="48" t="n">
        <v>2.7335</v>
      </c>
      <c r="H14" s="49" t="n">
        <f aca="false">G14</f>
        <v>2.7335</v>
      </c>
      <c r="I14" s="50" t="n">
        <f aca="false">+A14-$B$2</f>
        <v>-9003</v>
      </c>
      <c r="J14" s="47" t="n">
        <f aca="false">+C14-A14</f>
        <v>0</v>
      </c>
      <c r="K14" s="45" t="n">
        <f aca="false">+D14-C14+1</f>
        <v>28</v>
      </c>
      <c r="L14" s="47" t="n">
        <v>1</v>
      </c>
      <c r="M14" s="51" t="n">
        <v>0.067094813788782</v>
      </c>
      <c r="N14" s="52" t="n">
        <f aca="false">+O14</f>
        <v>1.05</v>
      </c>
      <c r="O14" s="53" t="n">
        <v>1.05</v>
      </c>
      <c r="P14" s="52" t="n">
        <v>1</v>
      </c>
      <c r="Q14" s="54" t="n">
        <v>0</v>
      </c>
      <c r="R14" s="47" t="n">
        <f aca="false">IF(F14="Call",1,0)</f>
        <v>1</v>
      </c>
      <c r="S14" s="43" t="n">
        <v>0</v>
      </c>
      <c r="T14" s="55" t="e">
        <f aca="false">OSTRIP(G14,H14,I14,J14,K14,L14,M14,N14,O14,P14,Q14,R14,S14)</f>
        <v>#NAME?</v>
      </c>
      <c r="U14" s="56" t="e">
        <f aca="false">T14*B14</f>
        <v>#NAME?</v>
      </c>
      <c r="V14" s="57"/>
      <c r="W14" s="58"/>
      <c r="X14" s="47"/>
      <c r="Y14" s="47"/>
      <c r="Z14" s="47"/>
      <c r="AA14" s="47"/>
      <c r="AB14" s="47"/>
      <c r="AC14" s="47"/>
      <c r="AD14" s="47"/>
      <c r="AE14" s="47"/>
      <c r="AF14" s="47"/>
      <c r="AG14" s="47"/>
      <c r="AH14" s="47"/>
      <c r="AI14" s="47"/>
      <c r="AJ14" s="47"/>
      <c r="AK14" s="47"/>
      <c r="AL14" s="47"/>
      <c r="AM14" s="47"/>
      <c r="AN14" s="47"/>
      <c r="AO14" s="47"/>
      <c r="AP14" s="47"/>
      <c r="AQ14" s="47"/>
      <c r="AR14" s="47"/>
      <c r="AS14" s="47"/>
      <c r="AT14" s="47"/>
      <c r="AU14" s="47"/>
      <c r="AV14" s="47"/>
      <c r="AW14" s="47"/>
      <c r="AX14" s="47"/>
      <c r="AY14" s="47"/>
      <c r="AZ14" s="47"/>
      <c r="BA14" s="47"/>
      <c r="BB14" s="47"/>
      <c r="BC14" s="47"/>
      <c r="BD14" s="47"/>
      <c r="BE14" s="47"/>
      <c r="BF14" s="47"/>
      <c r="BG14" s="47"/>
      <c r="BH14" s="47"/>
      <c r="BI14" s="47"/>
      <c r="BJ14" s="47"/>
      <c r="BK14" s="47"/>
      <c r="BL14" s="47"/>
      <c r="BM14" s="47"/>
      <c r="BN14" s="47"/>
      <c r="BO14" s="47"/>
      <c r="BP14" s="47"/>
      <c r="BQ14" s="47"/>
      <c r="BR14" s="47"/>
      <c r="BS14" s="47"/>
      <c r="BT14" s="47"/>
      <c r="BU14" s="47"/>
      <c r="BV14" s="47"/>
      <c r="BW14" s="47"/>
      <c r="BX14" s="47"/>
      <c r="BY14" s="47"/>
      <c r="BZ14" s="47"/>
      <c r="CA14" s="47"/>
      <c r="CB14" s="47"/>
      <c r="CC14" s="47"/>
      <c r="CD14" s="47"/>
      <c r="CE14" s="47"/>
      <c r="CF14" s="47"/>
      <c r="CG14" s="47"/>
      <c r="CH14" s="47"/>
      <c r="CI14" s="47"/>
      <c r="CJ14" s="47"/>
      <c r="CK14" s="47"/>
      <c r="CL14" s="47"/>
      <c r="CM14" s="47"/>
      <c r="CN14" s="47"/>
      <c r="CO14" s="47"/>
      <c r="CP14" s="47"/>
      <c r="CQ14" s="47"/>
      <c r="CR14" s="47"/>
      <c r="CS14" s="47"/>
      <c r="CT14" s="47"/>
      <c r="CU14" s="47"/>
      <c r="CV14" s="47"/>
      <c r="CW14" s="47"/>
      <c r="CX14" s="47"/>
      <c r="CY14" s="47"/>
      <c r="CZ14" s="47"/>
      <c r="DA14" s="47"/>
      <c r="DB14" s="47"/>
      <c r="DC14" s="47"/>
      <c r="DD14" s="47"/>
      <c r="DE14" s="47"/>
      <c r="DF14" s="47"/>
      <c r="DG14" s="47"/>
      <c r="DH14" s="47"/>
      <c r="DI14" s="47"/>
      <c r="DJ14" s="47"/>
      <c r="DK14" s="47"/>
      <c r="DL14" s="47"/>
      <c r="DM14" s="47"/>
      <c r="DN14" s="47"/>
      <c r="DO14" s="47"/>
      <c r="DP14" s="47"/>
      <c r="DQ14" s="47"/>
      <c r="DR14" s="47"/>
      <c r="DS14" s="47"/>
      <c r="DT14" s="47"/>
      <c r="DU14" s="47"/>
      <c r="DV14" s="47"/>
      <c r="DW14" s="47"/>
      <c r="DX14" s="47"/>
      <c r="DY14" s="47"/>
      <c r="DZ14" s="47"/>
      <c r="EA14" s="47"/>
      <c r="EB14" s="47"/>
      <c r="EC14" s="47"/>
      <c r="ED14" s="47"/>
      <c r="EE14" s="47"/>
      <c r="EF14" s="47"/>
      <c r="EG14" s="47"/>
      <c r="EH14" s="47"/>
      <c r="EI14" s="47"/>
      <c r="EJ14" s="47"/>
      <c r="EK14" s="47"/>
      <c r="EL14" s="47"/>
      <c r="EM14" s="47"/>
      <c r="EN14" s="47"/>
      <c r="EO14" s="47"/>
      <c r="EP14" s="47"/>
      <c r="EQ14" s="47"/>
      <c r="ER14" s="47"/>
      <c r="ES14" s="47"/>
      <c r="ET14" s="47"/>
      <c r="EU14" s="47"/>
      <c r="EV14" s="47"/>
      <c r="EW14" s="47"/>
      <c r="EX14" s="47"/>
      <c r="EY14" s="47"/>
      <c r="EZ14" s="47"/>
      <c r="FA14" s="47"/>
      <c r="FB14" s="47"/>
      <c r="FC14" s="47"/>
      <c r="FD14" s="47"/>
      <c r="FE14" s="47"/>
      <c r="FF14" s="47"/>
      <c r="FG14" s="47"/>
      <c r="FH14" s="47"/>
      <c r="FI14" s="47"/>
      <c r="FJ14" s="47"/>
      <c r="FK14" s="47"/>
      <c r="FL14" s="47"/>
      <c r="FM14" s="47"/>
      <c r="FN14" s="47"/>
      <c r="FO14" s="47"/>
      <c r="FP14" s="47"/>
      <c r="FQ14" s="47"/>
      <c r="FR14" s="47"/>
      <c r="FS14" s="47"/>
      <c r="FT14" s="47"/>
      <c r="FU14" s="47"/>
      <c r="FV14" s="47"/>
      <c r="FW14" s="47"/>
      <c r="FX14" s="47"/>
      <c r="FY14" s="47"/>
      <c r="FZ14" s="47"/>
      <c r="GA14" s="47"/>
      <c r="GB14" s="47"/>
      <c r="GC14" s="47"/>
      <c r="GD14" s="47"/>
      <c r="GE14" s="47"/>
      <c r="GF14" s="47"/>
      <c r="GG14" s="47"/>
      <c r="GH14" s="47"/>
      <c r="GI14" s="47"/>
      <c r="GJ14" s="47"/>
      <c r="GK14" s="47"/>
      <c r="GL14" s="47"/>
      <c r="GM14" s="47"/>
      <c r="GN14" s="47"/>
      <c r="GO14" s="47"/>
      <c r="GP14" s="47"/>
      <c r="GQ14" s="47"/>
      <c r="GR14" s="47"/>
      <c r="GS14" s="47"/>
      <c r="GT14" s="47"/>
      <c r="GU14" s="47"/>
      <c r="GV14" s="47"/>
      <c r="GW14" s="47"/>
      <c r="GX14" s="47"/>
      <c r="GY14" s="47"/>
      <c r="GZ14" s="47"/>
      <c r="HA14" s="47"/>
      <c r="HB14" s="47"/>
      <c r="HC14" s="47"/>
      <c r="HD14" s="47"/>
      <c r="HE14" s="47"/>
      <c r="HF14" s="47"/>
      <c r="HG14" s="47"/>
      <c r="HH14" s="47"/>
      <c r="HI14" s="47"/>
      <c r="HJ14" s="47"/>
      <c r="HK14" s="47"/>
      <c r="HL14" s="47"/>
      <c r="HM14" s="47"/>
      <c r="HN14" s="47"/>
      <c r="HO14" s="47"/>
      <c r="HP14" s="47"/>
      <c r="HQ14" s="47"/>
      <c r="HR14" s="47"/>
      <c r="HS14" s="47"/>
      <c r="HT14" s="47"/>
      <c r="HU14" s="47"/>
      <c r="HV14" s="47"/>
      <c r="HW14" s="47"/>
      <c r="HX14" s="47"/>
      <c r="HY14" s="47"/>
      <c r="HZ14" s="47"/>
      <c r="IA14" s="47"/>
      <c r="IB14" s="47"/>
      <c r="IC14" s="47"/>
      <c r="ID14" s="47"/>
      <c r="IE14" s="47"/>
      <c r="IF14" s="47"/>
      <c r="IG14" s="47"/>
      <c r="IH14" s="47"/>
      <c r="II14" s="47"/>
      <c r="IJ14" s="47"/>
      <c r="IK14" s="47"/>
      <c r="IL14" s="47"/>
      <c r="IM14" s="47"/>
      <c r="IN14" s="47"/>
      <c r="IO14" s="47"/>
      <c r="IP14" s="47"/>
      <c r="IQ14" s="47"/>
      <c r="IR14" s="47"/>
      <c r="IS14" s="47"/>
      <c r="IT14" s="47"/>
      <c r="IU14" s="47"/>
      <c r="IV14" s="47"/>
      <c r="IW14" s="47"/>
    </row>
    <row r="15" customFormat="false" ht="12.75" hidden="false" customHeight="false" outlineLevel="0" collapsed="false">
      <c r="A15" s="44" t="n">
        <v>36951</v>
      </c>
      <c r="B15" s="45" t="n">
        <f aca="false">-VLOOKUP(A15,'Deal Volumes'!$A$3:$J$16,10)</f>
        <v>-69750</v>
      </c>
      <c r="C15" s="44" t="n">
        <f aca="false">+A15</f>
        <v>36951</v>
      </c>
      <c r="D15" s="46" t="n">
        <f aca="false">EOMONTH(C15,0)</f>
        <v>36981</v>
      </c>
      <c r="E15" s="25" t="s">
        <v>20</v>
      </c>
      <c r="F15" s="47" t="s">
        <v>47</v>
      </c>
      <c r="G15" s="48" t="n">
        <v>2.613</v>
      </c>
      <c r="H15" s="49" t="n">
        <f aca="false">G15</f>
        <v>2.613</v>
      </c>
      <c r="I15" s="50" t="n">
        <f aca="false">+A15-$B$2</f>
        <v>-8975</v>
      </c>
      <c r="J15" s="47" t="n">
        <f aca="false">+C15-A15</f>
        <v>0</v>
      </c>
      <c r="K15" s="45" t="n">
        <f aca="false">+D15-C15+1</f>
        <v>31</v>
      </c>
      <c r="L15" s="47" t="n">
        <v>1</v>
      </c>
      <c r="M15" s="51" t="n">
        <v>0.067521873800113</v>
      </c>
      <c r="N15" s="52" t="n">
        <f aca="false">+O15</f>
        <v>0.8</v>
      </c>
      <c r="O15" s="53" t="n">
        <v>0.8</v>
      </c>
      <c r="P15" s="52" t="n">
        <v>1</v>
      </c>
      <c r="Q15" s="54" t="n">
        <v>0</v>
      </c>
      <c r="R15" s="47" t="n">
        <f aca="false">IF(F15="Call",1,0)</f>
        <v>1</v>
      </c>
      <c r="S15" s="43" t="n">
        <v>0</v>
      </c>
      <c r="T15" s="55" t="e">
        <f aca="false">OSTRIP(G15,H15,I15,J15,K15,L15,M15,N15,O15,P15,Q15,R15,S15)</f>
        <v>#NAME?</v>
      </c>
      <c r="U15" s="56" t="e">
        <f aca="false">T15*B15</f>
        <v>#NAME?</v>
      </c>
      <c r="V15" s="57"/>
      <c r="W15" s="58"/>
      <c r="X15" s="47"/>
      <c r="Y15" s="47"/>
      <c r="Z15" s="47"/>
      <c r="AA15" s="47"/>
      <c r="AB15" s="47"/>
      <c r="AC15" s="47"/>
      <c r="AD15" s="47"/>
      <c r="AE15" s="47"/>
      <c r="AF15" s="47"/>
      <c r="AG15" s="47"/>
      <c r="AH15" s="47"/>
      <c r="AI15" s="47"/>
      <c r="AJ15" s="47"/>
      <c r="AK15" s="47"/>
      <c r="AL15" s="47"/>
      <c r="AM15" s="47"/>
      <c r="AN15" s="47"/>
      <c r="AO15" s="47"/>
      <c r="AP15" s="47"/>
      <c r="AQ15" s="47"/>
      <c r="AR15" s="47"/>
      <c r="AS15" s="47"/>
      <c r="AT15" s="47"/>
      <c r="AU15" s="47"/>
      <c r="AV15" s="47"/>
      <c r="AW15" s="47"/>
      <c r="AX15" s="47"/>
      <c r="AY15" s="47"/>
      <c r="AZ15" s="47"/>
      <c r="BA15" s="47"/>
      <c r="BB15" s="47"/>
      <c r="BC15" s="47"/>
      <c r="BD15" s="47"/>
      <c r="BE15" s="47"/>
      <c r="BF15" s="47"/>
      <c r="BG15" s="47"/>
      <c r="BH15" s="47"/>
      <c r="BI15" s="47"/>
      <c r="BJ15" s="47"/>
      <c r="BK15" s="47"/>
      <c r="BL15" s="47"/>
      <c r="BM15" s="47"/>
      <c r="BN15" s="47"/>
      <c r="BO15" s="47"/>
      <c r="BP15" s="47"/>
      <c r="BQ15" s="47"/>
      <c r="BR15" s="47"/>
      <c r="BS15" s="47"/>
      <c r="BT15" s="47"/>
      <c r="BU15" s="47"/>
      <c r="BV15" s="47"/>
      <c r="BW15" s="47"/>
      <c r="BX15" s="47"/>
      <c r="BY15" s="47"/>
      <c r="BZ15" s="47"/>
      <c r="CA15" s="47"/>
      <c r="CB15" s="47"/>
      <c r="CC15" s="47"/>
      <c r="CD15" s="47"/>
      <c r="CE15" s="47"/>
      <c r="CF15" s="47"/>
      <c r="CG15" s="47"/>
      <c r="CH15" s="47"/>
      <c r="CI15" s="47"/>
      <c r="CJ15" s="47"/>
      <c r="CK15" s="47"/>
      <c r="CL15" s="47"/>
      <c r="CM15" s="47"/>
      <c r="CN15" s="47"/>
      <c r="CO15" s="47"/>
      <c r="CP15" s="47"/>
      <c r="CQ15" s="47"/>
      <c r="CR15" s="47"/>
      <c r="CS15" s="47"/>
      <c r="CT15" s="47"/>
      <c r="CU15" s="47"/>
      <c r="CV15" s="47"/>
      <c r="CW15" s="47"/>
      <c r="CX15" s="47"/>
      <c r="CY15" s="47"/>
      <c r="CZ15" s="47"/>
      <c r="DA15" s="47"/>
      <c r="DB15" s="47"/>
      <c r="DC15" s="47"/>
      <c r="DD15" s="47"/>
      <c r="DE15" s="47"/>
      <c r="DF15" s="47"/>
      <c r="DG15" s="47"/>
      <c r="DH15" s="47"/>
      <c r="DI15" s="47"/>
      <c r="DJ15" s="47"/>
      <c r="DK15" s="47"/>
      <c r="DL15" s="47"/>
      <c r="DM15" s="47"/>
      <c r="DN15" s="47"/>
      <c r="DO15" s="47"/>
      <c r="DP15" s="47"/>
      <c r="DQ15" s="47"/>
      <c r="DR15" s="47"/>
      <c r="DS15" s="47"/>
      <c r="DT15" s="47"/>
      <c r="DU15" s="47"/>
      <c r="DV15" s="47"/>
      <c r="DW15" s="47"/>
      <c r="DX15" s="47"/>
      <c r="DY15" s="47"/>
      <c r="DZ15" s="47"/>
      <c r="EA15" s="47"/>
      <c r="EB15" s="47"/>
      <c r="EC15" s="47"/>
      <c r="ED15" s="47"/>
      <c r="EE15" s="47"/>
      <c r="EF15" s="47"/>
      <c r="EG15" s="47"/>
      <c r="EH15" s="47"/>
      <c r="EI15" s="47"/>
      <c r="EJ15" s="47"/>
      <c r="EK15" s="47"/>
      <c r="EL15" s="47"/>
      <c r="EM15" s="47"/>
      <c r="EN15" s="47"/>
      <c r="EO15" s="47"/>
      <c r="EP15" s="47"/>
      <c r="EQ15" s="47"/>
      <c r="ER15" s="47"/>
      <c r="ES15" s="47"/>
      <c r="ET15" s="47"/>
      <c r="EU15" s="47"/>
      <c r="EV15" s="47"/>
      <c r="EW15" s="47"/>
      <c r="EX15" s="47"/>
      <c r="EY15" s="47"/>
      <c r="EZ15" s="47"/>
      <c r="FA15" s="47"/>
      <c r="FB15" s="47"/>
      <c r="FC15" s="47"/>
      <c r="FD15" s="47"/>
      <c r="FE15" s="47"/>
      <c r="FF15" s="47"/>
      <c r="FG15" s="47"/>
      <c r="FH15" s="47"/>
      <c r="FI15" s="47"/>
      <c r="FJ15" s="47"/>
      <c r="FK15" s="47"/>
      <c r="FL15" s="47"/>
      <c r="FM15" s="47"/>
      <c r="FN15" s="47"/>
      <c r="FO15" s="47"/>
      <c r="FP15" s="47"/>
      <c r="FQ15" s="47"/>
      <c r="FR15" s="47"/>
      <c r="FS15" s="47"/>
      <c r="FT15" s="47"/>
      <c r="FU15" s="47"/>
      <c r="FV15" s="47"/>
      <c r="FW15" s="47"/>
      <c r="FX15" s="47"/>
      <c r="FY15" s="47"/>
      <c r="FZ15" s="47"/>
      <c r="GA15" s="47"/>
      <c r="GB15" s="47"/>
      <c r="GC15" s="47"/>
      <c r="GD15" s="47"/>
      <c r="GE15" s="47"/>
      <c r="GF15" s="47"/>
      <c r="GG15" s="47"/>
      <c r="GH15" s="47"/>
      <c r="GI15" s="47"/>
      <c r="GJ15" s="47"/>
      <c r="GK15" s="47"/>
      <c r="GL15" s="47"/>
      <c r="GM15" s="47"/>
      <c r="GN15" s="47"/>
      <c r="GO15" s="47"/>
      <c r="GP15" s="47"/>
      <c r="GQ15" s="47"/>
      <c r="GR15" s="47"/>
      <c r="GS15" s="47"/>
      <c r="GT15" s="47"/>
      <c r="GU15" s="47"/>
      <c r="GV15" s="47"/>
      <c r="GW15" s="47"/>
      <c r="GX15" s="47"/>
      <c r="GY15" s="47"/>
      <c r="GZ15" s="47"/>
      <c r="HA15" s="47"/>
      <c r="HB15" s="47"/>
      <c r="HC15" s="47"/>
      <c r="HD15" s="47"/>
      <c r="HE15" s="47"/>
      <c r="HF15" s="47"/>
      <c r="HG15" s="47"/>
      <c r="HH15" s="47"/>
      <c r="HI15" s="47"/>
      <c r="HJ15" s="47"/>
      <c r="HK15" s="47"/>
      <c r="HL15" s="47"/>
      <c r="HM15" s="47"/>
      <c r="HN15" s="47"/>
      <c r="HO15" s="47"/>
      <c r="HP15" s="47"/>
      <c r="HQ15" s="47"/>
      <c r="HR15" s="47"/>
      <c r="HS15" s="47"/>
      <c r="HT15" s="47"/>
      <c r="HU15" s="47"/>
      <c r="HV15" s="47"/>
      <c r="HW15" s="47"/>
      <c r="HX15" s="47"/>
      <c r="HY15" s="47"/>
      <c r="HZ15" s="47"/>
      <c r="IA15" s="47"/>
      <c r="IB15" s="47"/>
      <c r="IC15" s="47"/>
      <c r="ID15" s="47"/>
      <c r="IE15" s="47"/>
      <c r="IF15" s="47"/>
      <c r="IG15" s="47"/>
      <c r="IH15" s="47"/>
      <c r="II15" s="47"/>
      <c r="IJ15" s="47"/>
      <c r="IK15" s="47"/>
      <c r="IL15" s="47"/>
      <c r="IM15" s="47"/>
      <c r="IN15" s="47"/>
      <c r="IO15" s="47"/>
      <c r="IP15" s="47"/>
      <c r="IQ15" s="47"/>
      <c r="IR15" s="47"/>
      <c r="IS15" s="47"/>
      <c r="IT15" s="47"/>
      <c r="IU15" s="47"/>
      <c r="IV15" s="47"/>
      <c r="IW15" s="47"/>
    </row>
    <row r="16" customFormat="false" ht="12.75" hidden="false" customHeight="false" outlineLevel="0" collapsed="false">
      <c r="A16" s="44" t="n">
        <v>36982</v>
      </c>
      <c r="B16" s="45" t="n">
        <f aca="false">-VLOOKUP(A16,'Deal Volumes'!$A$3:$J$16,10)</f>
        <v>-67500</v>
      </c>
      <c r="C16" s="44" t="n">
        <f aca="false">+A16</f>
        <v>36982</v>
      </c>
      <c r="D16" s="46" t="n">
        <f aca="false">EOMONTH(C16,0)</f>
        <v>37011</v>
      </c>
      <c r="E16" s="25" t="s">
        <v>20</v>
      </c>
      <c r="F16" s="47" t="s">
        <v>47</v>
      </c>
      <c r="G16" s="48" t="n">
        <v>2.523</v>
      </c>
      <c r="H16" s="49" t="n">
        <f aca="false">G16</f>
        <v>2.523</v>
      </c>
      <c r="I16" s="50" t="n">
        <f aca="false">+A16-$B$2</f>
        <v>-8944</v>
      </c>
      <c r="J16" s="47" t="n">
        <f aca="false">+C16-A16</f>
        <v>0</v>
      </c>
      <c r="K16" s="45" t="n">
        <f aca="false">+D16-C16+1</f>
        <v>30</v>
      </c>
      <c r="L16" s="47" t="n">
        <v>1</v>
      </c>
      <c r="M16" s="51" t="n">
        <v>0.06795355802668</v>
      </c>
      <c r="N16" s="52" t="n">
        <f aca="false">+O16</f>
        <v>0.45</v>
      </c>
      <c r="O16" s="53" t="n">
        <v>0.45</v>
      </c>
      <c r="P16" s="52" t="n">
        <v>1</v>
      </c>
      <c r="Q16" s="54" t="n">
        <v>0</v>
      </c>
      <c r="R16" s="47" t="n">
        <f aca="false">IF(F16="Call",1,0)</f>
        <v>1</v>
      </c>
      <c r="S16" s="43" t="n">
        <v>0</v>
      </c>
      <c r="T16" s="55" t="e">
        <f aca="false">OSTRIP(G16,H16,I16,J16,K16,L16,M16,N16,O16,P16,Q16,R16,S16)</f>
        <v>#NAME?</v>
      </c>
      <c r="U16" s="56" t="e">
        <f aca="false">T16*B16</f>
        <v>#NAME?</v>
      </c>
      <c r="V16" s="57"/>
      <c r="W16" s="58"/>
      <c r="X16" s="47"/>
      <c r="Y16" s="47"/>
      <c r="Z16" s="47"/>
      <c r="AA16" s="47"/>
      <c r="AB16" s="47"/>
      <c r="AC16" s="47"/>
      <c r="AD16" s="47"/>
      <c r="AE16" s="47"/>
      <c r="AF16" s="47"/>
      <c r="AG16" s="47"/>
      <c r="AH16" s="47"/>
      <c r="AI16" s="47"/>
      <c r="AJ16" s="47"/>
      <c r="AK16" s="47"/>
      <c r="AL16" s="47"/>
      <c r="AM16" s="47"/>
      <c r="AN16" s="47"/>
      <c r="AO16" s="47"/>
      <c r="AP16" s="47"/>
      <c r="AQ16" s="47"/>
      <c r="AR16" s="47"/>
      <c r="AS16" s="47"/>
      <c r="AT16" s="47"/>
      <c r="AU16" s="47"/>
      <c r="AV16" s="47"/>
      <c r="AW16" s="47"/>
      <c r="AX16" s="47"/>
      <c r="AY16" s="47"/>
      <c r="AZ16" s="47"/>
      <c r="BA16" s="47"/>
      <c r="BB16" s="47"/>
      <c r="BC16" s="47"/>
      <c r="BD16" s="47"/>
      <c r="BE16" s="47"/>
      <c r="BF16" s="47"/>
      <c r="BG16" s="47"/>
      <c r="BH16" s="47"/>
      <c r="BI16" s="47"/>
      <c r="BJ16" s="47"/>
      <c r="BK16" s="47"/>
      <c r="BL16" s="47"/>
      <c r="BM16" s="47"/>
      <c r="BN16" s="47"/>
      <c r="BO16" s="47"/>
      <c r="BP16" s="47"/>
      <c r="BQ16" s="47"/>
      <c r="BR16" s="47"/>
      <c r="BS16" s="47"/>
      <c r="BT16" s="47"/>
      <c r="BU16" s="47"/>
      <c r="BV16" s="47"/>
      <c r="BW16" s="47"/>
      <c r="BX16" s="47"/>
      <c r="BY16" s="47"/>
      <c r="BZ16" s="47"/>
      <c r="CA16" s="47"/>
      <c r="CB16" s="47"/>
      <c r="CC16" s="47"/>
      <c r="CD16" s="47"/>
      <c r="CE16" s="47"/>
      <c r="CF16" s="47"/>
      <c r="CG16" s="47"/>
      <c r="CH16" s="47"/>
      <c r="CI16" s="47"/>
      <c r="CJ16" s="47"/>
      <c r="CK16" s="47"/>
      <c r="CL16" s="47"/>
      <c r="CM16" s="47"/>
      <c r="CN16" s="47"/>
      <c r="CO16" s="47"/>
      <c r="CP16" s="47"/>
      <c r="CQ16" s="47"/>
      <c r="CR16" s="47"/>
      <c r="CS16" s="47"/>
      <c r="CT16" s="47"/>
      <c r="CU16" s="47"/>
      <c r="CV16" s="47"/>
      <c r="CW16" s="47"/>
      <c r="CX16" s="47"/>
      <c r="CY16" s="47"/>
      <c r="CZ16" s="47"/>
      <c r="DA16" s="47"/>
      <c r="DB16" s="47"/>
      <c r="DC16" s="47"/>
      <c r="DD16" s="47"/>
      <c r="DE16" s="47"/>
      <c r="DF16" s="47"/>
      <c r="DG16" s="47"/>
      <c r="DH16" s="47"/>
      <c r="DI16" s="47"/>
      <c r="DJ16" s="47"/>
      <c r="DK16" s="47"/>
      <c r="DL16" s="47"/>
      <c r="DM16" s="47"/>
      <c r="DN16" s="47"/>
      <c r="DO16" s="47"/>
      <c r="DP16" s="47"/>
      <c r="DQ16" s="47"/>
      <c r="DR16" s="47"/>
      <c r="DS16" s="47"/>
      <c r="DT16" s="47"/>
      <c r="DU16" s="47"/>
      <c r="DV16" s="47"/>
      <c r="DW16" s="47"/>
      <c r="DX16" s="47"/>
      <c r="DY16" s="47"/>
      <c r="DZ16" s="47"/>
      <c r="EA16" s="47"/>
      <c r="EB16" s="47"/>
      <c r="EC16" s="47"/>
      <c r="ED16" s="47"/>
      <c r="EE16" s="47"/>
      <c r="EF16" s="47"/>
      <c r="EG16" s="47"/>
      <c r="EH16" s="47"/>
      <c r="EI16" s="47"/>
      <c r="EJ16" s="47"/>
      <c r="EK16" s="47"/>
      <c r="EL16" s="47"/>
      <c r="EM16" s="47"/>
      <c r="EN16" s="47"/>
      <c r="EO16" s="47"/>
      <c r="EP16" s="47"/>
      <c r="EQ16" s="47"/>
      <c r="ER16" s="47"/>
      <c r="ES16" s="47"/>
      <c r="ET16" s="47"/>
      <c r="EU16" s="47"/>
      <c r="EV16" s="47"/>
      <c r="EW16" s="47"/>
      <c r="EX16" s="47"/>
      <c r="EY16" s="47"/>
      <c r="EZ16" s="47"/>
      <c r="FA16" s="47"/>
      <c r="FB16" s="47"/>
      <c r="FC16" s="47"/>
      <c r="FD16" s="47"/>
      <c r="FE16" s="47"/>
      <c r="FF16" s="47"/>
      <c r="FG16" s="47"/>
      <c r="FH16" s="47"/>
      <c r="FI16" s="47"/>
      <c r="FJ16" s="47"/>
      <c r="FK16" s="47"/>
      <c r="FL16" s="47"/>
      <c r="FM16" s="47"/>
      <c r="FN16" s="47"/>
      <c r="FO16" s="47"/>
      <c r="FP16" s="47"/>
      <c r="FQ16" s="47"/>
      <c r="FR16" s="47"/>
      <c r="FS16" s="47"/>
      <c r="FT16" s="47"/>
      <c r="FU16" s="47"/>
      <c r="FV16" s="47"/>
      <c r="FW16" s="47"/>
      <c r="FX16" s="47"/>
      <c r="FY16" s="47"/>
      <c r="FZ16" s="47"/>
      <c r="GA16" s="47"/>
      <c r="GB16" s="47"/>
      <c r="GC16" s="47"/>
      <c r="GD16" s="47"/>
      <c r="GE16" s="47"/>
      <c r="GF16" s="47"/>
      <c r="GG16" s="47"/>
      <c r="GH16" s="47"/>
      <c r="GI16" s="47"/>
      <c r="GJ16" s="47"/>
      <c r="GK16" s="47"/>
      <c r="GL16" s="47"/>
      <c r="GM16" s="47"/>
      <c r="GN16" s="47"/>
      <c r="GO16" s="47"/>
      <c r="GP16" s="47"/>
      <c r="GQ16" s="47"/>
      <c r="GR16" s="47"/>
      <c r="GS16" s="47"/>
      <c r="GT16" s="47"/>
      <c r="GU16" s="47"/>
      <c r="GV16" s="47"/>
      <c r="GW16" s="47"/>
      <c r="GX16" s="47"/>
      <c r="GY16" s="47"/>
      <c r="GZ16" s="47"/>
      <c r="HA16" s="47"/>
      <c r="HB16" s="47"/>
      <c r="HC16" s="47"/>
      <c r="HD16" s="47"/>
      <c r="HE16" s="47"/>
      <c r="HF16" s="47"/>
      <c r="HG16" s="47"/>
      <c r="HH16" s="47"/>
      <c r="HI16" s="47"/>
      <c r="HJ16" s="47"/>
      <c r="HK16" s="47"/>
      <c r="HL16" s="47"/>
      <c r="HM16" s="47"/>
      <c r="HN16" s="47"/>
      <c r="HO16" s="47"/>
      <c r="HP16" s="47"/>
      <c r="HQ16" s="47"/>
      <c r="HR16" s="47"/>
      <c r="HS16" s="47"/>
      <c r="HT16" s="47"/>
      <c r="HU16" s="47"/>
      <c r="HV16" s="47"/>
      <c r="HW16" s="47"/>
      <c r="HX16" s="47"/>
      <c r="HY16" s="47"/>
      <c r="HZ16" s="47"/>
      <c r="IA16" s="47"/>
      <c r="IB16" s="47"/>
      <c r="IC16" s="47"/>
      <c r="ID16" s="47"/>
      <c r="IE16" s="47"/>
      <c r="IF16" s="47"/>
      <c r="IG16" s="47"/>
      <c r="IH16" s="47"/>
      <c r="II16" s="47"/>
      <c r="IJ16" s="47"/>
      <c r="IK16" s="47"/>
      <c r="IL16" s="47"/>
      <c r="IM16" s="47"/>
      <c r="IN16" s="47"/>
      <c r="IO16" s="47"/>
      <c r="IP16" s="47"/>
      <c r="IQ16" s="47"/>
      <c r="IR16" s="47"/>
      <c r="IS16" s="47"/>
      <c r="IT16" s="47"/>
      <c r="IU16" s="47"/>
      <c r="IV16" s="47"/>
      <c r="IW16" s="47"/>
    </row>
    <row r="17" customFormat="false" ht="12.75" hidden="false" customHeight="false" outlineLevel="0" collapsed="false">
      <c r="A17" s="44" t="n">
        <v>37012</v>
      </c>
      <c r="B17" s="45" t="n">
        <f aca="false">-VLOOKUP(A17,'Deal Volumes'!$A$3:$J$16,10)</f>
        <v>-116250</v>
      </c>
      <c r="C17" s="44" t="n">
        <f aca="false">+A17</f>
        <v>37012</v>
      </c>
      <c r="D17" s="46" t="n">
        <f aca="false">EOMONTH(C17,0)</f>
        <v>37042</v>
      </c>
      <c r="E17" s="25" t="s">
        <v>20</v>
      </c>
      <c r="F17" s="47" t="s">
        <v>47</v>
      </c>
      <c r="G17" s="48" t="n">
        <v>2.488</v>
      </c>
      <c r="H17" s="49" t="n">
        <f aca="false">G17</f>
        <v>2.488</v>
      </c>
      <c r="I17" s="50" t="n">
        <f aca="false">+A17-$B$2</f>
        <v>-8914</v>
      </c>
      <c r="J17" s="47" t="n">
        <f aca="false">+C17-A17</f>
        <v>0</v>
      </c>
      <c r="K17" s="45" t="n">
        <f aca="false">+D17-C17+1</f>
        <v>31</v>
      </c>
      <c r="L17" s="47" t="n">
        <v>1</v>
      </c>
      <c r="M17" s="51" t="n">
        <v>0.068297280932449</v>
      </c>
      <c r="N17" s="52" t="n">
        <f aca="false">+O17</f>
        <v>0.5</v>
      </c>
      <c r="O17" s="53" t="n">
        <v>0.5</v>
      </c>
      <c r="P17" s="52" t="n">
        <v>1</v>
      </c>
      <c r="Q17" s="54" t="n">
        <v>0</v>
      </c>
      <c r="R17" s="47" t="n">
        <f aca="false">IF(F17="Call",1,0)</f>
        <v>1</v>
      </c>
      <c r="S17" s="43" t="n">
        <v>0</v>
      </c>
      <c r="T17" s="55" t="e">
        <f aca="false">OSTRIP(G17,H17,I17,J17,K17,L17,M17,N17,O17,P17,Q17,R17,S17)</f>
        <v>#NAME?</v>
      </c>
      <c r="U17" s="56" t="e">
        <f aca="false">T17*B17</f>
        <v>#NAME?</v>
      </c>
      <c r="V17" s="57"/>
      <c r="W17" s="58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7"/>
      <c r="AK17" s="47"/>
      <c r="AL17" s="47"/>
      <c r="AM17" s="47"/>
      <c r="AN17" s="47"/>
      <c r="AO17" s="47"/>
      <c r="AP17" s="47"/>
      <c r="AQ17" s="47"/>
      <c r="AR17" s="47"/>
      <c r="AS17" s="47"/>
      <c r="AT17" s="47"/>
      <c r="AU17" s="47"/>
      <c r="AV17" s="47"/>
      <c r="AW17" s="47"/>
      <c r="AX17" s="47"/>
      <c r="AY17" s="47"/>
      <c r="AZ17" s="47"/>
      <c r="BA17" s="47"/>
      <c r="BB17" s="47"/>
      <c r="BC17" s="47"/>
      <c r="BD17" s="47"/>
      <c r="BE17" s="47"/>
      <c r="BF17" s="47"/>
      <c r="BG17" s="47"/>
      <c r="BH17" s="47"/>
      <c r="BI17" s="47"/>
      <c r="BJ17" s="47"/>
      <c r="BK17" s="47"/>
      <c r="BL17" s="47"/>
      <c r="BM17" s="47"/>
      <c r="BN17" s="47"/>
      <c r="BO17" s="47"/>
      <c r="BP17" s="47"/>
      <c r="BQ17" s="47"/>
      <c r="BR17" s="47"/>
      <c r="BS17" s="47"/>
      <c r="BT17" s="47"/>
      <c r="BU17" s="47"/>
      <c r="BV17" s="47"/>
      <c r="BW17" s="47"/>
      <c r="BX17" s="47"/>
      <c r="BY17" s="47"/>
      <c r="BZ17" s="47"/>
      <c r="CA17" s="47"/>
      <c r="CB17" s="47"/>
      <c r="CC17" s="47"/>
      <c r="CD17" s="47"/>
      <c r="CE17" s="47"/>
      <c r="CF17" s="47"/>
      <c r="CG17" s="47"/>
      <c r="CH17" s="47"/>
      <c r="CI17" s="47"/>
      <c r="CJ17" s="47"/>
      <c r="CK17" s="47"/>
      <c r="CL17" s="47"/>
      <c r="CM17" s="47"/>
      <c r="CN17" s="47"/>
      <c r="CO17" s="47"/>
      <c r="CP17" s="47"/>
      <c r="CQ17" s="47"/>
      <c r="CR17" s="47"/>
      <c r="CS17" s="47"/>
      <c r="CT17" s="47"/>
      <c r="CU17" s="47"/>
      <c r="CV17" s="47"/>
      <c r="CW17" s="47"/>
      <c r="CX17" s="47"/>
      <c r="CY17" s="47"/>
      <c r="CZ17" s="47"/>
      <c r="DA17" s="47"/>
      <c r="DB17" s="47"/>
      <c r="DC17" s="47"/>
      <c r="DD17" s="47"/>
      <c r="DE17" s="47"/>
      <c r="DF17" s="47"/>
      <c r="DG17" s="47"/>
      <c r="DH17" s="47"/>
      <c r="DI17" s="47"/>
      <c r="DJ17" s="47"/>
      <c r="DK17" s="47"/>
      <c r="DL17" s="47"/>
      <c r="DM17" s="47"/>
      <c r="DN17" s="47"/>
      <c r="DO17" s="47"/>
      <c r="DP17" s="47"/>
      <c r="DQ17" s="47"/>
      <c r="DR17" s="47"/>
      <c r="DS17" s="47"/>
      <c r="DT17" s="47"/>
      <c r="DU17" s="47"/>
      <c r="DV17" s="47"/>
      <c r="DW17" s="47"/>
      <c r="DX17" s="47"/>
      <c r="DY17" s="47"/>
      <c r="DZ17" s="47"/>
      <c r="EA17" s="47"/>
      <c r="EB17" s="47"/>
      <c r="EC17" s="47"/>
      <c r="ED17" s="47"/>
      <c r="EE17" s="47"/>
      <c r="EF17" s="47"/>
      <c r="EG17" s="47"/>
      <c r="EH17" s="47"/>
      <c r="EI17" s="47"/>
      <c r="EJ17" s="47"/>
      <c r="EK17" s="47"/>
      <c r="EL17" s="47"/>
      <c r="EM17" s="47"/>
      <c r="EN17" s="47"/>
      <c r="EO17" s="47"/>
      <c r="EP17" s="47"/>
      <c r="EQ17" s="47"/>
      <c r="ER17" s="47"/>
      <c r="ES17" s="47"/>
      <c r="ET17" s="47"/>
      <c r="EU17" s="47"/>
      <c r="EV17" s="47"/>
      <c r="EW17" s="47"/>
      <c r="EX17" s="47"/>
      <c r="EY17" s="47"/>
      <c r="EZ17" s="47"/>
      <c r="FA17" s="47"/>
      <c r="FB17" s="47"/>
      <c r="FC17" s="47"/>
      <c r="FD17" s="47"/>
      <c r="FE17" s="47"/>
      <c r="FF17" s="47"/>
      <c r="FG17" s="47"/>
      <c r="FH17" s="47"/>
      <c r="FI17" s="47"/>
      <c r="FJ17" s="47"/>
      <c r="FK17" s="47"/>
      <c r="FL17" s="47"/>
      <c r="FM17" s="47"/>
      <c r="FN17" s="47"/>
      <c r="FO17" s="47"/>
      <c r="FP17" s="47"/>
      <c r="FQ17" s="47"/>
      <c r="FR17" s="47"/>
      <c r="FS17" s="47"/>
      <c r="FT17" s="47"/>
      <c r="FU17" s="47"/>
      <c r="FV17" s="47"/>
      <c r="FW17" s="47"/>
      <c r="FX17" s="47"/>
      <c r="FY17" s="47"/>
      <c r="FZ17" s="47"/>
      <c r="GA17" s="47"/>
      <c r="GB17" s="47"/>
      <c r="GC17" s="47"/>
      <c r="GD17" s="47"/>
      <c r="GE17" s="47"/>
      <c r="GF17" s="47"/>
      <c r="GG17" s="47"/>
      <c r="GH17" s="47"/>
      <c r="GI17" s="47"/>
      <c r="GJ17" s="47"/>
      <c r="GK17" s="47"/>
      <c r="GL17" s="47"/>
      <c r="GM17" s="47"/>
      <c r="GN17" s="47"/>
      <c r="GO17" s="47"/>
      <c r="GP17" s="47"/>
      <c r="GQ17" s="47"/>
      <c r="GR17" s="47"/>
      <c r="GS17" s="47"/>
      <c r="GT17" s="47"/>
      <c r="GU17" s="47"/>
      <c r="GV17" s="47"/>
      <c r="GW17" s="47"/>
      <c r="GX17" s="47"/>
      <c r="GY17" s="47"/>
      <c r="GZ17" s="47"/>
      <c r="HA17" s="47"/>
      <c r="HB17" s="47"/>
      <c r="HC17" s="47"/>
      <c r="HD17" s="47"/>
      <c r="HE17" s="47"/>
      <c r="HF17" s="47"/>
      <c r="HG17" s="47"/>
      <c r="HH17" s="47"/>
      <c r="HI17" s="47"/>
      <c r="HJ17" s="47"/>
      <c r="HK17" s="47"/>
      <c r="HL17" s="47"/>
      <c r="HM17" s="47"/>
      <c r="HN17" s="47"/>
      <c r="HO17" s="47"/>
      <c r="HP17" s="47"/>
      <c r="HQ17" s="47"/>
      <c r="HR17" s="47"/>
      <c r="HS17" s="47"/>
      <c r="HT17" s="47"/>
      <c r="HU17" s="47"/>
      <c r="HV17" s="47"/>
      <c r="HW17" s="47"/>
      <c r="HX17" s="47"/>
      <c r="HY17" s="47"/>
      <c r="HZ17" s="47"/>
      <c r="IA17" s="47"/>
      <c r="IB17" s="47"/>
      <c r="IC17" s="47"/>
      <c r="ID17" s="47"/>
      <c r="IE17" s="47"/>
      <c r="IF17" s="47"/>
      <c r="IG17" s="47"/>
      <c r="IH17" s="47"/>
      <c r="II17" s="47"/>
      <c r="IJ17" s="47"/>
      <c r="IK17" s="47"/>
      <c r="IL17" s="47"/>
      <c r="IM17" s="47"/>
      <c r="IN17" s="47"/>
      <c r="IO17" s="47"/>
      <c r="IP17" s="47"/>
      <c r="IQ17" s="47"/>
      <c r="IR17" s="47"/>
      <c r="IS17" s="47"/>
      <c r="IT17" s="47"/>
      <c r="IU17" s="47"/>
      <c r="IV17" s="47"/>
      <c r="IW17" s="47"/>
    </row>
    <row r="18" customFormat="false" ht="12.75" hidden="false" customHeight="false" outlineLevel="0" collapsed="false">
      <c r="A18" s="44" t="n">
        <v>37043</v>
      </c>
      <c r="B18" s="45" t="n">
        <f aca="false">-VLOOKUP(A18,'Deal Volumes'!$A$3:$J$16,10)</f>
        <v>-112500</v>
      </c>
      <c r="C18" s="44" t="n">
        <f aca="false">+A18</f>
        <v>37043</v>
      </c>
      <c r="D18" s="46" t="n">
        <f aca="false">EOMONTH(C18,0)</f>
        <v>37072</v>
      </c>
      <c r="E18" s="25" t="s">
        <v>20</v>
      </c>
      <c r="F18" s="47" t="s">
        <v>47</v>
      </c>
      <c r="G18" s="48" t="n">
        <v>2.4955</v>
      </c>
      <c r="H18" s="49" t="n">
        <f aca="false">G18</f>
        <v>2.4955</v>
      </c>
      <c r="I18" s="50" t="n">
        <f aca="false">+A18-$B$2</f>
        <v>-8883</v>
      </c>
      <c r="J18" s="47" t="n">
        <f aca="false">+C18-A18</f>
        <v>0</v>
      </c>
      <c r="K18" s="45" t="n">
        <f aca="false">+D18-C18+1</f>
        <v>30</v>
      </c>
      <c r="L18" s="47" t="n">
        <v>1</v>
      </c>
      <c r="M18" s="51" t="n">
        <v>0.068652461309486</v>
      </c>
      <c r="N18" s="52" t="n">
        <f aca="false">+O18</f>
        <v>0.5</v>
      </c>
      <c r="O18" s="53" t="n">
        <v>0.5</v>
      </c>
      <c r="P18" s="52" t="n">
        <v>1</v>
      </c>
      <c r="Q18" s="54" t="n">
        <v>0</v>
      </c>
      <c r="R18" s="47" t="n">
        <f aca="false">IF(F18="Call",1,0)</f>
        <v>1</v>
      </c>
      <c r="S18" s="43" t="n">
        <v>0</v>
      </c>
      <c r="T18" s="55" t="e">
        <f aca="false">OSTRIP(G18,H18,I18,J18,K18,L18,M18,N18,O18,P18,Q18,R18,S18)</f>
        <v>#NAME?</v>
      </c>
      <c r="U18" s="59" t="e">
        <f aca="false">T18*B18</f>
        <v>#NAME?</v>
      </c>
      <c r="V18" s="57"/>
      <c r="W18" s="58"/>
      <c r="X18" s="47"/>
      <c r="Y18" s="47"/>
      <c r="Z18" s="47"/>
      <c r="AA18" s="47"/>
      <c r="AB18" s="47"/>
      <c r="AC18" s="47"/>
      <c r="AD18" s="47"/>
      <c r="AE18" s="47"/>
      <c r="AF18" s="47"/>
      <c r="AG18" s="47"/>
      <c r="AH18" s="47"/>
      <c r="AI18" s="47"/>
      <c r="AJ18" s="47"/>
      <c r="AK18" s="47"/>
      <c r="AL18" s="47"/>
      <c r="AM18" s="47"/>
      <c r="AN18" s="47"/>
      <c r="AO18" s="47"/>
      <c r="AP18" s="47"/>
      <c r="AQ18" s="47"/>
      <c r="AR18" s="47"/>
      <c r="AS18" s="47"/>
      <c r="AT18" s="47"/>
      <c r="AU18" s="47"/>
      <c r="AV18" s="47"/>
      <c r="AW18" s="47"/>
      <c r="AX18" s="47"/>
      <c r="AY18" s="47"/>
      <c r="AZ18" s="47"/>
      <c r="BA18" s="47"/>
      <c r="BB18" s="47"/>
      <c r="BC18" s="47"/>
      <c r="BD18" s="47"/>
      <c r="BE18" s="47"/>
      <c r="BF18" s="47"/>
      <c r="BG18" s="47"/>
      <c r="BH18" s="47"/>
      <c r="BI18" s="47"/>
      <c r="BJ18" s="47"/>
      <c r="BK18" s="47"/>
      <c r="BL18" s="47"/>
      <c r="BM18" s="47"/>
      <c r="BN18" s="47"/>
      <c r="BO18" s="47"/>
      <c r="BP18" s="47"/>
      <c r="BQ18" s="47"/>
      <c r="BR18" s="47"/>
      <c r="BS18" s="47"/>
      <c r="BT18" s="47"/>
      <c r="BU18" s="47"/>
      <c r="BV18" s="47"/>
      <c r="BW18" s="47"/>
      <c r="BX18" s="47"/>
      <c r="BY18" s="47"/>
      <c r="BZ18" s="47"/>
      <c r="CA18" s="47"/>
      <c r="CB18" s="47"/>
      <c r="CC18" s="47"/>
      <c r="CD18" s="47"/>
      <c r="CE18" s="47"/>
      <c r="CF18" s="47"/>
      <c r="CG18" s="47"/>
      <c r="CH18" s="47"/>
      <c r="CI18" s="47"/>
      <c r="CJ18" s="47"/>
      <c r="CK18" s="47"/>
      <c r="CL18" s="47"/>
      <c r="CM18" s="47"/>
      <c r="CN18" s="47"/>
      <c r="CO18" s="47"/>
      <c r="CP18" s="47"/>
      <c r="CQ18" s="47"/>
      <c r="CR18" s="47"/>
      <c r="CS18" s="47"/>
      <c r="CT18" s="47"/>
      <c r="CU18" s="47"/>
      <c r="CV18" s="47"/>
      <c r="CW18" s="47"/>
      <c r="CX18" s="47"/>
      <c r="CY18" s="47"/>
      <c r="CZ18" s="47"/>
      <c r="DA18" s="47"/>
      <c r="DB18" s="47"/>
      <c r="DC18" s="47"/>
      <c r="DD18" s="47"/>
      <c r="DE18" s="47"/>
      <c r="DF18" s="47"/>
      <c r="DG18" s="47"/>
      <c r="DH18" s="47"/>
      <c r="DI18" s="47"/>
      <c r="DJ18" s="47"/>
      <c r="DK18" s="47"/>
      <c r="DL18" s="47"/>
      <c r="DM18" s="47"/>
      <c r="DN18" s="47"/>
      <c r="DO18" s="47"/>
      <c r="DP18" s="47"/>
      <c r="DQ18" s="47"/>
      <c r="DR18" s="47"/>
      <c r="DS18" s="47"/>
      <c r="DT18" s="47"/>
      <c r="DU18" s="47"/>
      <c r="DV18" s="47"/>
      <c r="DW18" s="47"/>
      <c r="DX18" s="47"/>
      <c r="DY18" s="47"/>
      <c r="DZ18" s="47"/>
      <c r="EA18" s="47"/>
      <c r="EB18" s="47"/>
      <c r="EC18" s="47"/>
      <c r="ED18" s="47"/>
      <c r="EE18" s="47"/>
      <c r="EF18" s="47"/>
      <c r="EG18" s="47"/>
      <c r="EH18" s="47"/>
      <c r="EI18" s="47"/>
      <c r="EJ18" s="47"/>
      <c r="EK18" s="47"/>
      <c r="EL18" s="47"/>
      <c r="EM18" s="47"/>
      <c r="EN18" s="47"/>
      <c r="EO18" s="47"/>
      <c r="EP18" s="47"/>
      <c r="EQ18" s="47"/>
      <c r="ER18" s="47"/>
      <c r="ES18" s="47"/>
      <c r="ET18" s="47"/>
      <c r="EU18" s="47"/>
      <c r="EV18" s="47"/>
      <c r="EW18" s="47"/>
      <c r="EX18" s="47"/>
      <c r="EY18" s="47"/>
      <c r="EZ18" s="47"/>
      <c r="FA18" s="47"/>
      <c r="FB18" s="47"/>
      <c r="FC18" s="47"/>
      <c r="FD18" s="47"/>
      <c r="FE18" s="47"/>
      <c r="FF18" s="47"/>
      <c r="FG18" s="47"/>
      <c r="FH18" s="47"/>
      <c r="FI18" s="47"/>
      <c r="FJ18" s="47"/>
      <c r="FK18" s="47"/>
      <c r="FL18" s="47"/>
      <c r="FM18" s="47"/>
      <c r="FN18" s="47"/>
      <c r="FO18" s="47"/>
      <c r="FP18" s="47"/>
      <c r="FQ18" s="47"/>
      <c r="FR18" s="47"/>
      <c r="FS18" s="47"/>
      <c r="FT18" s="47"/>
      <c r="FU18" s="47"/>
      <c r="FV18" s="47"/>
      <c r="FW18" s="47"/>
      <c r="FX18" s="47"/>
      <c r="FY18" s="47"/>
      <c r="FZ18" s="47"/>
      <c r="GA18" s="47"/>
      <c r="GB18" s="47"/>
      <c r="GC18" s="47"/>
      <c r="GD18" s="47"/>
      <c r="GE18" s="47"/>
      <c r="GF18" s="47"/>
      <c r="GG18" s="47"/>
      <c r="GH18" s="47"/>
      <c r="GI18" s="47"/>
      <c r="GJ18" s="47"/>
      <c r="GK18" s="47"/>
      <c r="GL18" s="47"/>
      <c r="GM18" s="47"/>
      <c r="GN18" s="47"/>
      <c r="GO18" s="47"/>
      <c r="GP18" s="47"/>
      <c r="GQ18" s="47"/>
      <c r="GR18" s="47"/>
      <c r="GS18" s="47"/>
      <c r="GT18" s="47"/>
      <c r="GU18" s="47"/>
      <c r="GV18" s="47"/>
      <c r="GW18" s="47"/>
      <c r="GX18" s="47"/>
      <c r="GY18" s="47"/>
      <c r="GZ18" s="47"/>
      <c r="HA18" s="47"/>
      <c r="HB18" s="47"/>
      <c r="HC18" s="47"/>
      <c r="HD18" s="47"/>
      <c r="HE18" s="47"/>
      <c r="HF18" s="47"/>
      <c r="HG18" s="47"/>
      <c r="HH18" s="47"/>
      <c r="HI18" s="47"/>
      <c r="HJ18" s="47"/>
      <c r="HK18" s="47"/>
      <c r="HL18" s="47"/>
      <c r="HM18" s="47"/>
      <c r="HN18" s="47"/>
      <c r="HO18" s="47"/>
      <c r="HP18" s="47"/>
      <c r="HQ18" s="47"/>
      <c r="HR18" s="47"/>
      <c r="HS18" s="47"/>
      <c r="HT18" s="47"/>
      <c r="HU18" s="47"/>
      <c r="HV18" s="47"/>
      <c r="HW18" s="47"/>
      <c r="HX18" s="47"/>
      <c r="HY18" s="47"/>
      <c r="HZ18" s="47"/>
      <c r="IA18" s="47"/>
      <c r="IB18" s="47"/>
      <c r="IC18" s="47"/>
      <c r="ID18" s="47"/>
      <c r="IE18" s="47"/>
      <c r="IF18" s="47"/>
      <c r="IG18" s="47"/>
      <c r="IH18" s="47"/>
      <c r="II18" s="47"/>
      <c r="IJ18" s="47"/>
      <c r="IK18" s="47"/>
      <c r="IL18" s="47"/>
      <c r="IM18" s="47"/>
      <c r="IN18" s="47"/>
      <c r="IO18" s="47"/>
      <c r="IP18" s="47"/>
      <c r="IQ18" s="47"/>
      <c r="IR18" s="47"/>
      <c r="IS18" s="47"/>
      <c r="IT18" s="47"/>
      <c r="IU18" s="47"/>
      <c r="IV18" s="47"/>
      <c r="IW18" s="47"/>
    </row>
    <row r="19" customFormat="false" ht="12.75" hidden="false" customHeight="false" outlineLevel="0" collapsed="false">
      <c r="A19" s="44"/>
      <c r="B19" s="45"/>
      <c r="C19" s="46"/>
      <c r="D19" s="46"/>
      <c r="E19" s="47"/>
      <c r="F19" s="47"/>
      <c r="G19" s="60"/>
      <c r="H19" s="49"/>
      <c r="I19" s="50"/>
      <c r="J19" s="47"/>
      <c r="K19" s="45"/>
      <c r="L19" s="47"/>
      <c r="M19" s="47"/>
      <c r="N19" s="52"/>
      <c r="O19" s="52"/>
      <c r="P19" s="52"/>
      <c r="Q19" s="54"/>
      <c r="R19" s="47"/>
      <c r="S19" s="43"/>
      <c r="T19" s="55"/>
      <c r="U19" s="56" t="e">
        <f aca="false">SUBTOTAL(9,U5:U18)</f>
        <v>#NAME?</v>
      </c>
      <c r="V19" s="56"/>
      <c r="W19" s="56"/>
      <c r="X19" s="47"/>
      <c r="Y19" s="47"/>
      <c r="Z19" s="47"/>
      <c r="AA19" s="47"/>
      <c r="AB19" s="47"/>
      <c r="AC19" s="47"/>
      <c r="AD19" s="47"/>
      <c r="AE19" s="47"/>
      <c r="AF19" s="47"/>
      <c r="AG19" s="47"/>
      <c r="AH19" s="47"/>
      <c r="AI19" s="47"/>
      <c r="AJ19" s="47"/>
      <c r="AK19" s="47"/>
      <c r="AL19" s="47"/>
      <c r="AM19" s="47"/>
      <c r="AN19" s="47"/>
      <c r="AO19" s="47"/>
      <c r="AP19" s="47"/>
      <c r="AQ19" s="47"/>
      <c r="AR19" s="47"/>
      <c r="AS19" s="47"/>
      <c r="AT19" s="47"/>
      <c r="AU19" s="47"/>
      <c r="AV19" s="47"/>
      <c r="AW19" s="47"/>
      <c r="AX19" s="47"/>
      <c r="AY19" s="47"/>
      <c r="AZ19" s="47"/>
      <c r="BA19" s="47"/>
      <c r="BB19" s="47"/>
      <c r="BC19" s="47"/>
      <c r="BD19" s="47"/>
      <c r="BE19" s="47"/>
      <c r="BF19" s="47"/>
      <c r="BG19" s="47"/>
      <c r="BH19" s="47"/>
      <c r="BI19" s="47"/>
      <c r="BJ19" s="47"/>
      <c r="BK19" s="47"/>
      <c r="BL19" s="47"/>
      <c r="BM19" s="47"/>
      <c r="BN19" s="47"/>
      <c r="BO19" s="47"/>
      <c r="BP19" s="47"/>
      <c r="BQ19" s="47"/>
      <c r="BR19" s="47"/>
      <c r="BS19" s="47"/>
      <c r="BT19" s="47"/>
      <c r="BU19" s="47"/>
      <c r="BV19" s="47"/>
      <c r="BW19" s="47"/>
      <c r="BX19" s="47"/>
      <c r="BY19" s="47"/>
      <c r="BZ19" s="47"/>
      <c r="CA19" s="47"/>
      <c r="CB19" s="47"/>
      <c r="CC19" s="47"/>
      <c r="CD19" s="47"/>
      <c r="CE19" s="47"/>
      <c r="CF19" s="47"/>
      <c r="CG19" s="47"/>
      <c r="CH19" s="47"/>
      <c r="CI19" s="47"/>
      <c r="CJ19" s="47"/>
      <c r="CK19" s="47"/>
      <c r="CL19" s="47"/>
      <c r="CM19" s="47"/>
      <c r="CN19" s="47"/>
      <c r="CO19" s="47"/>
      <c r="CP19" s="47"/>
      <c r="CQ19" s="47"/>
      <c r="CR19" s="47"/>
      <c r="CS19" s="47"/>
      <c r="CT19" s="47"/>
      <c r="CU19" s="47"/>
      <c r="CV19" s="47"/>
      <c r="CW19" s="47"/>
      <c r="CX19" s="47"/>
      <c r="CY19" s="47"/>
      <c r="CZ19" s="47"/>
      <c r="DA19" s="47"/>
      <c r="DB19" s="47"/>
      <c r="DC19" s="47"/>
      <c r="DD19" s="47"/>
      <c r="DE19" s="47"/>
      <c r="DF19" s="47"/>
      <c r="DG19" s="47"/>
      <c r="DH19" s="47"/>
      <c r="DI19" s="47"/>
      <c r="DJ19" s="47"/>
      <c r="DK19" s="47"/>
      <c r="DL19" s="47"/>
      <c r="DM19" s="47"/>
      <c r="DN19" s="47"/>
      <c r="DO19" s="47"/>
      <c r="DP19" s="47"/>
      <c r="DQ19" s="47"/>
      <c r="DR19" s="47"/>
      <c r="DS19" s="47"/>
      <c r="DT19" s="47"/>
      <c r="DU19" s="47"/>
      <c r="DV19" s="47"/>
      <c r="DW19" s="47"/>
      <c r="DX19" s="47"/>
      <c r="DY19" s="47"/>
      <c r="DZ19" s="47"/>
      <c r="EA19" s="47"/>
      <c r="EB19" s="47"/>
      <c r="EC19" s="47"/>
      <c r="ED19" s="47"/>
      <c r="EE19" s="47"/>
      <c r="EF19" s="47"/>
      <c r="EG19" s="47"/>
      <c r="EH19" s="47"/>
      <c r="EI19" s="47"/>
      <c r="EJ19" s="47"/>
      <c r="EK19" s="47"/>
      <c r="EL19" s="47"/>
      <c r="EM19" s="47"/>
      <c r="EN19" s="47"/>
      <c r="EO19" s="47"/>
      <c r="EP19" s="47"/>
      <c r="EQ19" s="47"/>
      <c r="ER19" s="47"/>
      <c r="ES19" s="47"/>
      <c r="ET19" s="47"/>
      <c r="EU19" s="47"/>
      <c r="EV19" s="47"/>
      <c r="EW19" s="47"/>
      <c r="EX19" s="47"/>
      <c r="EY19" s="47"/>
      <c r="EZ19" s="47"/>
      <c r="FA19" s="47"/>
      <c r="FB19" s="47"/>
      <c r="FC19" s="47"/>
      <c r="FD19" s="47"/>
      <c r="FE19" s="47"/>
      <c r="FF19" s="47"/>
      <c r="FG19" s="47"/>
      <c r="FH19" s="47"/>
      <c r="FI19" s="47"/>
      <c r="FJ19" s="47"/>
      <c r="FK19" s="47"/>
      <c r="FL19" s="47"/>
      <c r="FM19" s="47"/>
      <c r="FN19" s="47"/>
      <c r="FO19" s="47"/>
      <c r="FP19" s="47"/>
      <c r="FQ19" s="47"/>
      <c r="FR19" s="47"/>
      <c r="FS19" s="47"/>
      <c r="FT19" s="47"/>
      <c r="FU19" s="47"/>
      <c r="FV19" s="47"/>
      <c r="FW19" s="47"/>
      <c r="FX19" s="47"/>
      <c r="FY19" s="47"/>
      <c r="FZ19" s="47"/>
      <c r="GA19" s="47"/>
      <c r="GB19" s="47"/>
      <c r="GC19" s="47"/>
      <c r="GD19" s="47"/>
      <c r="GE19" s="47"/>
      <c r="GF19" s="47"/>
      <c r="GG19" s="47"/>
      <c r="GH19" s="47"/>
      <c r="GI19" s="47"/>
      <c r="GJ19" s="47"/>
      <c r="GK19" s="47"/>
      <c r="GL19" s="47"/>
      <c r="GM19" s="47"/>
      <c r="GN19" s="47"/>
      <c r="GO19" s="47"/>
      <c r="GP19" s="47"/>
      <c r="GQ19" s="47"/>
      <c r="GR19" s="47"/>
      <c r="GS19" s="47"/>
      <c r="GT19" s="47"/>
      <c r="GU19" s="47"/>
      <c r="GV19" s="47"/>
      <c r="GW19" s="47"/>
      <c r="GX19" s="47"/>
      <c r="GY19" s="47"/>
      <c r="GZ19" s="47"/>
      <c r="HA19" s="47"/>
      <c r="HB19" s="47"/>
      <c r="HC19" s="47"/>
      <c r="HD19" s="47"/>
      <c r="HE19" s="47"/>
      <c r="HF19" s="47"/>
      <c r="HG19" s="47"/>
      <c r="HH19" s="47"/>
      <c r="HI19" s="47"/>
      <c r="HJ19" s="47"/>
      <c r="HK19" s="47"/>
      <c r="HL19" s="47"/>
      <c r="HM19" s="47"/>
      <c r="HN19" s="47"/>
      <c r="HO19" s="47"/>
      <c r="HP19" s="47"/>
      <c r="HQ19" s="47"/>
      <c r="HR19" s="47"/>
      <c r="HS19" s="47"/>
      <c r="HT19" s="47"/>
      <c r="HU19" s="47"/>
      <c r="HV19" s="47"/>
      <c r="HW19" s="47"/>
      <c r="HX19" s="47"/>
      <c r="HY19" s="47"/>
      <c r="HZ19" s="47"/>
      <c r="IA19" s="47"/>
      <c r="IB19" s="47"/>
      <c r="IC19" s="47"/>
      <c r="ID19" s="47"/>
      <c r="IE19" s="47"/>
      <c r="IF19" s="47"/>
      <c r="IG19" s="47"/>
      <c r="IH19" s="47"/>
      <c r="II19" s="47"/>
      <c r="IJ19" s="47"/>
      <c r="IK19" s="47"/>
      <c r="IL19" s="47"/>
      <c r="IM19" s="47"/>
      <c r="IN19" s="47"/>
      <c r="IO19" s="47"/>
      <c r="IP19" s="47"/>
      <c r="IQ19" s="47"/>
      <c r="IR19" s="47"/>
      <c r="IS19" s="47"/>
      <c r="IT19" s="47"/>
      <c r="IU19" s="47"/>
      <c r="IV19" s="47"/>
      <c r="IW19" s="47"/>
    </row>
    <row r="20" customFormat="false" ht="12.75" hidden="false" customHeight="false" outlineLevel="0" collapsed="false">
      <c r="A20" s="44"/>
      <c r="B20" s="45"/>
      <c r="C20" s="46"/>
      <c r="D20" s="46"/>
      <c r="E20" s="47"/>
      <c r="F20" s="47"/>
      <c r="G20" s="60"/>
      <c r="H20" s="49"/>
      <c r="I20" s="50"/>
      <c r="J20" s="47"/>
      <c r="K20" s="45"/>
      <c r="L20" s="47"/>
      <c r="M20" s="47"/>
      <c r="N20" s="52"/>
      <c r="O20" s="52"/>
      <c r="P20" s="52"/>
      <c r="Q20" s="54"/>
      <c r="R20" s="47"/>
      <c r="S20" s="43"/>
      <c r="T20" s="55"/>
      <c r="U20" s="56"/>
      <c r="V20" s="58"/>
      <c r="W20" s="47"/>
      <c r="X20" s="47"/>
      <c r="Y20" s="47"/>
      <c r="Z20" s="47"/>
      <c r="AA20" s="47"/>
      <c r="AB20" s="47"/>
      <c r="AC20" s="47"/>
      <c r="AD20" s="47"/>
      <c r="AE20" s="47"/>
      <c r="AF20" s="47"/>
      <c r="AG20" s="47"/>
      <c r="AH20" s="47"/>
      <c r="AI20" s="47"/>
      <c r="AJ20" s="47"/>
      <c r="AK20" s="47"/>
      <c r="AL20" s="47"/>
      <c r="AM20" s="47"/>
      <c r="AN20" s="47"/>
      <c r="AO20" s="47"/>
      <c r="AP20" s="47"/>
      <c r="AQ20" s="47"/>
      <c r="AR20" s="47"/>
      <c r="AS20" s="47"/>
      <c r="AT20" s="47"/>
      <c r="AU20" s="47"/>
      <c r="AV20" s="47"/>
      <c r="AW20" s="47"/>
      <c r="AX20" s="47"/>
      <c r="AY20" s="47"/>
      <c r="AZ20" s="47"/>
      <c r="BA20" s="47"/>
      <c r="BB20" s="47"/>
      <c r="BC20" s="47"/>
      <c r="BD20" s="47"/>
      <c r="BE20" s="47"/>
      <c r="BF20" s="47"/>
      <c r="BG20" s="47"/>
      <c r="BH20" s="47"/>
      <c r="BI20" s="47"/>
      <c r="BJ20" s="47"/>
      <c r="BK20" s="47"/>
      <c r="BL20" s="47"/>
      <c r="BM20" s="47"/>
      <c r="BN20" s="47"/>
      <c r="BO20" s="47"/>
      <c r="BP20" s="47"/>
      <c r="BQ20" s="47"/>
      <c r="BR20" s="47"/>
      <c r="BS20" s="47"/>
      <c r="BT20" s="47"/>
      <c r="BU20" s="47"/>
      <c r="BV20" s="47"/>
      <c r="BW20" s="47"/>
      <c r="BX20" s="47"/>
      <c r="BY20" s="47"/>
      <c r="BZ20" s="47"/>
      <c r="CA20" s="47"/>
      <c r="CB20" s="47"/>
      <c r="CC20" s="47"/>
      <c r="CD20" s="47"/>
      <c r="CE20" s="47"/>
      <c r="CF20" s="47"/>
      <c r="CG20" s="47"/>
      <c r="CH20" s="47"/>
      <c r="CI20" s="47"/>
      <c r="CJ20" s="47"/>
      <c r="CK20" s="47"/>
      <c r="CL20" s="47"/>
      <c r="CM20" s="47"/>
      <c r="CN20" s="47"/>
      <c r="CO20" s="47"/>
      <c r="CP20" s="47"/>
      <c r="CQ20" s="47"/>
      <c r="CR20" s="47"/>
      <c r="CS20" s="47"/>
      <c r="CT20" s="47"/>
      <c r="CU20" s="47"/>
      <c r="CV20" s="47"/>
      <c r="CW20" s="47"/>
      <c r="CX20" s="47"/>
      <c r="CY20" s="47"/>
      <c r="CZ20" s="47"/>
      <c r="DA20" s="47"/>
      <c r="DB20" s="47"/>
      <c r="DC20" s="47"/>
      <c r="DD20" s="47"/>
      <c r="DE20" s="47"/>
      <c r="DF20" s="47"/>
      <c r="DG20" s="47"/>
      <c r="DH20" s="47"/>
      <c r="DI20" s="47"/>
      <c r="DJ20" s="47"/>
      <c r="DK20" s="47"/>
      <c r="DL20" s="47"/>
      <c r="DM20" s="47"/>
      <c r="DN20" s="47"/>
      <c r="DO20" s="47"/>
      <c r="DP20" s="47"/>
      <c r="DQ20" s="47"/>
      <c r="DR20" s="47"/>
      <c r="DS20" s="47"/>
      <c r="DT20" s="47"/>
      <c r="DU20" s="47"/>
      <c r="DV20" s="47"/>
      <c r="DW20" s="47"/>
      <c r="DX20" s="47"/>
      <c r="DY20" s="47"/>
      <c r="DZ20" s="47"/>
      <c r="EA20" s="47"/>
      <c r="EB20" s="47"/>
      <c r="EC20" s="47"/>
      <c r="ED20" s="47"/>
      <c r="EE20" s="47"/>
      <c r="EF20" s="47"/>
      <c r="EG20" s="47"/>
      <c r="EH20" s="47"/>
      <c r="EI20" s="47"/>
      <c r="EJ20" s="47"/>
      <c r="EK20" s="47"/>
      <c r="EL20" s="47"/>
      <c r="EM20" s="47"/>
      <c r="EN20" s="47"/>
      <c r="EO20" s="47"/>
      <c r="EP20" s="47"/>
      <c r="EQ20" s="47"/>
      <c r="ER20" s="47"/>
      <c r="ES20" s="47"/>
      <c r="ET20" s="47"/>
      <c r="EU20" s="47"/>
      <c r="EV20" s="47"/>
      <c r="EW20" s="47"/>
      <c r="EX20" s="47"/>
      <c r="EY20" s="47"/>
      <c r="EZ20" s="47"/>
      <c r="FA20" s="47"/>
      <c r="FB20" s="47"/>
      <c r="FC20" s="47"/>
      <c r="FD20" s="47"/>
      <c r="FE20" s="47"/>
      <c r="FF20" s="47"/>
      <c r="FG20" s="47"/>
      <c r="FH20" s="47"/>
      <c r="FI20" s="47"/>
      <c r="FJ20" s="47"/>
      <c r="FK20" s="47"/>
      <c r="FL20" s="47"/>
      <c r="FM20" s="47"/>
      <c r="FN20" s="47"/>
      <c r="FO20" s="47"/>
      <c r="FP20" s="47"/>
      <c r="FQ20" s="47"/>
      <c r="FR20" s="47"/>
      <c r="FS20" s="47"/>
      <c r="FT20" s="47"/>
      <c r="FU20" s="47"/>
      <c r="FV20" s="47"/>
      <c r="FW20" s="47"/>
      <c r="FX20" s="47"/>
      <c r="FY20" s="47"/>
      <c r="FZ20" s="47"/>
      <c r="GA20" s="47"/>
      <c r="GB20" s="47"/>
      <c r="GC20" s="47"/>
      <c r="GD20" s="47"/>
      <c r="GE20" s="47"/>
      <c r="GF20" s="47"/>
      <c r="GG20" s="47"/>
      <c r="GH20" s="47"/>
      <c r="GI20" s="47"/>
      <c r="GJ20" s="47"/>
      <c r="GK20" s="47"/>
      <c r="GL20" s="47"/>
      <c r="GM20" s="47"/>
      <c r="GN20" s="47"/>
      <c r="GO20" s="47"/>
      <c r="GP20" s="47"/>
      <c r="GQ20" s="47"/>
      <c r="GR20" s="47"/>
      <c r="GS20" s="47"/>
      <c r="GT20" s="47"/>
      <c r="GU20" s="47"/>
      <c r="GV20" s="47"/>
      <c r="GW20" s="47"/>
      <c r="GX20" s="47"/>
      <c r="GY20" s="47"/>
      <c r="GZ20" s="47"/>
      <c r="HA20" s="47"/>
      <c r="HB20" s="47"/>
      <c r="HC20" s="47"/>
      <c r="HD20" s="47"/>
      <c r="HE20" s="47"/>
      <c r="HF20" s="47"/>
      <c r="HG20" s="47"/>
      <c r="HH20" s="47"/>
      <c r="HI20" s="47"/>
      <c r="HJ20" s="47"/>
      <c r="HK20" s="47"/>
      <c r="HL20" s="47"/>
      <c r="HM20" s="47"/>
      <c r="HN20" s="47"/>
      <c r="HO20" s="47"/>
      <c r="HP20" s="47"/>
      <c r="HQ20" s="47"/>
      <c r="HR20" s="47"/>
      <c r="HS20" s="47"/>
      <c r="HT20" s="47"/>
      <c r="HU20" s="47"/>
      <c r="HV20" s="47"/>
      <c r="HW20" s="47"/>
      <c r="HX20" s="47"/>
      <c r="HY20" s="47"/>
      <c r="HZ20" s="47"/>
      <c r="IA20" s="47"/>
      <c r="IB20" s="47"/>
      <c r="IC20" s="47"/>
      <c r="ID20" s="47"/>
      <c r="IE20" s="47"/>
      <c r="IF20" s="47"/>
      <c r="IG20" s="47"/>
      <c r="IH20" s="47"/>
      <c r="II20" s="47"/>
      <c r="IJ20" s="47"/>
      <c r="IK20" s="47"/>
      <c r="IL20" s="47"/>
      <c r="IM20" s="47"/>
      <c r="IN20" s="47"/>
      <c r="IO20" s="47"/>
      <c r="IP20" s="47"/>
      <c r="IQ20" s="47"/>
      <c r="IR20" s="47"/>
      <c r="IS20" s="47"/>
      <c r="IT20" s="47"/>
      <c r="IU20" s="47"/>
      <c r="IV20" s="47"/>
      <c r="IW20" s="47"/>
    </row>
    <row r="21" customFormat="false" ht="12.75" hidden="false" customHeight="false" outlineLevel="0" collapsed="false">
      <c r="A21" s="44" t="n">
        <f aca="false">+A5</f>
        <v>36647</v>
      </c>
      <c r="B21" s="45" t="n">
        <f aca="false">+B5</f>
        <v>-116250</v>
      </c>
      <c r="C21" s="44" t="n">
        <f aca="false">+C5</f>
        <v>36647</v>
      </c>
      <c r="D21" s="46" t="n">
        <f aca="false">EOMONTH(C21,0)</f>
        <v>36677</v>
      </c>
      <c r="E21" s="25" t="s">
        <v>20</v>
      </c>
      <c r="F21" s="47" t="s">
        <v>48</v>
      </c>
      <c r="G21" s="60" t="n">
        <f aca="false">+G5</f>
        <v>2.571</v>
      </c>
      <c r="H21" s="49" t="n">
        <f aca="false">+H5</f>
        <v>2.571</v>
      </c>
      <c r="I21" s="50" t="n">
        <f aca="false">+A21-$B$2</f>
        <v>-9279</v>
      </c>
      <c r="J21" s="47" t="n">
        <f aca="false">+C21-A21</f>
        <v>0</v>
      </c>
      <c r="K21" s="45" t="n">
        <f aca="false">+D21-C21+1</f>
        <v>31</v>
      </c>
      <c r="L21" s="47" t="n">
        <f aca="false">+L5</f>
        <v>1</v>
      </c>
      <c r="M21" s="61" t="n">
        <f aca="false">+M5</f>
        <v>0.061485649559373</v>
      </c>
      <c r="N21" s="52" t="n">
        <f aca="false">+N5</f>
        <v>0.45</v>
      </c>
      <c r="O21" s="52" t="n">
        <f aca="false">+O5</f>
        <v>0.45</v>
      </c>
      <c r="P21" s="52" t="n">
        <f aca="false">+P5</f>
        <v>1</v>
      </c>
      <c r="Q21" s="54" t="n">
        <f aca="false">+Q5</f>
        <v>0</v>
      </c>
      <c r="R21" s="47" t="n">
        <f aca="false">IF(F21="Call",1,0)</f>
        <v>0</v>
      </c>
      <c r="S21" s="43" t="n">
        <v>0</v>
      </c>
      <c r="T21" s="55" t="e">
        <f aca="false">OSTRIP(G21,H21,I21,J21,K21,L21,M21,N21,O21,P21,Q21,R21,S21)</f>
        <v>#NAME?</v>
      </c>
      <c r="U21" s="56" t="e">
        <f aca="false">T21*B21</f>
        <v>#NAME?</v>
      </c>
      <c r="V21" s="58"/>
      <c r="W21" s="47"/>
      <c r="X21" s="47"/>
      <c r="Y21" s="47"/>
      <c r="Z21" s="47"/>
    </row>
    <row r="22" customFormat="false" ht="12.75" hidden="false" customHeight="false" outlineLevel="0" collapsed="false">
      <c r="A22" s="44" t="n">
        <f aca="false">+A6</f>
        <v>36678</v>
      </c>
      <c r="B22" s="45" t="n">
        <f aca="false">+B6</f>
        <v>-112500</v>
      </c>
      <c r="C22" s="44" t="n">
        <f aca="false">+C6</f>
        <v>36678</v>
      </c>
      <c r="D22" s="46" t="n">
        <f aca="false">EOMONTH(C22,0)</f>
        <v>36707</v>
      </c>
      <c r="E22" s="25" t="s">
        <v>20</v>
      </c>
      <c r="F22" s="47" t="s">
        <v>48</v>
      </c>
      <c r="G22" s="60" t="n">
        <f aca="false">+G6</f>
        <v>2.5905</v>
      </c>
      <c r="H22" s="49" t="n">
        <f aca="false">+H6</f>
        <v>2.5905</v>
      </c>
      <c r="I22" s="50" t="n">
        <f aca="false">+A22-$B$2</f>
        <v>-9248</v>
      </c>
      <c r="J22" s="47" t="n">
        <f aca="false">+C22-A22</f>
        <v>0</v>
      </c>
      <c r="K22" s="45" t="n">
        <f aca="false">+D22-C22+1</f>
        <v>30</v>
      </c>
      <c r="L22" s="47" t="n">
        <f aca="false">+L6</f>
        <v>1</v>
      </c>
      <c r="M22" s="61" t="n">
        <f aca="false">+M6</f>
        <v>0.06240361356018</v>
      </c>
      <c r="N22" s="52" t="n">
        <f aca="false">+N6</f>
        <v>0.5</v>
      </c>
      <c r="O22" s="52" t="n">
        <f aca="false">+O6</f>
        <v>0.5</v>
      </c>
      <c r="P22" s="52" t="n">
        <f aca="false">+P6</f>
        <v>1</v>
      </c>
      <c r="Q22" s="54" t="n">
        <f aca="false">+Q6</f>
        <v>0</v>
      </c>
      <c r="R22" s="47" t="n">
        <f aca="false">IF(F22="Call",1,0)</f>
        <v>0</v>
      </c>
      <c r="S22" s="43" t="n">
        <v>0</v>
      </c>
      <c r="T22" s="55" t="e">
        <f aca="false">OSTRIP(G22,H22,I22,J22,K22,L22,M22,N22,O22,P22,Q22,R22,S22)</f>
        <v>#NAME?</v>
      </c>
      <c r="U22" s="56" t="e">
        <f aca="false">T22*B22</f>
        <v>#NAME?</v>
      </c>
      <c r="V22" s="58"/>
      <c r="W22" s="47"/>
      <c r="X22" s="47"/>
      <c r="Y22" s="47"/>
      <c r="Z22" s="47"/>
    </row>
    <row r="23" customFormat="false" ht="12.75" hidden="false" customHeight="false" outlineLevel="0" collapsed="false">
      <c r="A23" s="44" t="n">
        <f aca="false">+A7</f>
        <v>36708</v>
      </c>
      <c r="B23" s="45" t="n">
        <f aca="false">+B7</f>
        <v>-155000</v>
      </c>
      <c r="C23" s="44" t="n">
        <f aca="false">+C7</f>
        <v>36708</v>
      </c>
      <c r="D23" s="46" t="n">
        <f aca="false">EOMONTH(C23,0)</f>
        <v>36738</v>
      </c>
      <c r="E23" s="25" t="s">
        <v>20</v>
      </c>
      <c r="F23" s="47" t="s">
        <v>48</v>
      </c>
      <c r="G23" s="60" t="n">
        <f aca="false">+G7</f>
        <v>2.607</v>
      </c>
      <c r="H23" s="49" t="n">
        <f aca="false">+H7</f>
        <v>2.607</v>
      </c>
      <c r="I23" s="50" t="n">
        <f aca="false">+A23-$B$2</f>
        <v>-9218</v>
      </c>
      <c r="J23" s="47" t="n">
        <f aca="false">+C23-A23</f>
        <v>0</v>
      </c>
      <c r="K23" s="45" t="n">
        <f aca="false">+D23-C23+1</f>
        <v>31</v>
      </c>
      <c r="L23" s="47" t="n">
        <f aca="false">+L7</f>
        <v>1</v>
      </c>
      <c r="M23" s="61" t="n">
        <f aca="false">+M7</f>
        <v>0.063184628319211</v>
      </c>
      <c r="N23" s="52" t="n">
        <f aca="false">+N7</f>
        <v>0.5</v>
      </c>
      <c r="O23" s="52" t="n">
        <f aca="false">+O7</f>
        <v>0.5</v>
      </c>
      <c r="P23" s="52" t="n">
        <f aca="false">+P7</f>
        <v>1</v>
      </c>
      <c r="Q23" s="54" t="n">
        <f aca="false">+Q7</f>
        <v>0</v>
      </c>
      <c r="R23" s="47" t="n">
        <f aca="false">IF(F23="Call",1,0)</f>
        <v>0</v>
      </c>
      <c r="S23" s="43" t="n">
        <v>0</v>
      </c>
      <c r="T23" s="55" t="e">
        <f aca="false">OSTRIP(G23,H23,I23,J23,K23,L23,M23,N23,O23,P23,Q23,R23,S23)</f>
        <v>#NAME?</v>
      </c>
      <c r="U23" s="56" t="e">
        <f aca="false">T23*B23</f>
        <v>#NAME?</v>
      </c>
      <c r="V23" s="58"/>
      <c r="W23" s="47"/>
      <c r="X23" s="47"/>
      <c r="Y23" s="47"/>
      <c r="Z23" s="47"/>
    </row>
    <row r="24" customFormat="false" ht="12.75" hidden="false" customHeight="false" outlineLevel="0" collapsed="false">
      <c r="A24" s="44" t="n">
        <f aca="false">+A8</f>
        <v>36739</v>
      </c>
      <c r="B24" s="45" t="n">
        <f aca="false">+B8</f>
        <v>-155000</v>
      </c>
      <c r="C24" s="44" t="n">
        <f aca="false">+C8</f>
        <v>36739</v>
      </c>
      <c r="D24" s="46" t="n">
        <f aca="false">EOMONTH(C24,0)</f>
        <v>36769</v>
      </c>
      <c r="E24" s="25" t="s">
        <v>20</v>
      </c>
      <c r="F24" s="47" t="s">
        <v>48</v>
      </c>
      <c r="G24" s="60" t="n">
        <f aca="false">+G8</f>
        <v>2.6235</v>
      </c>
      <c r="H24" s="49" t="n">
        <f aca="false">+H8</f>
        <v>2.6235</v>
      </c>
      <c r="I24" s="50" t="n">
        <f aca="false">+A24-$B$2</f>
        <v>-9187</v>
      </c>
      <c r="J24" s="47" t="n">
        <f aca="false">+C24-A24</f>
        <v>0</v>
      </c>
      <c r="K24" s="45" t="n">
        <f aca="false">+D24-C24+1</f>
        <v>31</v>
      </c>
      <c r="L24" s="47" t="n">
        <f aca="false">+L8</f>
        <v>1</v>
      </c>
      <c r="M24" s="61" t="n">
        <f aca="false">+M8</f>
        <v>0.063820029255873</v>
      </c>
      <c r="N24" s="52" t="n">
        <f aca="false">+N8</f>
        <v>0.55</v>
      </c>
      <c r="O24" s="52" t="n">
        <f aca="false">+O8</f>
        <v>0.55</v>
      </c>
      <c r="P24" s="52" t="n">
        <f aca="false">+P8</f>
        <v>1</v>
      </c>
      <c r="Q24" s="54" t="n">
        <f aca="false">+Q8</f>
        <v>0</v>
      </c>
      <c r="R24" s="47" t="n">
        <f aca="false">IF(F24="Call",1,0)</f>
        <v>0</v>
      </c>
      <c r="S24" s="43" t="n">
        <v>0</v>
      </c>
      <c r="T24" s="55" t="e">
        <f aca="false">OSTRIP(G24,H24,I24,J24,K24,L24,M24,N24,O24,P24,Q24,R24,S24)</f>
        <v>#NAME?</v>
      </c>
      <c r="U24" s="56" t="e">
        <f aca="false">T24*B24</f>
        <v>#NAME?</v>
      </c>
      <c r="V24" s="47"/>
      <c r="W24" s="47"/>
      <c r="X24" s="47"/>
      <c r="Y24" s="47"/>
      <c r="Z24" s="47"/>
    </row>
    <row r="25" customFormat="false" ht="12.75" hidden="false" customHeight="false" outlineLevel="0" collapsed="false">
      <c r="A25" s="44" t="n">
        <f aca="false">+A9</f>
        <v>36770</v>
      </c>
      <c r="B25" s="45" t="n">
        <f aca="false">+B9</f>
        <v>-150000</v>
      </c>
      <c r="C25" s="44" t="n">
        <f aca="false">+C9</f>
        <v>36770</v>
      </c>
      <c r="D25" s="46" t="n">
        <f aca="false">EOMONTH(C25,0)</f>
        <v>36799</v>
      </c>
      <c r="E25" s="25" t="s">
        <v>20</v>
      </c>
      <c r="F25" s="47" t="s">
        <v>48</v>
      </c>
      <c r="G25" s="60" t="n">
        <f aca="false">+G9</f>
        <v>2.623</v>
      </c>
      <c r="H25" s="49" t="n">
        <f aca="false">+H9</f>
        <v>2.623</v>
      </c>
      <c r="I25" s="50" t="n">
        <f aca="false">+A25-$B$2</f>
        <v>-9156</v>
      </c>
      <c r="J25" s="47" t="n">
        <f aca="false">+C25-A25</f>
        <v>0</v>
      </c>
      <c r="K25" s="45" t="n">
        <f aca="false">+D25-C25+1</f>
        <v>30</v>
      </c>
      <c r="L25" s="47" t="n">
        <f aca="false">+L9</f>
        <v>1</v>
      </c>
      <c r="M25" s="61" t="n">
        <f aca="false">+M9</f>
        <v>0.064455430326432</v>
      </c>
      <c r="N25" s="52" t="n">
        <f aca="false">+N9</f>
        <v>0.55</v>
      </c>
      <c r="O25" s="52" t="n">
        <f aca="false">+O9</f>
        <v>0.55</v>
      </c>
      <c r="P25" s="52" t="n">
        <f aca="false">+P9</f>
        <v>1</v>
      </c>
      <c r="Q25" s="54" t="n">
        <f aca="false">+Q9</f>
        <v>0</v>
      </c>
      <c r="R25" s="47" t="n">
        <f aca="false">IF(F25="Call",1,0)</f>
        <v>0</v>
      </c>
      <c r="S25" s="43" t="n">
        <v>0</v>
      </c>
      <c r="T25" s="55" t="e">
        <f aca="false">OSTRIP(G25,H25,I25,J25,K25,L25,M25,N25,O25,P25,Q25,R25,S25)</f>
        <v>#NAME?</v>
      </c>
      <c r="U25" s="56" t="e">
        <f aca="false">T25*B25</f>
        <v>#NAME?</v>
      </c>
      <c r="V25" s="47"/>
      <c r="W25" s="47"/>
      <c r="X25" s="47"/>
      <c r="Y25" s="47"/>
      <c r="Z25" s="47"/>
    </row>
    <row r="26" customFormat="false" ht="12.75" hidden="false" customHeight="false" outlineLevel="0" collapsed="false">
      <c r="A26" s="44" t="n">
        <f aca="false">+A10</f>
        <v>36800</v>
      </c>
      <c r="B26" s="45" t="n">
        <f aca="false">+B10</f>
        <v>-69750</v>
      </c>
      <c r="C26" s="44" t="n">
        <f aca="false">+C10</f>
        <v>36800</v>
      </c>
      <c r="D26" s="46" t="n">
        <f aca="false">EOMONTH(C26,0)</f>
        <v>36830</v>
      </c>
      <c r="E26" s="25" t="s">
        <v>20</v>
      </c>
      <c r="F26" s="47" t="s">
        <v>48</v>
      </c>
      <c r="G26" s="60" t="n">
        <f aca="false">+G10</f>
        <v>2.648</v>
      </c>
      <c r="H26" s="49" t="n">
        <f aca="false">+H10</f>
        <v>2.648</v>
      </c>
      <c r="I26" s="50" t="n">
        <f aca="false">+A26-$B$2</f>
        <v>-9126</v>
      </c>
      <c r="J26" s="47" t="n">
        <f aca="false">+C26-A26</f>
        <v>0</v>
      </c>
      <c r="K26" s="45" t="n">
        <f aca="false">+D26-C26+1</f>
        <v>31</v>
      </c>
      <c r="L26" s="47" t="n">
        <f aca="false">+L10</f>
        <v>1</v>
      </c>
      <c r="M26" s="61" t="n">
        <f aca="false">+M10</f>
        <v>0.065038264108629</v>
      </c>
      <c r="N26" s="52" t="n">
        <f aca="false">+N10</f>
        <v>0.5</v>
      </c>
      <c r="O26" s="52" t="n">
        <f aca="false">+O10</f>
        <v>0.5</v>
      </c>
      <c r="P26" s="52" t="n">
        <f aca="false">+P10</f>
        <v>1</v>
      </c>
      <c r="Q26" s="54" t="n">
        <f aca="false">+Q10</f>
        <v>0</v>
      </c>
      <c r="R26" s="47" t="n">
        <f aca="false">IF(F26="Call",1,0)</f>
        <v>0</v>
      </c>
      <c r="S26" s="43" t="n">
        <v>0</v>
      </c>
      <c r="T26" s="55" t="e">
        <f aca="false">OSTRIP(G26,H26,I26,J26,K26,L26,M26,N26,O26,P26,Q26,R26,S26)</f>
        <v>#NAME?</v>
      </c>
      <c r="U26" s="56" t="e">
        <f aca="false">T26*B26</f>
        <v>#NAME?</v>
      </c>
      <c r="V26" s="47"/>
      <c r="W26" s="47"/>
      <c r="X26" s="47"/>
      <c r="Y26" s="47"/>
      <c r="Z26" s="47"/>
      <c r="AA26" s="47"/>
      <c r="AB26" s="47"/>
      <c r="AC26" s="47"/>
      <c r="AD26" s="47"/>
      <c r="AE26" s="47"/>
      <c r="AF26" s="47"/>
      <c r="AG26" s="47"/>
      <c r="AH26" s="47"/>
      <c r="AI26" s="47"/>
      <c r="AJ26" s="47"/>
      <c r="AK26" s="47"/>
      <c r="AL26" s="47"/>
      <c r="AM26" s="47"/>
      <c r="AN26" s="47"/>
      <c r="AO26" s="47"/>
      <c r="AP26" s="47"/>
      <c r="AQ26" s="47"/>
      <c r="AR26" s="47"/>
      <c r="AS26" s="47"/>
      <c r="AT26" s="47"/>
      <c r="AU26" s="47"/>
      <c r="AV26" s="47"/>
      <c r="AW26" s="47"/>
      <c r="AX26" s="47"/>
      <c r="AY26" s="47"/>
      <c r="AZ26" s="47"/>
      <c r="BA26" s="47"/>
      <c r="BB26" s="47"/>
      <c r="BC26" s="47"/>
      <c r="BD26" s="47"/>
      <c r="BE26" s="47"/>
      <c r="BF26" s="47"/>
      <c r="BG26" s="47"/>
      <c r="BH26" s="47"/>
      <c r="BI26" s="47"/>
      <c r="BJ26" s="47"/>
      <c r="BK26" s="47"/>
      <c r="BL26" s="47"/>
      <c r="BM26" s="47"/>
      <c r="BN26" s="47"/>
      <c r="BO26" s="47"/>
      <c r="BP26" s="47"/>
      <c r="BQ26" s="47"/>
      <c r="BR26" s="47"/>
      <c r="BS26" s="47"/>
      <c r="BT26" s="47"/>
      <c r="BU26" s="47"/>
      <c r="BV26" s="47"/>
      <c r="BW26" s="47"/>
      <c r="BX26" s="47"/>
      <c r="BY26" s="47"/>
      <c r="BZ26" s="47"/>
      <c r="CA26" s="47"/>
      <c r="CB26" s="47"/>
      <c r="CC26" s="47"/>
      <c r="CD26" s="47"/>
      <c r="CE26" s="47"/>
      <c r="CF26" s="47"/>
      <c r="CG26" s="47"/>
      <c r="CH26" s="47"/>
      <c r="CI26" s="47"/>
      <c r="CJ26" s="47"/>
      <c r="CK26" s="47"/>
      <c r="CL26" s="47"/>
      <c r="CM26" s="47"/>
      <c r="CN26" s="47"/>
      <c r="CO26" s="47"/>
      <c r="CP26" s="47"/>
      <c r="CQ26" s="47"/>
      <c r="CR26" s="47"/>
      <c r="CS26" s="47"/>
      <c r="CT26" s="47"/>
      <c r="CU26" s="47"/>
      <c r="CV26" s="47"/>
      <c r="CW26" s="47"/>
      <c r="CX26" s="47"/>
      <c r="CY26" s="47"/>
      <c r="CZ26" s="47"/>
      <c r="DA26" s="47"/>
      <c r="DB26" s="47"/>
      <c r="DC26" s="47"/>
      <c r="DD26" s="47"/>
      <c r="DE26" s="47"/>
      <c r="DF26" s="47"/>
      <c r="DG26" s="47"/>
      <c r="DH26" s="47"/>
      <c r="DI26" s="47"/>
      <c r="DJ26" s="47"/>
      <c r="DK26" s="47"/>
      <c r="DL26" s="47"/>
      <c r="DM26" s="47"/>
      <c r="DN26" s="47"/>
      <c r="DO26" s="47"/>
      <c r="DP26" s="47"/>
      <c r="DQ26" s="47"/>
      <c r="DR26" s="47"/>
      <c r="DS26" s="47"/>
      <c r="DT26" s="47"/>
      <c r="DU26" s="47"/>
      <c r="DV26" s="47"/>
      <c r="DW26" s="47"/>
      <c r="DX26" s="47"/>
      <c r="DY26" s="47"/>
      <c r="DZ26" s="47"/>
      <c r="EA26" s="47"/>
      <c r="EB26" s="47"/>
      <c r="EC26" s="47"/>
      <c r="ED26" s="47"/>
      <c r="EE26" s="47"/>
      <c r="EF26" s="47"/>
      <c r="EG26" s="47"/>
      <c r="EH26" s="47"/>
      <c r="EI26" s="47"/>
      <c r="EJ26" s="47"/>
      <c r="EK26" s="47"/>
      <c r="EL26" s="47"/>
      <c r="EM26" s="47"/>
      <c r="EN26" s="47"/>
      <c r="EO26" s="47"/>
      <c r="EP26" s="47"/>
      <c r="EQ26" s="47"/>
      <c r="ER26" s="47"/>
      <c r="ES26" s="47"/>
      <c r="ET26" s="47"/>
      <c r="EU26" s="47"/>
      <c r="EV26" s="47"/>
      <c r="EW26" s="47"/>
      <c r="EX26" s="47"/>
      <c r="EY26" s="47"/>
      <c r="EZ26" s="47"/>
      <c r="FA26" s="47"/>
      <c r="FB26" s="47"/>
      <c r="FC26" s="47"/>
      <c r="FD26" s="47"/>
      <c r="FE26" s="47"/>
      <c r="FF26" s="47"/>
      <c r="FG26" s="47"/>
      <c r="FH26" s="47"/>
      <c r="FI26" s="47"/>
      <c r="FJ26" s="47"/>
      <c r="FK26" s="47"/>
      <c r="FL26" s="47"/>
      <c r="FM26" s="47"/>
      <c r="FN26" s="47"/>
      <c r="FO26" s="47"/>
      <c r="FP26" s="47"/>
      <c r="FQ26" s="47"/>
      <c r="FR26" s="47"/>
      <c r="FS26" s="47"/>
      <c r="FT26" s="47"/>
      <c r="FU26" s="47"/>
      <c r="FV26" s="47"/>
      <c r="FW26" s="47"/>
      <c r="FX26" s="47"/>
      <c r="FY26" s="47"/>
      <c r="FZ26" s="47"/>
      <c r="GA26" s="47"/>
      <c r="GB26" s="47"/>
      <c r="GC26" s="47"/>
      <c r="GD26" s="47"/>
      <c r="GE26" s="47"/>
      <c r="GF26" s="47"/>
      <c r="GG26" s="47"/>
      <c r="GH26" s="47"/>
      <c r="GI26" s="47"/>
      <c r="GJ26" s="47"/>
      <c r="GK26" s="47"/>
      <c r="GL26" s="47"/>
      <c r="GM26" s="47"/>
      <c r="GN26" s="47"/>
      <c r="GO26" s="47"/>
      <c r="GP26" s="47"/>
      <c r="GQ26" s="47"/>
      <c r="GR26" s="47"/>
      <c r="GS26" s="47"/>
      <c r="GT26" s="47"/>
      <c r="GU26" s="47"/>
      <c r="GV26" s="47"/>
      <c r="GW26" s="47"/>
      <c r="GX26" s="47"/>
      <c r="GY26" s="47"/>
      <c r="GZ26" s="47"/>
      <c r="HA26" s="47"/>
      <c r="HB26" s="47"/>
      <c r="HC26" s="47"/>
      <c r="HD26" s="47"/>
      <c r="HE26" s="47"/>
      <c r="HF26" s="47"/>
      <c r="HG26" s="47"/>
      <c r="HH26" s="47"/>
      <c r="HI26" s="47"/>
      <c r="HJ26" s="47"/>
      <c r="HK26" s="47"/>
      <c r="HL26" s="47"/>
      <c r="HM26" s="47"/>
      <c r="HN26" s="47"/>
      <c r="HO26" s="47"/>
      <c r="HP26" s="47"/>
      <c r="HQ26" s="47"/>
      <c r="HR26" s="47"/>
      <c r="HS26" s="47"/>
      <c r="HT26" s="47"/>
      <c r="HU26" s="47"/>
      <c r="HV26" s="47"/>
      <c r="HW26" s="47"/>
      <c r="HX26" s="47"/>
      <c r="HY26" s="47"/>
      <c r="HZ26" s="47"/>
      <c r="IA26" s="47"/>
      <c r="IB26" s="47"/>
      <c r="IC26" s="47"/>
      <c r="ID26" s="47"/>
      <c r="IE26" s="47"/>
      <c r="IF26" s="47"/>
      <c r="IG26" s="47"/>
      <c r="IH26" s="47"/>
      <c r="II26" s="47"/>
      <c r="IJ26" s="47"/>
      <c r="IK26" s="47"/>
      <c r="IL26" s="47"/>
      <c r="IM26" s="47"/>
      <c r="IN26" s="47"/>
      <c r="IO26" s="47"/>
      <c r="IP26" s="47"/>
      <c r="IQ26" s="47"/>
      <c r="IR26" s="47"/>
      <c r="IS26" s="47"/>
      <c r="IT26" s="47"/>
      <c r="IU26" s="47"/>
      <c r="IV26" s="47"/>
      <c r="IW26" s="47"/>
    </row>
    <row r="27" customFormat="false" ht="12.75" hidden="false" customHeight="false" outlineLevel="0" collapsed="false">
      <c r="A27" s="44" t="n">
        <f aca="false">+A11</f>
        <v>36831</v>
      </c>
      <c r="B27" s="45" t="n">
        <f aca="false">+B11</f>
        <v>-67500</v>
      </c>
      <c r="C27" s="44" t="n">
        <f aca="false">+C11</f>
        <v>36831</v>
      </c>
      <c r="D27" s="46" t="n">
        <f aca="false">EOMONTH(C27,0)</f>
        <v>36860</v>
      </c>
      <c r="E27" s="25" t="s">
        <v>20</v>
      </c>
      <c r="F27" s="47" t="s">
        <v>48</v>
      </c>
      <c r="G27" s="60" t="n">
        <f aca="false">+G11</f>
        <v>2.743</v>
      </c>
      <c r="H27" s="49" t="n">
        <f aca="false">+H11</f>
        <v>2.743</v>
      </c>
      <c r="I27" s="50" t="n">
        <f aca="false">+A27-$B$2</f>
        <v>-9095</v>
      </c>
      <c r="J27" s="47" t="n">
        <f aca="false">+C27-A27</f>
        <v>0</v>
      </c>
      <c r="K27" s="45" t="n">
        <f aca="false">+D27-C27+1</f>
        <v>30</v>
      </c>
      <c r="L27" s="47" t="n">
        <f aca="false">+L11</f>
        <v>1</v>
      </c>
      <c r="M27" s="61" t="n">
        <f aca="false">+M11</f>
        <v>0.065581038241004</v>
      </c>
      <c r="N27" s="52" t="n">
        <f aca="false">+N11</f>
        <v>0.85</v>
      </c>
      <c r="O27" s="52" t="n">
        <f aca="false">+O11</f>
        <v>0.85</v>
      </c>
      <c r="P27" s="52" t="n">
        <f aca="false">+P11</f>
        <v>1</v>
      </c>
      <c r="Q27" s="54" t="n">
        <f aca="false">+Q11</f>
        <v>0</v>
      </c>
      <c r="R27" s="47" t="n">
        <f aca="false">IF(F27="Call",1,0)</f>
        <v>0</v>
      </c>
      <c r="S27" s="43" t="n">
        <v>0</v>
      </c>
      <c r="T27" s="55" t="e">
        <f aca="false">OSTRIP(G27,H27,I27,J27,K27,L27,M27,N27,O27,P27,Q27,R27,S27)</f>
        <v>#NAME?</v>
      </c>
      <c r="U27" s="56" t="e">
        <f aca="false">T27*B27</f>
        <v>#NAME?</v>
      </c>
      <c r="V27" s="47"/>
      <c r="W27" s="47"/>
      <c r="X27" s="47"/>
      <c r="Y27" s="47"/>
      <c r="Z27" s="47"/>
      <c r="AA27" s="47"/>
      <c r="AB27" s="47"/>
      <c r="AC27" s="47"/>
      <c r="AD27" s="47"/>
      <c r="AE27" s="47"/>
      <c r="AF27" s="47"/>
      <c r="AG27" s="47"/>
      <c r="AH27" s="47"/>
      <c r="AI27" s="47"/>
      <c r="AJ27" s="47"/>
      <c r="AK27" s="47"/>
      <c r="AL27" s="47"/>
      <c r="AM27" s="47"/>
      <c r="AN27" s="47"/>
      <c r="AO27" s="47"/>
      <c r="AP27" s="47"/>
      <c r="AQ27" s="47"/>
      <c r="AR27" s="47"/>
      <c r="AS27" s="47"/>
      <c r="AT27" s="47"/>
      <c r="AU27" s="47"/>
      <c r="AV27" s="47"/>
      <c r="AW27" s="47"/>
      <c r="AX27" s="47"/>
      <c r="AY27" s="47"/>
      <c r="AZ27" s="47"/>
      <c r="BA27" s="47"/>
      <c r="BB27" s="47"/>
      <c r="BC27" s="47"/>
      <c r="BD27" s="47"/>
      <c r="BE27" s="47"/>
      <c r="BF27" s="47"/>
      <c r="BG27" s="47"/>
      <c r="BH27" s="47"/>
      <c r="BI27" s="47"/>
      <c r="BJ27" s="47"/>
      <c r="BK27" s="47"/>
      <c r="BL27" s="47"/>
      <c r="BM27" s="47"/>
      <c r="BN27" s="47"/>
      <c r="BO27" s="47"/>
      <c r="BP27" s="47"/>
      <c r="BQ27" s="47"/>
      <c r="BR27" s="47"/>
      <c r="BS27" s="47"/>
      <c r="BT27" s="47"/>
      <c r="BU27" s="47"/>
      <c r="BV27" s="47"/>
      <c r="BW27" s="47"/>
      <c r="BX27" s="47"/>
      <c r="BY27" s="47"/>
      <c r="BZ27" s="47"/>
      <c r="CA27" s="47"/>
      <c r="CB27" s="47"/>
      <c r="CC27" s="47"/>
      <c r="CD27" s="47"/>
      <c r="CE27" s="47"/>
      <c r="CF27" s="47"/>
      <c r="CG27" s="47"/>
      <c r="CH27" s="47"/>
      <c r="CI27" s="47"/>
      <c r="CJ27" s="47"/>
      <c r="CK27" s="47"/>
      <c r="CL27" s="47"/>
      <c r="CM27" s="47"/>
      <c r="CN27" s="47"/>
      <c r="CO27" s="47"/>
      <c r="CP27" s="47"/>
      <c r="CQ27" s="47"/>
      <c r="CR27" s="47"/>
      <c r="CS27" s="47"/>
      <c r="CT27" s="47"/>
      <c r="CU27" s="47"/>
      <c r="CV27" s="47"/>
      <c r="CW27" s="47"/>
      <c r="CX27" s="47"/>
      <c r="CY27" s="47"/>
      <c r="CZ27" s="47"/>
      <c r="DA27" s="47"/>
      <c r="DB27" s="47"/>
      <c r="DC27" s="47"/>
      <c r="DD27" s="47"/>
      <c r="DE27" s="47"/>
      <c r="DF27" s="47"/>
      <c r="DG27" s="47"/>
      <c r="DH27" s="47"/>
      <c r="DI27" s="47"/>
      <c r="DJ27" s="47"/>
      <c r="DK27" s="47"/>
      <c r="DL27" s="47"/>
      <c r="DM27" s="47"/>
      <c r="DN27" s="47"/>
      <c r="DO27" s="47"/>
      <c r="DP27" s="47"/>
      <c r="DQ27" s="47"/>
      <c r="DR27" s="47"/>
      <c r="DS27" s="47"/>
      <c r="DT27" s="47"/>
      <c r="DU27" s="47"/>
      <c r="DV27" s="47"/>
      <c r="DW27" s="47"/>
      <c r="DX27" s="47"/>
      <c r="DY27" s="47"/>
      <c r="DZ27" s="47"/>
      <c r="EA27" s="47"/>
      <c r="EB27" s="47"/>
      <c r="EC27" s="47"/>
      <c r="ED27" s="47"/>
      <c r="EE27" s="47"/>
      <c r="EF27" s="47"/>
      <c r="EG27" s="47"/>
      <c r="EH27" s="47"/>
      <c r="EI27" s="47"/>
      <c r="EJ27" s="47"/>
      <c r="EK27" s="47"/>
      <c r="EL27" s="47"/>
      <c r="EM27" s="47"/>
      <c r="EN27" s="47"/>
      <c r="EO27" s="47"/>
      <c r="EP27" s="47"/>
      <c r="EQ27" s="47"/>
      <c r="ER27" s="47"/>
      <c r="ES27" s="47"/>
      <c r="ET27" s="47"/>
      <c r="EU27" s="47"/>
      <c r="EV27" s="47"/>
      <c r="EW27" s="47"/>
      <c r="EX27" s="47"/>
      <c r="EY27" s="47"/>
      <c r="EZ27" s="47"/>
      <c r="FA27" s="47"/>
      <c r="FB27" s="47"/>
      <c r="FC27" s="47"/>
      <c r="FD27" s="47"/>
      <c r="FE27" s="47"/>
      <c r="FF27" s="47"/>
      <c r="FG27" s="47"/>
      <c r="FH27" s="47"/>
      <c r="FI27" s="47"/>
      <c r="FJ27" s="47"/>
      <c r="FK27" s="47"/>
      <c r="FL27" s="47"/>
      <c r="FM27" s="47"/>
      <c r="FN27" s="47"/>
      <c r="FO27" s="47"/>
      <c r="FP27" s="47"/>
      <c r="FQ27" s="47"/>
      <c r="FR27" s="47"/>
      <c r="FS27" s="47"/>
      <c r="FT27" s="47"/>
      <c r="FU27" s="47"/>
      <c r="FV27" s="47"/>
      <c r="FW27" s="47"/>
      <c r="FX27" s="47"/>
      <c r="FY27" s="47"/>
      <c r="FZ27" s="47"/>
      <c r="GA27" s="47"/>
      <c r="GB27" s="47"/>
      <c r="GC27" s="47"/>
      <c r="GD27" s="47"/>
      <c r="GE27" s="47"/>
      <c r="GF27" s="47"/>
      <c r="GG27" s="47"/>
      <c r="GH27" s="47"/>
      <c r="GI27" s="47"/>
      <c r="GJ27" s="47"/>
      <c r="GK27" s="47"/>
      <c r="GL27" s="47"/>
      <c r="GM27" s="47"/>
      <c r="GN27" s="47"/>
      <c r="GO27" s="47"/>
      <c r="GP27" s="47"/>
      <c r="GQ27" s="47"/>
      <c r="GR27" s="47"/>
      <c r="GS27" s="47"/>
      <c r="GT27" s="47"/>
      <c r="GU27" s="47"/>
      <c r="GV27" s="47"/>
      <c r="GW27" s="47"/>
      <c r="GX27" s="47"/>
      <c r="GY27" s="47"/>
      <c r="GZ27" s="47"/>
      <c r="HA27" s="47"/>
      <c r="HB27" s="47"/>
      <c r="HC27" s="47"/>
      <c r="HD27" s="47"/>
      <c r="HE27" s="47"/>
      <c r="HF27" s="47"/>
      <c r="HG27" s="47"/>
      <c r="HH27" s="47"/>
      <c r="HI27" s="47"/>
      <c r="HJ27" s="47"/>
      <c r="HK27" s="47"/>
      <c r="HL27" s="47"/>
      <c r="HM27" s="47"/>
      <c r="HN27" s="47"/>
      <c r="HO27" s="47"/>
      <c r="HP27" s="47"/>
      <c r="HQ27" s="47"/>
      <c r="HR27" s="47"/>
      <c r="HS27" s="47"/>
      <c r="HT27" s="47"/>
      <c r="HU27" s="47"/>
      <c r="HV27" s="47"/>
      <c r="HW27" s="47"/>
      <c r="HX27" s="47"/>
      <c r="HY27" s="47"/>
      <c r="HZ27" s="47"/>
      <c r="IA27" s="47"/>
      <c r="IB27" s="47"/>
      <c r="IC27" s="47"/>
      <c r="ID27" s="47"/>
      <c r="IE27" s="47"/>
      <c r="IF27" s="47"/>
      <c r="IG27" s="47"/>
      <c r="IH27" s="47"/>
      <c r="II27" s="47"/>
      <c r="IJ27" s="47"/>
      <c r="IK27" s="47"/>
      <c r="IL27" s="47"/>
      <c r="IM27" s="47"/>
      <c r="IN27" s="47"/>
      <c r="IO27" s="47"/>
      <c r="IP27" s="47"/>
      <c r="IQ27" s="47"/>
      <c r="IR27" s="47"/>
      <c r="IS27" s="47"/>
      <c r="IT27" s="47"/>
      <c r="IU27" s="47"/>
      <c r="IV27" s="47"/>
      <c r="IW27" s="47"/>
    </row>
    <row r="28" customFormat="false" ht="12.75" hidden="false" customHeight="false" outlineLevel="0" collapsed="false">
      <c r="A28" s="44" t="n">
        <f aca="false">+A12</f>
        <v>36861</v>
      </c>
      <c r="B28" s="45" t="n">
        <f aca="false">+B12</f>
        <v>-69750</v>
      </c>
      <c r="C28" s="44" t="n">
        <f aca="false">+C12</f>
        <v>36861</v>
      </c>
      <c r="D28" s="46" t="n">
        <f aca="false">EOMONTH(C28,0)</f>
        <v>36891</v>
      </c>
      <c r="E28" s="25" t="s">
        <v>20</v>
      </c>
      <c r="F28" s="47" t="s">
        <v>48</v>
      </c>
      <c r="G28" s="60" t="n">
        <f aca="false">+G12</f>
        <v>2.8455</v>
      </c>
      <c r="H28" s="49" t="n">
        <f aca="false">+H12</f>
        <v>2.8455</v>
      </c>
      <c r="I28" s="50" t="n">
        <f aca="false">+A28-$B$2</f>
        <v>-9065</v>
      </c>
      <c r="J28" s="47" t="n">
        <f aca="false">+C28-A28</f>
        <v>0</v>
      </c>
      <c r="K28" s="45" t="n">
        <f aca="false">+D28-C28+1</f>
        <v>31</v>
      </c>
      <c r="L28" s="47" t="n">
        <f aca="false">+L12</f>
        <v>1</v>
      </c>
      <c r="M28" s="61" t="n">
        <f aca="false">+M12</f>
        <v>0.066106303623349</v>
      </c>
      <c r="N28" s="52" t="n">
        <f aca="false">+N12</f>
        <v>1.05</v>
      </c>
      <c r="O28" s="52" t="n">
        <f aca="false">+O12</f>
        <v>1.05</v>
      </c>
      <c r="P28" s="52" t="n">
        <f aca="false">+P12</f>
        <v>1</v>
      </c>
      <c r="Q28" s="54" t="n">
        <f aca="false">+Q12</f>
        <v>0</v>
      </c>
      <c r="R28" s="47" t="n">
        <f aca="false">IF(F28="Call",1,0)</f>
        <v>0</v>
      </c>
      <c r="S28" s="43" t="n">
        <v>0</v>
      </c>
      <c r="T28" s="55" t="e">
        <f aca="false">OSTRIP(G28,H28,I28,J28,K28,L28,M28,N28,O28,P28,Q28,R28,S28)</f>
        <v>#NAME?</v>
      </c>
      <c r="U28" s="56" t="e">
        <f aca="false">T28*B28</f>
        <v>#NAME?</v>
      </c>
      <c r="V28" s="47"/>
      <c r="W28" s="47"/>
      <c r="X28" s="47"/>
      <c r="Y28" s="47"/>
      <c r="Z28" s="47"/>
      <c r="AA28" s="47"/>
      <c r="AB28" s="47"/>
      <c r="AC28" s="47"/>
      <c r="AD28" s="47"/>
      <c r="AE28" s="47"/>
      <c r="AF28" s="47"/>
      <c r="AG28" s="47"/>
      <c r="AH28" s="47"/>
      <c r="AI28" s="47"/>
      <c r="AJ28" s="47"/>
      <c r="AK28" s="47"/>
      <c r="AL28" s="47"/>
      <c r="AM28" s="47"/>
      <c r="AN28" s="47"/>
      <c r="AO28" s="47"/>
      <c r="AP28" s="47"/>
      <c r="AQ28" s="47"/>
      <c r="AR28" s="47"/>
      <c r="AS28" s="47"/>
      <c r="AT28" s="47"/>
      <c r="AU28" s="47"/>
      <c r="AV28" s="47"/>
      <c r="AW28" s="47"/>
      <c r="AX28" s="47"/>
      <c r="AY28" s="47"/>
      <c r="AZ28" s="47"/>
      <c r="BA28" s="47"/>
      <c r="BB28" s="47"/>
      <c r="BC28" s="47"/>
      <c r="BD28" s="47"/>
      <c r="BE28" s="47"/>
      <c r="BF28" s="47"/>
      <c r="BG28" s="47"/>
      <c r="BH28" s="47"/>
      <c r="BI28" s="47"/>
      <c r="BJ28" s="47"/>
      <c r="BK28" s="47"/>
      <c r="BL28" s="47"/>
      <c r="BM28" s="47"/>
      <c r="BN28" s="47"/>
      <c r="BO28" s="47"/>
      <c r="BP28" s="47"/>
      <c r="BQ28" s="47"/>
      <c r="BR28" s="47"/>
      <c r="BS28" s="47"/>
      <c r="BT28" s="47"/>
      <c r="BU28" s="47"/>
      <c r="BV28" s="47"/>
      <c r="BW28" s="47"/>
      <c r="BX28" s="47"/>
      <c r="BY28" s="47"/>
      <c r="BZ28" s="47"/>
      <c r="CA28" s="47"/>
      <c r="CB28" s="47"/>
      <c r="CC28" s="47"/>
      <c r="CD28" s="47"/>
      <c r="CE28" s="47"/>
      <c r="CF28" s="47"/>
      <c r="CG28" s="47"/>
      <c r="CH28" s="47"/>
      <c r="CI28" s="47"/>
      <c r="CJ28" s="47"/>
      <c r="CK28" s="47"/>
      <c r="CL28" s="47"/>
      <c r="CM28" s="47"/>
      <c r="CN28" s="47"/>
      <c r="CO28" s="47"/>
      <c r="CP28" s="47"/>
      <c r="CQ28" s="47"/>
      <c r="CR28" s="47"/>
      <c r="CS28" s="47"/>
      <c r="CT28" s="47"/>
      <c r="CU28" s="47"/>
      <c r="CV28" s="47"/>
      <c r="CW28" s="47"/>
      <c r="CX28" s="47"/>
      <c r="CY28" s="47"/>
      <c r="CZ28" s="47"/>
      <c r="DA28" s="47"/>
      <c r="DB28" s="47"/>
      <c r="DC28" s="47"/>
      <c r="DD28" s="47"/>
      <c r="DE28" s="47"/>
      <c r="DF28" s="47"/>
      <c r="DG28" s="47"/>
      <c r="DH28" s="47"/>
      <c r="DI28" s="47"/>
      <c r="DJ28" s="47"/>
      <c r="DK28" s="47"/>
      <c r="DL28" s="47"/>
      <c r="DM28" s="47"/>
      <c r="DN28" s="47"/>
      <c r="DO28" s="47"/>
      <c r="DP28" s="47"/>
      <c r="DQ28" s="47"/>
      <c r="DR28" s="47"/>
      <c r="DS28" s="47"/>
      <c r="DT28" s="47"/>
      <c r="DU28" s="47"/>
      <c r="DV28" s="47"/>
      <c r="DW28" s="47"/>
      <c r="DX28" s="47"/>
      <c r="DY28" s="47"/>
      <c r="DZ28" s="47"/>
      <c r="EA28" s="47"/>
      <c r="EB28" s="47"/>
      <c r="EC28" s="47"/>
      <c r="ED28" s="47"/>
      <c r="EE28" s="47"/>
      <c r="EF28" s="47"/>
      <c r="EG28" s="47"/>
      <c r="EH28" s="47"/>
      <c r="EI28" s="47"/>
      <c r="EJ28" s="47"/>
      <c r="EK28" s="47"/>
      <c r="EL28" s="47"/>
      <c r="EM28" s="47"/>
      <c r="EN28" s="47"/>
      <c r="EO28" s="47"/>
      <c r="EP28" s="47"/>
      <c r="EQ28" s="47"/>
      <c r="ER28" s="47"/>
      <c r="ES28" s="47"/>
      <c r="ET28" s="47"/>
      <c r="EU28" s="47"/>
      <c r="EV28" s="47"/>
      <c r="EW28" s="47"/>
      <c r="EX28" s="47"/>
      <c r="EY28" s="47"/>
      <c r="EZ28" s="47"/>
      <c r="FA28" s="47"/>
      <c r="FB28" s="47"/>
      <c r="FC28" s="47"/>
      <c r="FD28" s="47"/>
      <c r="FE28" s="47"/>
      <c r="FF28" s="47"/>
      <c r="FG28" s="47"/>
      <c r="FH28" s="47"/>
      <c r="FI28" s="47"/>
      <c r="FJ28" s="47"/>
      <c r="FK28" s="47"/>
      <c r="FL28" s="47"/>
      <c r="FM28" s="47"/>
      <c r="FN28" s="47"/>
      <c r="FO28" s="47"/>
      <c r="FP28" s="47"/>
      <c r="FQ28" s="47"/>
      <c r="FR28" s="47"/>
      <c r="FS28" s="47"/>
      <c r="FT28" s="47"/>
      <c r="FU28" s="47"/>
      <c r="FV28" s="47"/>
      <c r="FW28" s="47"/>
      <c r="FX28" s="47"/>
      <c r="FY28" s="47"/>
      <c r="FZ28" s="47"/>
      <c r="GA28" s="47"/>
      <c r="GB28" s="47"/>
      <c r="GC28" s="47"/>
      <c r="GD28" s="47"/>
      <c r="GE28" s="47"/>
      <c r="GF28" s="47"/>
      <c r="GG28" s="47"/>
      <c r="GH28" s="47"/>
      <c r="GI28" s="47"/>
      <c r="GJ28" s="47"/>
      <c r="GK28" s="47"/>
      <c r="GL28" s="47"/>
      <c r="GM28" s="47"/>
      <c r="GN28" s="47"/>
      <c r="GO28" s="47"/>
      <c r="GP28" s="47"/>
      <c r="GQ28" s="47"/>
      <c r="GR28" s="47"/>
      <c r="GS28" s="47"/>
      <c r="GT28" s="47"/>
      <c r="GU28" s="47"/>
      <c r="GV28" s="47"/>
      <c r="GW28" s="47"/>
      <c r="GX28" s="47"/>
      <c r="GY28" s="47"/>
      <c r="GZ28" s="47"/>
      <c r="HA28" s="47"/>
      <c r="HB28" s="47"/>
      <c r="HC28" s="47"/>
      <c r="HD28" s="47"/>
      <c r="HE28" s="47"/>
      <c r="HF28" s="47"/>
      <c r="HG28" s="47"/>
      <c r="HH28" s="47"/>
      <c r="HI28" s="47"/>
      <c r="HJ28" s="47"/>
      <c r="HK28" s="47"/>
      <c r="HL28" s="47"/>
      <c r="HM28" s="47"/>
      <c r="HN28" s="47"/>
      <c r="HO28" s="47"/>
      <c r="HP28" s="47"/>
      <c r="HQ28" s="47"/>
      <c r="HR28" s="47"/>
      <c r="HS28" s="47"/>
      <c r="HT28" s="47"/>
      <c r="HU28" s="47"/>
      <c r="HV28" s="47"/>
      <c r="HW28" s="47"/>
      <c r="HX28" s="47"/>
      <c r="HY28" s="47"/>
      <c r="HZ28" s="47"/>
      <c r="IA28" s="47"/>
      <c r="IB28" s="47"/>
      <c r="IC28" s="47"/>
      <c r="ID28" s="47"/>
      <c r="IE28" s="47"/>
      <c r="IF28" s="47"/>
      <c r="IG28" s="47"/>
      <c r="IH28" s="47"/>
      <c r="II28" s="47"/>
      <c r="IJ28" s="47"/>
      <c r="IK28" s="47"/>
      <c r="IL28" s="47"/>
      <c r="IM28" s="47"/>
      <c r="IN28" s="47"/>
      <c r="IO28" s="47"/>
      <c r="IP28" s="47"/>
      <c r="IQ28" s="47"/>
      <c r="IR28" s="47"/>
      <c r="IS28" s="47"/>
      <c r="IT28" s="47"/>
      <c r="IU28" s="47"/>
      <c r="IV28" s="47"/>
      <c r="IW28" s="47"/>
    </row>
    <row r="29" customFormat="false" ht="12.75" hidden="false" customHeight="false" outlineLevel="0" collapsed="false">
      <c r="A29" s="44" t="n">
        <f aca="false">+A13</f>
        <v>36892</v>
      </c>
      <c r="B29" s="45" t="n">
        <f aca="false">+B13</f>
        <v>-69750</v>
      </c>
      <c r="C29" s="44" t="n">
        <f aca="false">+C13</f>
        <v>36892</v>
      </c>
      <c r="D29" s="46" t="n">
        <f aca="false">EOMONTH(C29,0)</f>
        <v>36922</v>
      </c>
      <c r="E29" s="25" t="s">
        <v>20</v>
      </c>
      <c r="F29" s="47" t="s">
        <v>48</v>
      </c>
      <c r="G29" s="60" t="n">
        <f aca="false">+G13</f>
        <v>2.868</v>
      </c>
      <c r="H29" s="49" t="n">
        <f aca="false">+H13</f>
        <v>2.868</v>
      </c>
      <c r="I29" s="50" t="n">
        <f aca="false">+A29-$B$2</f>
        <v>-9034</v>
      </c>
      <c r="J29" s="47" t="n">
        <f aca="false">+C29-A29</f>
        <v>0</v>
      </c>
      <c r="K29" s="45" t="n">
        <f aca="false">+D29-C29+1</f>
        <v>31</v>
      </c>
      <c r="L29" s="47" t="n">
        <f aca="false">+L13</f>
        <v>1</v>
      </c>
      <c r="M29" s="61" t="n">
        <f aca="false">+M13</f>
        <v>0.066621997418108</v>
      </c>
      <c r="N29" s="52" t="n">
        <f aca="false">+N13</f>
        <v>1.05</v>
      </c>
      <c r="O29" s="52" t="n">
        <f aca="false">+O13</f>
        <v>1.05</v>
      </c>
      <c r="P29" s="52" t="n">
        <f aca="false">+P13</f>
        <v>1</v>
      </c>
      <c r="Q29" s="54" t="n">
        <f aca="false">+Q13</f>
        <v>0</v>
      </c>
      <c r="R29" s="47" t="n">
        <f aca="false">IF(F29="Call",1,0)</f>
        <v>0</v>
      </c>
      <c r="S29" s="43" t="n">
        <v>0</v>
      </c>
      <c r="T29" s="55" t="e">
        <f aca="false">OSTRIP(G29,H29,I29,J29,K29,L29,M29,N29,O29,P29,Q29,R29,S29)</f>
        <v>#NAME?</v>
      </c>
      <c r="U29" s="56" t="e">
        <f aca="false">T29*B29</f>
        <v>#NAME?</v>
      </c>
      <c r="V29" s="47"/>
      <c r="W29" s="47"/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7"/>
      <c r="AL29" s="47"/>
      <c r="AM29" s="47"/>
      <c r="AN29" s="47"/>
      <c r="AO29" s="47"/>
      <c r="AP29" s="47"/>
      <c r="AQ29" s="47"/>
      <c r="AR29" s="47"/>
      <c r="AS29" s="47"/>
      <c r="AT29" s="47"/>
      <c r="AU29" s="47"/>
      <c r="AV29" s="47"/>
      <c r="AW29" s="47"/>
      <c r="AX29" s="47"/>
      <c r="AY29" s="47"/>
      <c r="AZ29" s="47"/>
      <c r="BA29" s="47"/>
      <c r="BB29" s="47"/>
      <c r="BC29" s="47"/>
      <c r="BD29" s="47"/>
      <c r="BE29" s="47"/>
      <c r="BF29" s="47"/>
      <c r="BG29" s="47"/>
      <c r="BH29" s="47"/>
      <c r="BI29" s="47"/>
      <c r="BJ29" s="47"/>
      <c r="BK29" s="47"/>
      <c r="BL29" s="47"/>
      <c r="BM29" s="47"/>
      <c r="BN29" s="47"/>
      <c r="BO29" s="47"/>
      <c r="BP29" s="47"/>
      <c r="BQ29" s="47"/>
      <c r="BR29" s="47"/>
      <c r="BS29" s="47"/>
      <c r="BT29" s="47"/>
      <c r="BU29" s="47"/>
      <c r="BV29" s="47"/>
      <c r="BW29" s="47"/>
      <c r="BX29" s="47"/>
      <c r="BY29" s="47"/>
      <c r="BZ29" s="47"/>
      <c r="CA29" s="47"/>
      <c r="CB29" s="47"/>
      <c r="CC29" s="47"/>
      <c r="CD29" s="47"/>
      <c r="CE29" s="47"/>
      <c r="CF29" s="47"/>
      <c r="CG29" s="47"/>
      <c r="CH29" s="47"/>
      <c r="CI29" s="47"/>
      <c r="CJ29" s="47"/>
      <c r="CK29" s="47"/>
      <c r="CL29" s="47"/>
      <c r="CM29" s="47"/>
      <c r="CN29" s="47"/>
      <c r="CO29" s="47"/>
      <c r="CP29" s="47"/>
      <c r="CQ29" s="47"/>
      <c r="CR29" s="47"/>
      <c r="CS29" s="47"/>
      <c r="CT29" s="47"/>
      <c r="CU29" s="47"/>
      <c r="CV29" s="47"/>
      <c r="CW29" s="47"/>
      <c r="CX29" s="47"/>
      <c r="CY29" s="47"/>
      <c r="CZ29" s="47"/>
      <c r="DA29" s="47"/>
      <c r="DB29" s="47"/>
      <c r="DC29" s="47"/>
      <c r="DD29" s="47"/>
      <c r="DE29" s="47"/>
      <c r="DF29" s="47"/>
      <c r="DG29" s="47"/>
      <c r="DH29" s="47"/>
      <c r="DI29" s="47"/>
      <c r="DJ29" s="47"/>
      <c r="DK29" s="47"/>
      <c r="DL29" s="47"/>
      <c r="DM29" s="47"/>
      <c r="DN29" s="47"/>
      <c r="DO29" s="47"/>
      <c r="DP29" s="47"/>
      <c r="DQ29" s="47"/>
      <c r="DR29" s="47"/>
      <c r="DS29" s="47"/>
      <c r="DT29" s="47"/>
      <c r="DU29" s="47"/>
      <c r="DV29" s="47"/>
      <c r="DW29" s="47"/>
      <c r="DX29" s="47"/>
      <c r="DY29" s="47"/>
      <c r="DZ29" s="47"/>
      <c r="EA29" s="47"/>
      <c r="EB29" s="47"/>
      <c r="EC29" s="47"/>
      <c r="ED29" s="47"/>
      <c r="EE29" s="47"/>
      <c r="EF29" s="47"/>
      <c r="EG29" s="47"/>
      <c r="EH29" s="47"/>
      <c r="EI29" s="47"/>
      <c r="EJ29" s="47"/>
      <c r="EK29" s="47"/>
      <c r="EL29" s="47"/>
      <c r="EM29" s="47"/>
      <c r="EN29" s="47"/>
      <c r="EO29" s="47"/>
      <c r="EP29" s="47"/>
      <c r="EQ29" s="47"/>
      <c r="ER29" s="47"/>
      <c r="ES29" s="47"/>
      <c r="ET29" s="47"/>
      <c r="EU29" s="47"/>
      <c r="EV29" s="47"/>
      <c r="EW29" s="47"/>
      <c r="EX29" s="47"/>
      <c r="EY29" s="47"/>
      <c r="EZ29" s="47"/>
      <c r="FA29" s="47"/>
      <c r="FB29" s="47"/>
      <c r="FC29" s="47"/>
      <c r="FD29" s="47"/>
      <c r="FE29" s="47"/>
      <c r="FF29" s="47"/>
      <c r="FG29" s="47"/>
      <c r="FH29" s="47"/>
      <c r="FI29" s="47"/>
      <c r="FJ29" s="47"/>
      <c r="FK29" s="47"/>
      <c r="FL29" s="47"/>
      <c r="FM29" s="47"/>
      <c r="FN29" s="47"/>
      <c r="FO29" s="47"/>
      <c r="FP29" s="47"/>
      <c r="FQ29" s="47"/>
      <c r="FR29" s="47"/>
      <c r="FS29" s="47"/>
      <c r="FT29" s="47"/>
      <c r="FU29" s="47"/>
      <c r="FV29" s="47"/>
      <c r="FW29" s="47"/>
      <c r="FX29" s="47"/>
      <c r="FY29" s="47"/>
      <c r="FZ29" s="47"/>
      <c r="GA29" s="47"/>
      <c r="GB29" s="47"/>
      <c r="GC29" s="47"/>
      <c r="GD29" s="47"/>
      <c r="GE29" s="47"/>
      <c r="GF29" s="47"/>
      <c r="GG29" s="47"/>
      <c r="GH29" s="47"/>
      <c r="GI29" s="47"/>
      <c r="GJ29" s="47"/>
      <c r="GK29" s="47"/>
      <c r="GL29" s="47"/>
      <c r="GM29" s="47"/>
      <c r="GN29" s="47"/>
      <c r="GO29" s="47"/>
      <c r="GP29" s="47"/>
      <c r="GQ29" s="47"/>
      <c r="GR29" s="47"/>
      <c r="GS29" s="47"/>
      <c r="GT29" s="47"/>
      <c r="GU29" s="47"/>
      <c r="GV29" s="47"/>
      <c r="GW29" s="47"/>
      <c r="GX29" s="47"/>
      <c r="GY29" s="47"/>
      <c r="GZ29" s="47"/>
      <c r="HA29" s="47"/>
      <c r="HB29" s="47"/>
      <c r="HC29" s="47"/>
      <c r="HD29" s="47"/>
      <c r="HE29" s="47"/>
      <c r="HF29" s="47"/>
      <c r="HG29" s="47"/>
      <c r="HH29" s="47"/>
      <c r="HI29" s="47"/>
      <c r="HJ29" s="47"/>
      <c r="HK29" s="47"/>
      <c r="HL29" s="47"/>
      <c r="HM29" s="47"/>
      <c r="HN29" s="47"/>
      <c r="HO29" s="47"/>
      <c r="HP29" s="47"/>
      <c r="HQ29" s="47"/>
      <c r="HR29" s="47"/>
      <c r="HS29" s="47"/>
      <c r="HT29" s="47"/>
      <c r="HU29" s="47"/>
      <c r="HV29" s="47"/>
      <c r="HW29" s="47"/>
      <c r="HX29" s="47"/>
      <c r="HY29" s="47"/>
      <c r="HZ29" s="47"/>
      <c r="IA29" s="47"/>
      <c r="IB29" s="47"/>
      <c r="IC29" s="47"/>
      <c r="ID29" s="47"/>
      <c r="IE29" s="47"/>
      <c r="IF29" s="47"/>
      <c r="IG29" s="47"/>
      <c r="IH29" s="47"/>
      <c r="II29" s="47"/>
      <c r="IJ29" s="47"/>
      <c r="IK29" s="47"/>
      <c r="IL29" s="47"/>
      <c r="IM29" s="47"/>
      <c r="IN29" s="47"/>
      <c r="IO29" s="47"/>
      <c r="IP29" s="47"/>
      <c r="IQ29" s="47"/>
      <c r="IR29" s="47"/>
      <c r="IS29" s="47"/>
      <c r="IT29" s="47"/>
      <c r="IU29" s="47"/>
      <c r="IV29" s="47"/>
      <c r="IW29" s="47"/>
    </row>
    <row r="30" customFormat="false" ht="12.75" hidden="false" customHeight="false" outlineLevel="0" collapsed="false">
      <c r="A30" s="44" t="n">
        <f aca="false">+A14</f>
        <v>36923</v>
      </c>
      <c r="B30" s="45" t="n">
        <f aca="false">+B14</f>
        <v>-63000</v>
      </c>
      <c r="C30" s="44" t="n">
        <f aca="false">+C14</f>
        <v>36923</v>
      </c>
      <c r="D30" s="46" t="n">
        <f aca="false">EOMONTH(C30,0)</f>
        <v>36950</v>
      </c>
      <c r="E30" s="25" t="s">
        <v>20</v>
      </c>
      <c r="F30" s="47" t="s">
        <v>48</v>
      </c>
      <c r="G30" s="60" t="n">
        <f aca="false">+G14</f>
        <v>2.7335</v>
      </c>
      <c r="H30" s="49" t="n">
        <f aca="false">+H14</f>
        <v>2.7335</v>
      </c>
      <c r="I30" s="50" t="n">
        <f aca="false">+A30-$B$2</f>
        <v>-9003</v>
      </c>
      <c r="J30" s="47" t="n">
        <f aca="false">+C30-A30</f>
        <v>0</v>
      </c>
      <c r="K30" s="45" t="n">
        <f aca="false">+D30-C30+1</f>
        <v>28</v>
      </c>
      <c r="L30" s="47" t="n">
        <f aca="false">+L14</f>
        <v>1</v>
      </c>
      <c r="M30" s="61" t="n">
        <f aca="false">+M14</f>
        <v>0.067094813788782</v>
      </c>
      <c r="N30" s="52" t="n">
        <f aca="false">+N14</f>
        <v>1.05</v>
      </c>
      <c r="O30" s="52" t="n">
        <f aca="false">+O14</f>
        <v>1.05</v>
      </c>
      <c r="P30" s="52" t="n">
        <f aca="false">+P14</f>
        <v>1</v>
      </c>
      <c r="Q30" s="54" t="n">
        <f aca="false">+Q14</f>
        <v>0</v>
      </c>
      <c r="R30" s="47" t="n">
        <f aca="false">IF(F30="Call",1,0)</f>
        <v>0</v>
      </c>
      <c r="S30" s="43" t="n">
        <v>0</v>
      </c>
      <c r="T30" s="55" t="e">
        <f aca="false">OSTRIP(G30,H30,I30,J30,K30,L30,M30,N30,O30,P30,Q30,R30,S30)</f>
        <v>#NAME?</v>
      </c>
      <c r="U30" s="56" t="e">
        <f aca="false">T30*B30</f>
        <v>#NAME?</v>
      </c>
      <c r="V30" s="47"/>
      <c r="W30" s="47"/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7"/>
      <c r="AL30" s="47"/>
      <c r="AM30" s="47"/>
      <c r="AN30" s="47"/>
      <c r="AO30" s="47"/>
      <c r="AP30" s="47"/>
      <c r="AQ30" s="47"/>
      <c r="AR30" s="47"/>
      <c r="AS30" s="47"/>
      <c r="AT30" s="47"/>
      <c r="AU30" s="47"/>
      <c r="AV30" s="47"/>
      <c r="AW30" s="47"/>
      <c r="AX30" s="47"/>
      <c r="AY30" s="47"/>
      <c r="AZ30" s="47"/>
      <c r="BA30" s="47"/>
      <c r="BB30" s="47"/>
      <c r="BC30" s="47"/>
      <c r="BD30" s="47"/>
      <c r="BE30" s="47"/>
      <c r="BF30" s="47"/>
      <c r="BG30" s="47"/>
      <c r="BH30" s="47"/>
      <c r="BI30" s="47"/>
      <c r="BJ30" s="47"/>
      <c r="BK30" s="47"/>
      <c r="BL30" s="47"/>
      <c r="BM30" s="47"/>
      <c r="BN30" s="47"/>
      <c r="BO30" s="47"/>
      <c r="BP30" s="47"/>
      <c r="BQ30" s="47"/>
      <c r="BR30" s="47"/>
      <c r="BS30" s="47"/>
      <c r="BT30" s="47"/>
      <c r="BU30" s="47"/>
      <c r="BV30" s="47"/>
      <c r="BW30" s="47"/>
      <c r="BX30" s="47"/>
      <c r="BY30" s="47"/>
      <c r="BZ30" s="47"/>
      <c r="CA30" s="47"/>
      <c r="CB30" s="47"/>
      <c r="CC30" s="47"/>
      <c r="CD30" s="47"/>
      <c r="CE30" s="47"/>
      <c r="CF30" s="47"/>
      <c r="CG30" s="47"/>
      <c r="CH30" s="47"/>
      <c r="CI30" s="47"/>
      <c r="CJ30" s="47"/>
      <c r="CK30" s="47"/>
      <c r="CL30" s="47"/>
      <c r="CM30" s="47"/>
      <c r="CN30" s="47"/>
      <c r="CO30" s="47"/>
      <c r="CP30" s="47"/>
      <c r="CQ30" s="47"/>
      <c r="CR30" s="47"/>
      <c r="CS30" s="47"/>
      <c r="CT30" s="47"/>
      <c r="CU30" s="47"/>
      <c r="CV30" s="47"/>
      <c r="CW30" s="47"/>
      <c r="CX30" s="47"/>
      <c r="CY30" s="47"/>
      <c r="CZ30" s="47"/>
      <c r="DA30" s="47"/>
      <c r="DB30" s="47"/>
      <c r="DC30" s="47"/>
      <c r="DD30" s="47"/>
      <c r="DE30" s="47"/>
      <c r="DF30" s="47"/>
      <c r="DG30" s="47"/>
      <c r="DH30" s="47"/>
      <c r="DI30" s="47"/>
      <c r="DJ30" s="47"/>
      <c r="DK30" s="47"/>
      <c r="DL30" s="47"/>
      <c r="DM30" s="47"/>
      <c r="DN30" s="47"/>
      <c r="DO30" s="47"/>
      <c r="DP30" s="47"/>
      <c r="DQ30" s="47"/>
      <c r="DR30" s="47"/>
      <c r="DS30" s="47"/>
      <c r="DT30" s="47"/>
      <c r="DU30" s="47"/>
      <c r="DV30" s="47"/>
      <c r="DW30" s="47"/>
      <c r="DX30" s="47"/>
      <c r="DY30" s="47"/>
      <c r="DZ30" s="47"/>
      <c r="EA30" s="47"/>
      <c r="EB30" s="47"/>
      <c r="EC30" s="47"/>
      <c r="ED30" s="47"/>
      <c r="EE30" s="47"/>
      <c r="EF30" s="47"/>
      <c r="EG30" s="47"/>
      <c r="EH30" s="47"/>
      <c r="EI30" s="47"/>
      <c r="EJ30" s="47"/>
      <c r="EK30" s="47"/>
      <c r="EL30" s="47"/>
      <c r="EM30" s="47"/>
      <c r="EN30" s="47"/>
      <c r="EO30" s="47"/>
      <c r="EP30" s="47"/>
      <c r="EQ30" s="47"/>
      <c r="ER30" s="47"/>
      <c r="ES30" s="47"/>
      <c r="ET30" s="47"/>
      <c r="EU30" s="47"/>
      <c r="EV30" s="47"/>
      <c r="EW30" s="47"/>
      <c r="EX30" s="47"/>
      <c r="EY30" s="47"/>
      <c r="EZ30" s="47"/>
      <c r="FA30" s="47"/>
      <c r="FB30" s="47"/>
      <c r="FC30" s="47"/>
      <c r="FD30" s="47"/>
      <c r="FE30" s="47"/>
      <c r="FF30" s="47"/>
      <c r="FG30" s="47"/>
      <c r="FH30" s="47"/>
      <c r="FI30" s="47"/>
      <c r="FJ30" s="47"/>
      <c r="FK30" s="47"/>
      <c r="FL30" s="47"/>
      <c r="FM30" s="47"/>
      <c r="FN30" s="47"/>
      <c r="FO30" s="47"/>
      <c r="FP30" s="47"/>
      <c r="FQ30" s="47"/>
      <c r="FR30" s="47"/>
      <c r="FS30" s="47"/>
      <c r="FT30" s="47"/>
      <c r="FU30" s="47"/>
      <c r="FV30" s="47"/>
      <c r="FW30" s="47"/>
      <c r="FX30" s="47"/>
      <c r="FY30" s="47"/>
      <c r="FZ30" s="47"/>
      <c r="GA30" s="47"/>
      <c r="GB30" s="47"/>
      <c r="GC30" s="47"/>
      <c r="GD30" s="47"/>
      <c r="GE30" s="47"/>
      <c r="GF30" s="47"/>
      <c r="GG30" s="47"/>
      <c r="GH30" s="47"/>
      <c r="GI30" s="47"/>
      <c r="GJ30" s="47"/>
      <c r="GK30" s="47"/>
      <c r="GL30" s="47"/>
      <c r="GM30" s="47"/>
      <c r="GN30" s="47"/>
      <c r="GO30" s="47"/>
      <c r="GP30" s="47"/>
      <c r="GQ30" s="47"/>
      <c r="GR30" s="47"/>
      <c r="GS30" s="47"/>
      <c r="GT30" s="47"/>
      <c r="GU30" s="47"/>
      <c r="GV30" s="47"/>
      <c r="GW30" s="47"/>
      <c r="GX30" s="47"/>
      <c r="GY30" s="47"/>
      <c r="GZ30" s="47"/>
      <c r="HA30" s="47"/>
      <c r="HB30" s="47"/>
      <c r="HC30" s="47"/>
      <c r="HD30" s="47"/>
      <c r="HE30" s="47"/>
      <c r="HF30" s="47"/>
      <c r="HG30" s="47"/>
      <c r="HH30" s="47"/>
      <c r="HI30" s="47"/>
      <c r="HJ30" s="47"/>
      <c r="HK30" s="47"/>
      <c r="HL30" s="47"/>
      <c r="HM30" s="47"/>
      <c r="HN30" s="47"/>
      <c r="HO30" s="47"/>
      <c r="HP30" s="47"/>
      <c r="HQ30" s="47"/>
      <c r="HR30" s="47"/>
      <c r="HS30" s="47"/>
      <c r="HT30" s="47"/>
      <c r="HU30" s="47"/>
      <c r="HV30" s="47"/>
      <c r="HW30" s="47"/>
      <c r="HX30" s="47"/>
      <c r="HY30" s="47"/>
      <c r="HZ30" s="47"/>
      <c r="IA30" s="47"/>
      <c r="IB30" s="47"/>
      <c r="IC30" s="47"/>
      <c r="ID30" s="47"/>
      <c r="IE30" s="47"/>
      <c r="IF30" s="47"/>
      <c r="IG30" s="47"/>
      <c r="IH30" s="47"/>
      <c r="II30" s="47"/>
      <c r="IJ30" s="47"/>
      <c r="IK30" s="47"/>
      <c r="IL30" s="47"/>
      <c r="IM30" s="47"/>
      <c r="IN30" s="47"/>
      <c r="IO30" s="47"/>
      <c r="IP30" s="47"/>
      <c r="IQ30" s="47"/>
      <c r="IR30" s="47"/>
      <c r="IS30" s="47"/>
      <c r="IT30" s="47"/>
      <c r="IU30" s="47"/>
      <c r="IV30" s="47"/>
      <c r="IW30" s="47"/>
    </row>
    <row r="31" customFormat="false" ht="12.75" hidden="false" customHeight="false" outlineLevel="0" collapsed="false">
      <c r="A31" s="44" t="n">
        <f aca="false">+A15</f>
        <v>36951</v>
      </c>
      <c r="B31" s="45" t="n">
        <f aca="false">+B15</f>
        <v>-69750</v>
      </c>
      <c r="C31" s="44" t="n">
        <f aca="false">+C15</f>
        <v>36951</v>
      </c>
      <c r="D31" s="46" t="n">
        <f aca="false">EOMONTH(C31,0)</f>
        <v>36981</v>
      </c>
      <c r="E31" s="25" t="s">
        <v>20</v>
      </c>
      <c r="F31" s="47" t="s">
        <v>48</v>
      </c>
      <c r="G31" s="60" t="n">
        <f aca="false">+G15</f>
        <v>2.613</v>
      </c>
      <c r="H31" s="49" t="n">
        <f aca="false">+H15</f>
        <v>2.613</v>
      </c>
      <c r="I31" s="50" t="n">
        <f aca="false">+A31-$B$2</f>
        <v>-8975</v>
      </c>
      <c r="J31" s="47" t="n">
        <f aca="false">+C31-A31</f>
        <v>0</v>
      </c>
      <c r="K31" s="45" t="n">
        <f aca="false">+D31-C31+1</f>
        <v>31</v>
      </c>
      <c r="L31" s="47" t="n">
        <f aca="false">+L15</f>
        <v>1</v>
      </c>
      <c r="M31" s="61" t="n">
        <f aca="false">+M15</f>
        <v>0.067521873800113</v>
      </c>
      <c r="N31" s="52" t="n">
        <f aca="false">+N15</f>
        <v>0.8</v>
      </c>
      <c r="O31" s="52" t="n">
        <f aca="false">+O15</f>
        <v>0.8</v>
      </c>
      <c r="P31" s="52" t="n">
        <f aca="false">+P15</f>
        <v>1</v>
      </c>
      <c r="Q31" s="54" t="n">
        <f aca="false">+Q15</f>
        <v>0</v>
      </c>
      <c r="R31" s="47" t="n">
        <f aca="false">IF(F31="Call",1,0)</f>
        <v>0</v>
      </c>
      <c r="S31" s="43" t="n">
        <v>0</v>
      </c>
      <c r="T31" s="55" t="e">
        <f aca="false">OSTRIP(G31,H31,I31,J31,K31,L31,M31,N31,O31,P31,Q31,R31,S31)</f>
        <v>#NAME?</v>
      </c>
      <c r="U31" s="56" t="e">
        <f aca="false">T31*B31</f>
        <v>#NAME?</v>
      </c>
      <c r="V31" s="47"/>
      <c r="W31" s="47"/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7"/>
      <c r="AL31" s="47"/>
      <c r="AM31" s="47"/>
      <c r="AN31" s="47"/>
      <c r="AO31" s="47"/>
      <c r="AP31" s="47"/>
      <c r="AQ31" s="47"/>
      <c r="AR31" s="47"/>
      <c r="AS31" s="47"/>
      <c r="AT31" s="47"/>
      <c r="AU31" s="47"/>
      <c r="AV31" s="47"/>
      <c r="AW31" s="47"/>
      <c r="AX31" s="47"/>
      <c r="AY31" s="47"/>
      <c r="AZ31" s="47"/>
      <c r="BA31" s="47"/>
      <c r="BB31" s="47"/>
      <c r="BC31" s="47"/>
      <c r="BD31" s="47"/>
      <c r="BE31" s="47"/>
      <c r="BF31" s="47"/>
      <c r="BG31" s="47"/>
      <c r="BH31" s="47"/>
      <c r="BI31" s="47"/>
      <c r="BJ31" s="47"/>
      <c r="BK31" s="47"/>
      <c r="BL31" s="47"/>
      <c r="BM31" s="47"/>
      <c r="BN31" s="47"/>
      <c r="BO31" s="47"/>
      <c r="BP31" s="47"/>
      <c r="BQ31" s="47"/>
      <c r="BR31" s="47"/>
      <c r="BS31" s="47"/>
      <c r="BT31" s="47"/>
      <c r="BU31" s="47"/>
      <c r="BV31" s="47"/>
      <c r="BW31" s="47"/>
      <c r="BX31" s="47"/>
      <c r="BY31" s="47"/>
      <c r="BZ31" s="47"/>
      <c r="CA31" s="47"/>
      <c r="CB31" s="47"/>
      <c r="CC31" s="47"/>
      <c r="CD31" s="47"/>
      <c r="CE31" s="47"/>
      <c r="CF31" s="47"/>
      <c r="CG31" s="47"/>
      <c r="CH31" s="47"/>
      <c r="CI31" s="47"/>
      <c r="CJ31" s="47"/>
      <c r="CK31" s="47"/>
      <c r="CL31" s="47"/>
      <c r="CM31" s="47"/>
      <c r="CN31" s="47"/>
      <c r="CO31" s="47"/>
      <c r="CP31" s="47"/>
      <c r="CQ31" s="47"/>
      <c r="CR31" s="47"/>
      <c r="CS31" s="47"/>
      <c r="CT31" s="47"/>
      <c r="CU31" s="47"/>
      <c r="CV31" s="47"/>
      <c r="CW31" s="47"/>
      <c r="CX31" s="47"/>
      <c r="CY31" s="47"/>
      <c r="CZ31" s="47"/>
      <c r="DA31" s="47"/>
      <c r="DB31" s="47"/>
      <c r="DC31" s="47"/>
      <c r="DD31" s="47"/>
      <c r="DE31" s="47"/>
      <c r="DF31" s="47"/>
      <c r="DG31" s="47"/>
      <c r="DH31" s="47"/>
      <c r="DI31" s="47"/>
      <c r="DJ31" s="47"/>
      <c r="DK31" s="47"/>
      <c r="DL31" s="47"/>
      <c r="DM31" s="47"/>
      <c r="DN31" s="47"/>
      <c r="DO31" s="47"/>
      <c r="DP31" s="47"/>
      <c r="DQ31" s="47"/>
      <c r="DR31" s="47"/>
      <c r="DS31" s="47"/>
      <c r="DT31" s="47"/>
      <c r="DU31" s="47"/>
      <c r="DV31" s="47"/>
      <c r="DW31" s="47"/>
      <c r="DX31" s="47"/>
      <c r="DY31" s="47"/>
      <c r="DZ31" s="47"/>
      <c r="EA31" s="47"/>
      <c r="EB31" s="47"/>
      <c r="EC31" s="47"/>
      <c r="ED31" s="47"/>
      <c r="EE31" s="47"/>
      <c r="EF31" s="47"/>
      <c r="EG31" s="47"/>
      <c r="EH31" s="47"/>
      <c r="EI31" s="47"/>
      <c r="EJ31" s="47"/>
      <c r="EK31" s="47"/>
      <c r="EL31" s="47"/>
      <c r="EM31" s="47"/>
      <c r="EN31" s="47"/>
      <c r="EO31" s="47"/>
      <c r="EP31" s="47"/>
      <c r="EQ31" s="47"/>
      <c r="ER31" s="47"/>
      <c r="ES31" s="47"/>
      <c r="ET31" s="47"/>
      <c r="EU31" s="47"/>
      <c r="EV31" s="47"/>
      <c r="EW31" s="47"/>
      <c r="EX31" s="47"/>
      <c r="EY31" s="47"/>
      <c r="EZ31" s="47"/>
      <c r="FA31" s="47"/>
      <c r="FB31" s="47"/>
      <c r="FC31" s="47"/>
      <c r="FD31" s="47"/>
      <c r="FE31" s="47"/>
      <c r="FF31" s="47"/>
      <c r="FG31" s="47"/>
      <c r="FH31" s="47"/>
      <c r="FI31" s="47"/>
      <c r="FJ31" s="47"/>
      <c r="FK31" s="47"/>
      <c r="FL31" s="47"/>
      <c r="FM31" s="47"/>
      <c r="FN31" s="47"/>
      <c r="FO31" s="47"/>
      <c r="FP31" s="47"/>
      <c r="FQ31" s="47"/>
      <c r="FR31" s="47"/>
      <c r="FS31" s="47"/>
      <c r="FT31" s="47"/>
      <c r="FU31" s="47"/>
      <c r="FV31" s="47"/>
      <c r="FW31" s="47"/>
      <c r="FX31" s="47"/>
      <c r="FY31" s="47"/>
      <c r="FZ31" s="47"/>
      <c r="GA31" s="47"/>
      <c r="GB31" s="47"/>
      <c r="GC31" s="47"/>
      <c r="GD31" s="47"/>
      <c r="GE31" s="47"/>
      <c r="GF31" s="47"/>
      <c r="GG31" s="47"/>
      <c r="GH31" s="47"/>
      <c r="GI31" s="47"/>
      <c r="GJ31" s="47"/>
      <c r="GK31" s="47"/>
      <c r="GL31" s="47"/>
      <c r="GM31" s="47"/>
      <c r="GN31" s="47"/>
      <c r="GO31" s="47"/>
      <c r="GP31" s="47"/>
      <c r="GQ31" s="47"/>
      <c r="GR31" s="47"/>
      <c r="GS31" s="47"/>
      <c r="GT31" s="47"/>
      <c r="GU31" s="47"/>
      <c r="GV31" s="47"/>
      <c r="GW31" s="47"/>
      <c r="GX31" s="47"/>
      <c r="GY31" s="47"/>
      <c r="GZ31" s="47"/>
      <c r="HA31" s="47"/>
      <c r="HB31" s="47"/>
      <c r="HC31" s="47"/>
      <c r="HD31" s="47"/>
      <c r="HE31" s="47"/>
      <c r="HF31" s="47"/>
      <c r="HG31" s="47"/>
      <c r="HH31" s="47"/>
      <c r="HI31" s="47"/>
      <c r="HJ31" s="47"/>
      <c r="HK31" s="47"/>
      <c r="HL31" s="47"/>
      <c r="HM31" s="47"/>
      <c r="HN31" s="47"/>
      <c r="HO31" s="47"/>
      <c r="HP31" s="47"/>
      <c r="HQ31" s="47"/>
      <c r="HR31" s="47"/>
      <c r="HS31" s="47"/>
      <c r="HT31" s="47"/>
      <c r="HU31" s="47"/>
      <c r="HV31" s="47"/>
      <c r="HW31" s="47"/>
      <c r="HX31" s="47"/>
      <c r="HY31" s="47"/>
      <c r="HZ31" s="47"/>
      <c r="IA31" s="47"/>
      <c r="IB31" s="47"/>
      <c r="IC31" s="47"/>
      <c r="ID31" s="47"/>
      <c r="IE31" s="47"/>
      <c r="IF31" s="47"/>
      <c r="IG31" s="47"/>
      <c r="IH31" s="47"/>
      <c r="II31" s="47"/>
      <c r="IJ31" s="47"/>
      <c r="IK31" s="47"/>
      <c r="IL31" s="47"/>
      <c r="IM31" s="47"/>
      <c r="IN31" s="47"/>
      <c r="IO31" s="47"/>
      <c r="IP31" s="47"/>
      <c r="IQ31" s="47"/>
      <c r="IR31" s="47"/>
      <c r="IS31" s="47"/>
      <c r="IT31" s="47"/>
      <c r="IU31" s="47"/>
      <c r="IV31" s="47"/>
      <c r="IW31" s="47"/>
    </row>
    <row r="32" customFormat="false" ht="12.75" hidden="false" customHeight="false" outlineLevel="0" collapsed="false">
      <c r="A32" s="44" t="n">
        <f aca="false">+A16</f>
        <v>36982</v>
      </c>
      <c r="B32" s="45" t="n">
        <f aca="false">+B16</f>
        <v>-67500</v>
      </c>
      <c r="C32" s="44" t="n">
        <f aca="false">+C16</f>
        <v>36982</v>
      </c>
      <c r="D32" s="46" t="n">
        <f aca="false">EOMONTH(C32,0)</f>
        <v>37011</v>
      </c>
      <c r="E32" s="25" t="s">
        <v>20</v>
      </c>
      <c r="F32" s="47" t="s">
        <v>48</v>
      </c>
      <c r="G32" s="60" t="n">
        <f aca="false">+G16</f>
        <v>2.523</v>
      </c>
      <c r="H32" s="49" t="n">
        <f aca="false">+H16</f>
        <v>2.523</v>
      </c>
      <c r="I32" s="50" t="n">
        <f aca="false">+A32-$B$2</f>
        <v>-8944</v>
      </c>
      <c r="J32" s="47" t="n">
        <f aca="false">+C32-A32</f>
        <v>0</v>
      </c>
      <c r="K32" s="45" t="n">
        <f aca="false">+D32-C32+1</f>
        <v>30</v>
      </c>
      <c r="L32" s="47" t="n">
        <f aca="false">+L16</f>
        <v>1</v>
      </c>
      <c r="M32" s="61" t="n">
        <f aca="false">+M16</f>
        <v>0.06795355802668</v>
      </c>
      <c r="N32" s="52" t="n">
        <f aca="false">+N16</f>
        <v>0.45</v>
      </c>
      <c r="O32" s="52" t="n">
        <f aca="false">+O16</f>
        <v>0.45</v>
      </c>
      <c r="P32" s="52" t="n">
        <f aca="false">+P16</f>
        <v>1</v>
      </c>
      <c r="Q32" s="54" t="n">
        <f aca="false">+Q16</f>
        <v>0</v>
      </c>
      <c r="R32" s="47" t="n">
        <f aca="false">IF(F32="Call",1,0)</f>
        <v>0</v>
      </c>
      <c r="S32" s="43" t="n">
        <v>0</v>
      </c>
      <c r="T32" s="55" t="e">
        <f aca="false">OSTRIP(G32,H32,I32,J32,K32,L32,M32,N32,O32,P32,Q32,R32,S32)</f>
        <v>#NAME?</v>
      </c>
      <c r="U32" s="56" t="e">
        <f aca="false">T32*B32</f>
        <v>#NAME?</v>
      </c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7"/>
      <c r="AL32" s="47"/>
      <c r="AM32" s="47"/>
      <c r="AN32" s="47"/>
      <c r="AO32" s="47"/>
      <c r="AP32" s="47"/>
      <c r="AQ32" s="47"/>
      <c r="AR32" s="47"/>
      <c r="AS32" s="47"/>
      <c r="AT32" s="47"/>
      <c r="AU32" s="47"/>
      <c r="AV32" s="47"/>
      <c r="AW32" s="47"/>
      <c r="AX32" s="47"/>
      <c r="AY32" s="47"/>
      <c r="AZ32" s="47"/>
      <c r="BA32" s="47"/>
      <c r="BB32" s="47"/>
      <c r="BC32" s="47"/>
      <c r="BD32" s="47"/>
      <c r="BE32" s="47"/>
      <c r="BF32" s="47"/>
      <c r="BG32" s="47"/>
      <c r="BH32" s="47"/>
      <c r="BI32" s="47"/>
      <c r="BJ32" s="47"/>
      <c r="BK32" s="47"/>
      <c r="BL32" s="47"/>
      <c r="BM32" s="47"/>
      <c r="BN32" s="47"/>
      <c r="BO32" s="47"/>
      <c r="BP32" s="47"/>
      <c r="BQ32" s="47"/>
      <c r="BR32" s="47"/>
      <c r="BS32" s="47"/>
      <c r="BT32" s="47"/>
      <c r="BU32" s="47"/>
      <c r="BV32" s="47"/>
      <c r="BW32" s="47"/>
      <c r="BX32" s="47"/>
      <c r="BY32" s="47"/>
      <c r="BZ32" s="47"/>
      <c r="CA32" s="47"/>
      <c r="CB32" s="47"/>
      <c r="CC32" s="47"/>
      <c r="CD32" s="47"/>
      <c r="CE32" s="47"/>
      <c r="CF32" s="47"/>
      <c r="CG32" s="47"/>
      <c r="CH32" s="47"/>
      <c r="CI32" s="47"/>
      <c r="CJ32" s="47"/>
      <c r="CK32" s="47"/>
      <c r="CL32" s="47"/>
      <c r="CM32" s="47"/>
      <c r="CN32" s="47"/>
      <c r="CO32" s="47"/>
      <c r="CP32" s="47"/>
      <c r="CQ32" s="47"/>
      <c r="CR32" s="47"/>
      <c r="CS32" s="47"/>
      <c r="CT32" s="47"/>
      <c r="CU32" s="47"/>
      <c r="CV32" s="47"/>
      <c r="CW32" s="47"/>
      <c r="CX32" s="47"/>
      <c r="CY32" s="47"/>
      <c r="CZ32" s="47"/>
      <c r="DA32" s="47"/>
      <c r="DB32" s="47"/>
      <c r="DC32" s="47"/>
      <c r="DD32" s="47"/>
      <c r="DE32" s="47"/>
      <c r="DF32" s="47"/>
      <c r="DG32" s="47"/>
      <c r="DH32" s="47"/>
      <c r="DI32" s="47"/>
      <c r="DJ32" s="47"/>
      <c r="DK32" s="47"/>
      <c r="DL32" s="47"/>
      <c r="DM32" s="47"/>
      <c r="DN32" s="47"/>
      <c r="DO32" s="47"/>
      <c r="DP32" s="47"/>
      <c r="DQ32" s="47"/>
      <c r="DR32" s="47"/>
      <c r="DS32" s="47"/>
      <c r="DT32" s="47"/>
      <c r="DU32" s="47"/>
      <c r="DV32" s="47"/>
      <c r="DW32" s="47"/>
      <c r="DX32" s="47"/>
      <c r="DY32" s="47"/>
      <c r="DZ32" s="47"/>
      <c r="EA32" s="47"/>
      <c r="EB32" s="47"/>
      <c r="EC32" s="47"/>
      <c r="ED32" s="47"/>
      <c r="EE32" s="47"/>
      <c r="EF32" s="47"/>
      <c r="EG32" s="47"/>
      <c r="EH32" s="47"/>
      <c r="EI32" s="47"/>
      <c r="EJ32" s="47"/>
      <c r="EK32" s="47"/>
      <c r="EL32" s="47"/>
      <c r="EM32" s="47"/>
      <c r="EN32" s="47"/>
      <c r="EO32" s="47"/>
      <c r="EP32" s="47"/>
      <c r="EQ32" s="47"/>
      <c r="ER32" s="47"/>
      <c r="ES32" s="47"/>
      <c r="ET32" s="47"/>
      <c r="EU32" s="47"/>
      <c r="EV32" s="47"/>
      <c r="EW32" s="47"/>
      <c r="EX32" s="47"/>
      <c r="EY32" s="47"/>
      <c r="EZ32" s="47"/>
      <c r="FA32" s="47"/>
      <c r="FB32" s="47"/>
      <c r="FC32" s="47"/>
      <c r="FD32" s="47"/>
      <c r="FE32" s="47"/>
      <c r="FF32" s="47"/>
      <c r="FG32" s="47"/>
      <c r="FH32" s="47"/>
      <c r="FI32" s="47"/>
      <c r="FJ32" s="47"/>
      <c r="FK32" s="47"/>
      <c r="FL32" s="47"/>
      <c r="FM32" s="47"/>
      <c r="FN32" s="47"/>
      <c r="FO32" s="47"/>
      <c r="FP32" s="47"/>
      <c r="FQ32" s="47"/>
      <c r="FR32" s="47"/>
      <c r="FS32" s="47"/>
      <c r="FT32" s="47"/>
      <c r="FU32" s="47"/>
      <c r="FV32" s="47"/>
      <c r="FW32" s="47"/>
      <c r="FX32" s="47"/>
      <c r="FY32" s="47"/>
      <c r="FZ32" s="47"/>
      <c r="GA32" s="47"/>
      <c r="GB32" s="47"/>
      <c r="GC32" s="47"/>
      <c r="GD32" s="47"/>
      <c r="GE32" s="47"/>
      <c r="GF32" s="47"/>
      <c r="GG32" s="47"/>
      <c r="GH32" s="47"/>
      <c r="GI32" s="47"/>
      <c r="GJ32" s="47"/>
      <c r="GK32" s="47"/>
      <c r="GL32" s="47"/>
      <c r="GM32" s="47"/>
      <c r="GN32" s="47"/>
      <c r="GO32" s="47"/>
      <c r="GP32" s="47"/>
      <c r="GQ32" s="47"/>
      <c r="GR32" s="47"/>
      <c r="GS32" s="47"/>
      <c r="GT32" s="47"/>
      <c r="GU32" s="47"/>
      <c r="GV32" s="47"/>
      <c r="GW32" s="47"/>
      <c r="GX32" s="47"/>
      <c r="GY32" s="47"/>
      <c r="GZ32" s="47"/>
      <c r="HA32" s="47"/>
      <c r="HB32" s="47"/>
      <c r="HC32" s="47"/>
      <c r="HD32" s="47"/>
      <c r="HE32" s="47"/>
      <c r="HF32" s="47"/>
      <c r="HG32" s="47"/>
      <c r="HH32" s="47"/>
      <c r="HI32" s="47"/>
      <c r="HJ32" s="47"/>
      <c r="HK32" s="47"/>
      <c r="HL32" s="47"/>
      <c r="HM32" s="47"/>
      <c r="HN32" s="47"/>
      <c r="HO32" s="47"/>
      <c r="HP32" s="47"/>
      <c r="HQ32" s="47"/>
      <c r="HR32" s="47"/>
      <c r="HS32" s="47"/>
      <c r="HT32" s="47"/>
      <c r="HU32" s="47"/>
      <c r="HV32" s="47"/>
      <c r="HW32" s="47"/>
      <c r="HX32" s="47"/>
      <c r="HY32" s="47"/>
      <c r="HZ32" s="47"/>
      <c r="IA32" s="47"/>
      <c r="IB32" s="47"/>
      <c r="IC32" s="47"/>
      <c r="ID32" s="47"/>
      <c r="IE32" s="47"/>
      <c r="IF32" s="47"/>
      <c r="IG32" s="47"/>
      <c r="IH32" s="47"/>
      <c r="II32" s="47"/>
      <c r="IJ32" s="47"/>
      <c r="IK32" s="47"/>
      <c r="IL32" s="47"/>
      <c r="IM32" s="47"/>
      <c r="IN32" s="47"/>
      <c r="IO32" s="47"/>
      <c r="IP32" s="47"/>
      <c r="IQ32" s="47"/>
      <c r="IR32" s="47"/>
      <c r="IS32" s="47"/>
      <c r="IT32" s="47"/>
      <c r="IU32" s="47"/>
      <c r="IV32" s="47"/>
      <c r="IW32" s="47"/>
    </row>
    <row r="33" customFormat="false" ht="12.75" hidden="false" customHeight="false" outlineLevel="0" collapsed="false">
      <c r="A33" s="44" t="n">
        <f aca="false">+A17</f>
        <v>37012</v>
      </c>
      <c r="B33" s="45" t="n">
        <f aca="false">+B17</f>
        <v>-116250</v>
      </c>
      <c r="C33" s="44" t="n">
        <f aca="false">+C17</f>
        <v>37012</v>
      </c>
      <c r="D33" s="46" t="n">
        <f aca="false">EOMONTH(C33,0)</f>
        <v>37042</v>
      </c>
      <c r="E33" s="25" t="s">
        <v>20</v>
      </c>
      <c r="F33" s="47" t="s">
        <v>48</v>
      </c>
      <c r="G33" s="60" t="n">
        <f aca="false">+G17</f>
        <v>2.488</v>
      </c>
      <c r="H33" s="49" t="n">
        <f aca="false">+H17</f>
        <v>2.488</v>
      </c>
      <c r="I33" s="50" t="n">
        <f aca="false">+A33-$B$2</f>
        <v>-8914</v>
      </c>
      <c r="J33" s="47" t="n">
        <f aca="false">+C33-A33</f>
        <v>0</v>
      </c>
      <c r="K33" s="45" t="n">
        <f aca="false">+D33-C33+1</f>
        <v>31</v>
      </c>
      <c r="L33" s="47" t="n">
        <f aca="false">+L17</f>
        <v>1</v>
      </c>
      <c r="M33" s="61" t="n">
        <f aca="false">+M17</f>
        <v>0.068297280932449</v>
      </c>
      <c r="N33" s="52" t="n">
        <f aca="false">+N17</f>
        <v>0.5</v>
      </c>
      <c r="O33" s="52" t="n">
        <f aca="false">+O17</f>
        <v>0.5</v>
      </c>
      <c r="P33" s="52" t="n">
        <f aca="false">+P17</f>
        <v>1</v>
      </c>
      <c r="Q33" s="54" t="n">
        <f aca="false">+Q17</f>
        <v>0</v>
      </c>
      <c r="R33" s="47" t="n">
        <f aca="false">IF(F33="Call",1,0)</f>
        <v>0</v>
      </c>
      <c r="S33" s="43" t="n">
        <v>0</v>
      </c>
      <c r="T33" s="55" t="e">
        <f aca="false">OSTRIP(G33,H33,I33,J33,K33,L33,M33,N33,O33,P33,Q33,R33,S33)</f>
        <v>#NAME?</v>
      </c>
      <c r="U33" s="56" t="e">
        <f aca="false">T33*B33</f>
        <v>#NAME?</v>
      </c>
      <c r="V33" s="47"/>
      <c r="W33" s="47"/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7"/>
      <c r="AL33" s="47"/>
      <c r="AM33" s="47"/>
      <c r="AN33" s="47"/>
      <c r="AO33" s="47"/>
      <c r="AP33" s="47"/>
      <c r="AQ33" s="47"/>
      <c r="AR33" s="47"/>
      <c r="AS33" s="47"/>
      <c r="AT33" s="47"/>
      <c r="AU33" s="47"/>
      <c r="AV33" s="47"/>
      <c r="AW33" s="47"/>
      <c r="AX33" s="47"/>
      <c r="AY33" s="47"/>
      <c r="AZ33" s="47"/>
      <c r="BA33" s="47"/>
      <c r="BB33" s="47"/>
      <c r="BC33" s="47"/>
      <c r="BD33" s="47"/>
      <c r="BE33" s="47"/>
      <c r="BF33" s="47"/>
      <c r="BG33" s="47"/>
      <c r="BH33" s="47"/>
      <c r="BI33" s="47"/>
      <c r="BJ33" s="47"/>
      <c r="BK33" s="47"/>
      <c r="BL33" s="47"/>
      <c r="BM33" s="47"/>
      <c r="BN33" s="47"/>
      <c r="BO33" s="47"/>
      <c r="BP33" s="47"/>
      <c r="BQ33" s="47"/>
      <c r="BR33" s="47"/>
      <c r="BS33" s="47"/>
      <c r="BT33" s="47"/>
      <c r="BU33" s="47"/>
      <c r="BV33" s="47"/>
      <c r="BW33" s="47"/>
      <c r="BX33" s="47"/>
      <c r="BY33" s="47"/>
      <c r="BZ33" s="47"/>
      <c r="CA33" s="47"/>
      <c r="CB33" s="47"/>
      <c r="CC33" s="47"/>
      <c r="CD33" s="47"/>
      <c r="CE33" s="47"/>
      <c r="CF33" s="47"/>
      <c r="CG33" s="47"/>
      <c r="CH33" s="47"/>
      <c r="CI33" s="47"/>
      <c r="CJ33" s="47"/>
      <c r="CK33" s="47"/>
      <c r="CL33" s="47"/>
      <c r="CM33" s="47"/>
      <c r="CN33" s="47"/>
      <c r="CO33" s="47"/>
      <c r="CP33" s="47"/>
      <c r="CQ33" s="47"/>
      <c r="CR33" s="47"/>
      <c r="CS33" s="47"/>
      <c r="CT33" s="47"/>
      <c r="CU33" s="47"/>
      <c r="CV33" s="47"/>
      <c r="CW33" s="47"/>
      <c r="CX33" s="47"/>
      <c r="CY33" s="47"/>
      <c r="CZ33" s="47"/>
      <c r="DA33" s="47"/>
      <c r="DB33" s="47"/>
      <c r="DC33" s="47"/>
      <c r="DD33" s="47"/>
      <c r="DE33" s="47"/>
      <c r="DF33" s="47"/>
      <c r="DG33" s="47"/>
      <c r="DH33" s="47"/>
      <c r="DI33" s="47"/>
      <c r="DJ33" s="47"/>
      <c r="DK33" s="47"/>
      <c r="DL33" s="47"/>
      <c r="DM33" s="47"/>
      <c r="DN33" s="47"/>
      <c r="DO33" s="47"/>
      <c r="DP33" s="47"/>
      <c r="DQ33" s="47"/>
      <c r="DR33" s="47"/>
      <c r="DS33" s="47"/>
      <c r="DT33" s="47"/>
      <c r="DU33" s="47"/>
      <c r="DV33" s="47"/>
      <c r="DW33" s="47"/>
      <c r="DX33" s="47"/>
      <c r="DY33" s="47"/>
      <c r="DZ33" s="47"/>
      <c r="EA33" s="47"/>
      <c r="EB33" s="47"/>
      <c r="EC33" s="47"/>
      <c r="ED33" s="47"/>
      <c r="EE33" s="47"/>
      <c r="EF33" s="47"/>
      <c r="EG33" s="47"/>
      <c r="EH33" s="47"/>
      <c r="EI33" s="47"/>
      <c r="EJ33" s="47"/>
      <c r="EK33" s="47"/>
      <c r="EL33" s="47"/>
      <c r="EM33" s="47"/>
      <c r="EN33" s="47"/>
      <c r="EO33" s="47"/>
      <c r="EP33" s="47"/>
      <c r="EQ33" s="47"/>
      <c r="ER33" s="47"/>
      <c r="ES33" s="47"/>
      <c r="ET33" s="47"/>
      <c r="EU33" s="47"/>
      <c r="EV33" s="47"/>
      <c r="EW33" s="47"/>
      <c r="EX33" s="47"/>
      <c r="EY33" s="47"/>
      <c r="EZ33" s="47"/>
      <c r="FA33" s="47"/>
      <c r="FB33" s="47"/>
      <c r="FC33" s="47"/>
      <c r="FD33" s="47"/>
      <c r="FE33" s="47"/>
      <c r="FF33" s="47"/>
      <c r="FG33" s="47"/>
      <c r="FH33" s="47"/>
      <c r="FI33" s="47"/>
      <c r="FJ33" s="47"/>
      <c r="FK33" s="47"/>
      <c r="FL33" s="47"/>
      <c r="FM33" s="47"/>
      <c r="FN33" s="47"/>
      <c r="FO33" s="47"/>
      <c r="FP33" s="47"/>
      <c r="FQ33" s="47"/>
      <c r="FR33" s="47"/>
      <c r="FS33" s="47"/>
      <c r="FT33" s="47"/>
      <c r="FU33" s="47"/>
      <c r="FV33" s="47"/>
      <c r="FW33" s="47"/>
      <c r="FX33" s="47"/>
      <c r="FY33" s="47"/>
      <c r="FZ33" s="47"/>
      <c r="GA33" s="47"/>
      <c r="GB33" s="47"/>
      <c r="GC33" s="47"/>
      <c r="GD33" s="47"/>
      <c r="GE33" s="47"/>
      <c r="GF33" s="47"/>
      <c r="GG33" s="47"/>
      <c r="GH33" s="47"/>
      <c r="GI33" s="47"/>
      <c r="GJ33" s="47"/>
      <c r="GK33" s="47"/>
      <c r="GL33" s="47"/>
      <c r="GM33" s="47"/>
      <c r="GN33" s="47"/>
      <c r="GO33" s="47"/>
      <c r="GP33" s="47"/>
      <c r="GQ33" s="47"/>
      <c r="GR33" s="47"/>
      <c r="GS33" s="47"/>
      <c r="GT33" s="47"/>
      <c r="GU33" s="47"/>
      <c r="GV33" s="47"/>
      <c r="GW33" s="47"/>
      <c r="GX33" s="47"/>
      <c r="GY33" s="47"/>
      <c r="GZ33" s="47"/>
      <c r="HA33" s="47"/>
      <c r="HB33" s="47"/>
      <c r="HC33" s="47"/>
      <c r="HD33" s="47"/>
      <c r="HE33" s="47"/>
      <c r="HF33" s="47"/>
      <c r="HG33" s="47"/>
      <c r="HH33" s="47"/>
      <c r="HI33" s="47"/>
      <c r="HJ33" s="47"/>
      <c r="HK33" s="47"/>
      <c r="HL33" s="47"/>
      <c r="HM33" s="47"/>
      <c r="HN33" s="47"/>
      <c r="HO33" s="47"/>
      <c r="HP33" s="47"/>
      <c r="HQ33" s="47"/>
      <c r="HR33" s="47"/>
      <c r="HS33" s="47"/>
      <c r="HT33" s="47"/>
      <c r="HU33" s="47"/>
      <c r="HV33" s="47"/>
      <c r="HW33" s="47"/>
      <c r="HX33" s="47"/>
      <c r="HY33" s="47"/>
      <c r="HZ33" s="47"/>
      <c r="IA33" s="47"/>
      <c r="IB33" s="47"/>
      <c r="IC33" s="47"/>
      <c r="ID33" s="47"/>
      <c r="IE33" s="47"/>
      <c r="IF33" s="47"/>
      <c r="IG33" s="47"/>
      <c r="IH33" s="47"/>
      <c r="II33" s="47"/>
      <c r="IJ33" s="47"/>
      <c r="IK33" s="47"/>
      <c r="IL33" s="47"/>
      <c r="IM33" s="47"/>
      <c r="IN33" s="47"/>
      <c r="IO33" s="47"/>
      <c r="IP33" s="47"/>
      <c r="IQ33" s="47"/>
      <c r="IR33" s="47"/>
      <c r="IS33" s="47"/>
      <c r="IT33" s="47"/>
      <c r="IU33" s="47"/>
      <c r="IV33" s="47"/>
      <c r="IW33" s="47"/>
    </row>
    <row r="34" customFormat="false" ht="12.75" hidden="false" customHeight="false" outlineLevel="0" collapsed="false">
      <c r="A34" s="44" t="n">
        <f aca="false">+A18</f>
        <v>37043</v>
      </c>
      <c r="B34" s="45" t="n">
        <f aca="false">+B18</f>
        <v>-112500</v>
      </c>
      <c r="C34" s="44" t="n">
        <f aca="false">+C18</f>
        <v>37043</v>
      </c>
      <c r="D34" s="46" t="n">
        <f aca="false">EOMONTH(C34,0)</f>
        <v>37072</v>
      </c>
      <c r="E34" s="25" t="s">
        <v>20</v>
      </c>
      <c r="F34" s="47" t="s">
        <v>48</v>
      </c>
      <c r="G34" s="60" t="n">
        <f aca="false">+G18</f>
        <v>2.4955</v>
      </c>
      <c r="H34" s="49" t="n">
        <f aca="false">+H18</f>
        <v>2.4955</v>
      </c>
      <c r="I34" s="50" t="n">
        <f aca="false">+A34-$B$2</f>
        <v>-8883</v>
      </c>
      <c r="J34" s="47" t="n">
        <f aca="false">+C34-A34</f>
        <v>0</v>
      </c>
      <c r="K34" s="45" t="n">
        <f aca="false">+D34-C34+1</f>
        <v>30</v>
      </c>
      <c r="L34" s="47" t="n">
        <f aca="false">+L18</f>
        <v>1</v>
      </c>
      <c r="M34" s="61" t="n">
        <f aca="false">+M18</f>
        <v>0.068652461309486</v>
      </c>
      <c r="N34" s="52" t="n">
        <f aca="false">+N18</f>
        <v>0.5</v>
      </c>
      <c r="O34" s="52" t="n">
        <f aca="false">+O18</f>
        <v>0.5</v>
      </c>
      <c r="P34" s="52" t="n">
        <f aca="false">+P18</f>
        <v>1</v>
      </c>
      <c r="Q34" s="54" t="n">
        <f aca="false">+Q18</f>
        <v>0</v>
      </c>
      <c r="R34" s="47" t="n">
        <f aca="false">IF(F34="Call",1,0)</f>
        <v>0</v>
      </c>
      <c r="S34" s="43" t="n">
        <v>0</v>
      </c>
      <c r="T34" s="55" t="e">
        <f aca="false">OSTRIP(G34,H34,I34,J34,K34,L34,M34,N34,O34,P34,Q34,R34,S34)</f>
        <v>#NAME?</v>
      </c>
      <c r="U34" s="59" t="e">
        <f aca="false">T34*B34</f>
        <v>#NAME?</v>
      </c>
      <c r="V34" s="47"/>
      <c r="W34" s="47"/>
      <c r="X34" s="47"/>
      <c r="Y34" s="47"/>
      <c r="Z34" s="47"/>
      <c r="AA34" s="47"/>
      <c r="AB34" s="47"/>
      <c r="AC34" s="47"/>
      <c r="AD34" s="47"/>
      <c r="AE34" s="47"/>
      <c r="AF34" s="47"/>
      <c r="AG34" s="47"/>
      <c r="AH34" s="47"/>
      <c r="AI34" s="47"/>
      <c r="AJ34" s="47"/>
      <c r="AK34" s="47"/>
      <c r="AL34" s="47"/>
      <c r="AM34" s="47"/>
      <c r="AN34" s="47"/>
      <c r="AO34" s="47"/>
      <c r="AP34" s="47"/>
      <c r="AQ34" s="47"/>
      <c r="AR34" s="47"/>
      <c r="AS34" s="47"/>
      <c r="AT34" s="47"/>
      <c r="AU34" s="47"/>
      <c r="AV34" s="47"/>
      <c r="AW34" s="47"/>
      <c r="AX34" s="47"/>
      <c r="AY34" s="47"/>
      <c r="AZ34" s="47"/>
      <c r="BA34" s="47"/>
      <c r="BB34" s="47"/>
      <c r="BC34" s="47"/>
      <c r="BD34" s="47"/>
      <c r="BE34" s="47"/>
      <c r="BF34" s="47"/>
      <c r="BG34" s="47"/>
      <c r="BH34" s="47"/>
      <c r="BI34" s="47"/>
      <c r="BJ34" s="47"/>
      <c r="BK34" s="47"/>
      <c r="BL34" s="47"/>
      <c r="BM34" s="47"/>
      <c r="BN34" s="47"/>
      <c r="BO34" s="47"/>
      <c r="BP34" s="47"/>
      <c r="BQ34" s="47"/>
      <c r="BR34" s="47"/>
      <c r="BS34" s="47"/>
      <c r="BT34" s="47"/>
      <c r="BU34" s="47"/>
      <c r="BV34" s="47"/>
      <c r="BW34" s="47"/>
      <c r="BX34" s="47"/>
      <c r="BY34" s="47"/>
      <c r="BZ34" s="47"/>
      <c r="CA34" s="47"/>
      <c r="CB34" s="47"/>
      <c r="CC34" s="47"/>
      <c r="CD34" s="47"/>
      <c r="CE34" s="47"/>
      <c r="CF34" s="47"/>
      <c r="CG34" s="47"/>
      <c r="CH34" s="47"/>
      <c r="CI34" s="47"/>
      <c r="CJ34" s="47"/>
      <c r="CK34" s="47"/>
      <c r="CL34" s="47"/>
      <c r="CM34" s="47"/>
      <c r="CN34" s="47"/>
      <c r="CO34" s="47"/>
      <c r="CP34" s="47"/>
      <c r="CQ34" s="47"/>
      <c r="CR34" s="47"/>
      <c r="CS34" s="47"/>
      <c r="CT34" s="47"/>
      <c r="CU34" s="47"/>
      <c r="CV34" s="47"/>
      <c r="CW34" s="47"/>
      <c r="CX34" s="47"/>
      <c r="CY34" s="47"/>
      <c r="CZ34" s="47"/>
      <c r="DA34" s="47"/>
      <c r="DB34" s="47"/>
      <c r="DC34" s="47"/>
      <c r="DD34" s="47"/>
      <c r="DE34" s="47"/>
      <c r="DF34" s="47"/>
      <c r="DG34" s="47"/>
      <c r="DH34" s="47"/>
      <c r="DI34" s="47"/>
      <c r="DJ34" s="47"/>
      <c r="DK34" s="47"/>
      <c r="DL34" s="47"/>
      <c r="DM34" s="47"/>
      <c r="DN34" s="47"/>
      <c r="DO34" s="47"/>
      <c r="DP34" s="47"/>
      <c r="DQ34" s="47"/>
      <c r="DR34" s="47"/>
      <c r="DS34" s="47"/>
      <c r="DT34" s="47"/>
      <c r="DU34" s="47"/>
      <c r="DV34" s="47"/>
      <c r="DW34" s="47"/>
      <c r="DX34" s="47"/>
      <c r="DY34" s="47"/>
      <c r="DZ34" s="47"/>
      <c r="EA34" s="47"/>
      <c r="EB34" s="47"/>
      <c r="EC34" s="47"/>
      <c r="ED34" s="47"/>
      <c r="EE34" s="47"/>
      <c r="EF34" s="47"/>
      <c r="EG34" s="47"/>
      <c r="EH34" s="47"/>
      <c r="EI34" s="47"/>
      <c r="EJ34" s="47"/>
      <c r="EK34" s="47"/>
      <c r="EL34" s="47"/>
      <c r="EM34" s="47"/>
      <c r="EN34" s="47"/>
      <c r="EO34" s="47"/>
      <c r="EP34" s="47"/>
      <c r="EQ34" s="47"/>
      <c r="ER34" s="47"/>
      <c r="ES34" s="47"/>
      <c r="ET34" s="47"/>
      <c r="EU34" s="47"/>
      <c r="EV34" s="47"/>
      <c r="EW34" s="47"/>
      <c r="EX34" s="47"/>
      <c r="EY34" s="47"/>
      <c r="EZ34" s="47"/>
      <c r="FA34" s="47"/>
      <c r="FB34" s="47"/>
      <c r="FC34" s="47"/>
      <c r="FD34" s="47"/>
      <c r="FE34" s="47"/>
      <c r="FF34" s="47"/>
      <c r="FG34" s="47"/>
      <c r="FH34" s="47"/>
      <c r="FI34" s="47"/>
      <c r="FJ34" s="47"/>
      <c r="FK34" s="47"/>
      <c r="FL34" s="47"/>
      <c r="FM34" s="47"/>
      <c r="FN34" s="47"/>
      <c r="FO34" s="47"/>
      <c r="FP34" s="47"/>
      <c r="FQ34" s="47"/>
      <c r="FR34" s="47"/>
      <c r="FS34" s="47"/>
      <c r="FT34" s="47"/>
      <c r="FU34" s="47"/>
      <c r="FV34" s="47"/>
      <c r="FW34" s="47"/>
      <c r="FX34" s="47"/>
      <c r="FY34" s="47"/>
      <c r="FZ34" s="47"/>
      <c r="GA34" s="47"/>
      <c r="GB34" s="47"/>
      <c r="GC34" s="47"/>
      <c r="GD34" s="47"/>
      <c r="GE34" s="47"/>
      <c r="GF34" s="47"/>
      <c r="GG34" s="47"/>
      <c r="GH34" s="47"/>
      <c r="GI34" s="47"/>
      <c r="GJ34" s="47"/>
      <c r="GK34" s="47"/>
      <c r="GL34" s="47"/>
      <c r="GM34" s="47"/>
      <c r="GN34" s="47"/>
      <c r="GO34" s="47"/>
      <c r="GP34" s="47"/>
      <c r="GQ34" s="47"/>
      <c r="GR34" s="47"/>
      <c r="GS34" s="47"/>
      <c r="GT34" s="47"/>
      <c r="GU34" s="47"/>
      <c r="GV34" s="47"/>
      <c r="GW34" s="47"/>
      <c r="GX34" s="47"/>
      <c r="GY34" s="47"/>
      <c r="GZ34" s="47"/>
      <c r="HA34" s="47"/>
      <c r="HB34" s="47"/>
      <c r="HC34" s="47"/>
      <c r="HD34" s="47"/>
      <c r="HE34" s="47"/>
      <c r="HF34" s="47"/>
      <c r="HG34" s="47"/>
      <c r="HH34" s="47"/>
      <c r="HI34" s="47"/>
      <c r="HJ34" s="47"/>
      <c r="HK34" s="47"/>
      <c r="HL34" s="47"/>
      <c r="HM34" s="47"/>
      <c r="HN34" s="47"/>
      <c r="HO34" s="47"/>
      <c r="HP34" s="47"/>
      <c r="HQ34" s="47"/>
      <c r="HR34" s="47"/>
      <c r="HS34" s="47"/>
      <c r="HT34" s="47"/>
      <c r="HU34" s="47"/>
      <c r="HV34" s="47"/>
      <c r="HW34" s="47"/>
      <c r="HX34" s="47"/>
      <c r="HY34" s="47"/>
      <c r="HZ34" s="47"/>
      <c r="IA34" s="47"/>
      <c r="IB34" s="47"/>
      <c r="IC34" s="47"/>
      <c r="ID34" s="47"/>
      <c r="IE34" s="47"/>
      <c r="IF34" s="47"/>
      <c r="IG34" s="47"/>
      <c r="IH34" s="47"/>
      <c r="II34" s="47"/>
      <c r="IJ34" s="47"/>
      <c r="IK34" s="47"/>
      <c r="IL34" s="47"/>
      <c r="IM34" s="47"/>
      <c r="IN34" s="47"/>
      <c r="IO34" s="47"/>
      <c r="IP34" s="47"/>
      <c r="IQ34" s="47"/>
      <c r="IR34" s="47"/>
      <c r="IS34" s="47"/>
      <c r="IT34" s="47"/>
      <c r="IU34" s="47"/>
      <c r="IV34" s="47"/>
      <c r="IW34" s="47"/>
    </row>
    <row r="35" customFormat="false" ht="12.75" hidden="false" customHeight="false" outlineLevel="0" collapsed="false">
      <c r="A35" s="47"/>
      <c r="B35" s="62"/>
      <c r="C35" s="45"/>
      <c r="D35" s="47"/>
      <c r="E35" s="46"/>
      <c r="F35" s="47"/>
      <c r="G35" s="47"/>
      <c r="H35" s="63"/>
      <c r="I35" s="47"/>
      <c r="J35" s="50"/>
      <c r="K35" s="47"/>
      <c r="L35" s="45"/>
      <c r="M35" s="47"/>
      <c r="N35" s="47"/>
      <c r="O35" s="64"/>
      <c r="P35" s="52"/>
      <c r="Q35" s="52"/>
      <c r="R35" s="54"/>
      <c r="S35" s="47"/>
      <c r="T35" s="47"/>
      <c r="U35" s="56" t="e">
        <f aca="false">SUBTOTAL(9,U21:U34)</f>
        <v>#NAME?</v>
      </c>
      <c r="V35" s="47"/>
      <c r="W35" s="47"/>
      <c r="X35" s="47"/>
      <c r="Y35" s="47"/>
      <c r="Z35" s="47"/>
      <c r="AA35" s="47"/>
      <c r="AB35" s="47"/>
      <c r="AC35" s="47"/>
      <c r="AD35" s="47"/>
      <c r="AE35" s="47"/>
      <c r="AF35" s="47"/>
      <c r="AG35" s="47"/>
      <c r="AH35" s="47"/>
      <c r="AI35" s="47"/>
      <c r="AJ35" s="47"/>
      <c r="AK35" s="47"/>
      <c r="AL35" s="47"/>
      <c r="AM35" s="47"/>
      <c r="AN35" s="47"/>
      <c r="AO35" s="47"/>
      <c r="AP35" s="47"/>
      <c r="AQ35" s="47"/>
      <c r="AR35" s="47"/>
      <c r="AS35" s="47"/>
      <c r="AT35" s="47"/>
      <c r="AU35" s="47"/>
      <c r="AV35" s="47"/>
      <c r="AW35" s="47"/>
      <c r="AX35" s="47"/>
      <c r="AY35" s="47"/>
      <c r="AZ35" s="47"/>
      <c r="BA35" s="47"/>
      <c r="BB35" s="47"/>
      <c r="BC35" s="47"/>
      <c r="BD35" s="47"/>
      <c r="BE35" s="47"/>
      <c r="BF35" s="47"/>
      <c r="BG35" s="47"/>
      <c r="BH35" s="47"/>
      <c r="BI35" s="47"/>
      <c r="BJ35" s="47"/>
      <c r="BK35" s="47"/>
      <c r="BL35" s="47"/>
      <c r="BM35" s="47"/>
      <c r="BN35" s="47"/>
      <c r="BO35" s="47"/>
      <c r="BP35" s="47"/>
      <c r="BQ35" s="47"/>
      <c r="BR35" s="47"/>
      <c r="BS35" s="47"/>
      <c r="BT35" s="47"/>
      <c r="BU35" s="47"/>
      <c r="BV35" s="47"/>
      <c r="BW35" s="47"/>
      <c r="BX35" s="47"/>
      <c r="BY35" s="47"/>
      <c r="BZ35" s="47"/>
      <c r="CA35" s="47"/>
      <c r="CB35" s="47"/>
      <c r="CC35" s="47"/>
      <c r="CD35" s="47"/>
      <c r="CE35" s="47"/>
      <c r="CF35" s="47"/>
      <c r="CG35" s="47"/>
      <c r="CH35" s="47"/>
      <c r="CI35" s="47"/>
      <c r="CJ35" s="47"/>
      <c r="CK35" s="47"/>
      <c r="CL35" s="47"/>
      <c r="CM35" s="47"/>
      <c r="CN35" s="47"/>
      <c r="CO35" s="47"/>
      <c r="CP35" s="47"/>
      <c r="CQ35" s="47"/>
      <c r="CR35" s="47"/>
      <c r="CS35" s="47"/>
      <c r="CT35" s="47"/>
      <c r="CU35" s="47"/>
      <c r="CV35" s="47"/>
      <c r="CW35" s="47"/>
      <c r="CX35" s="47"/>
      <c r="CY35" s="47"/>
      <c r="CZ35" s="47"/>
      <c r="DA35" s="47"/>
      <c r="DB35" s="47"/>
      <c r="DC35" s="47"/>
      <c r="DD35" s="47"/>
      <c r="DE35" s="47"/>
      <c r="DF35" s="47"/>
      <c r="DG35" s="47"/>
      <c r="DH35" s="47"/>
      <c r="DI35" s="47"/>
      <c r="DJ35" s="47"/>
      <c r="DK35" s="47"/>
      <c r="DL35" s="47"/>
      <c r="DM35" s="47"/>
      <c r="DN35" s="47"/>
      <c r="DO35" s="47"/>
      <c r="DP35" s="47"/>
      <c r="DQ35" s="47"/>
      <c r="DR35" s="47"/>
      <c r="DS35" s="47"/>
      <c r="DT35" s="47"/>
      <c r="DU35" s="47"/>
      <c r="DV35" s="47"/>
      <c r="DW35" s="47"/>
      <c r="DX35" s="47"/>
      <c r="DY35" s="47"/>
      <c r="DZ35" s="47"/>
      <c r="EA35" s="47"/>
      <c r="EB35" s="47"/>
      <c r="EC35" s="47"/>
      <c r="ED35" s="47"/>
      <c r="EE35" s="47"/>
      <c r="EF35" s="47"/>
      <c r="EG35" s="47"/>
      <c r="EH35" s="47"/>
      <c r="EI35" s="47"/>
      <c r="EJ35" s="47"/>
      <c r="EK35" s="47"/>
      <c r="EL35" s="47"/>
      <c r="EM35" s="47"/>
      <c r="EN35" s="47"/>
      <c r="EO35" s="47"/>
      <c r="EP35" s="47"/>
      <c r="EQ35" s="47"/>
      <c r="ER35" s="47"/>
      <c r="ES35" s="47"/>
      <c r="ET35" s="47"/>
      <c r="EU35" s="47"/>
      <c r="EV35" s="47"/>
      <c r="EW35" s="47"/>
      <c r="EX35" s="47"/>
      <c r="EY35" s="47"/>
      <c r="EZ35" s="47"/>
      <c r="FA35" s="47"/>
      <c r="FB35" s="47"/>
      <c r="FC35" s="47"/>
      <c r="FD35" s="47"/>
      <c r="FE35" s="47"/>
      <c r="FF35" s="47"/>
      <c r="FG35" s="47"/>
      <c r="FH35" s="47"/>
      <c r="FI35" s="47"/>
      <c r="FJ35" s="47"/>
      <c r="FK35" s="47"/>
      <c r="FL35" s="47"/>
      <c r="FM35" s="47"/>
      <c r="FN35" s="47"/>
      <c r="FO35" s="47"/>
      <c r="FP35" s="47"/>
      <c r="FQ35" s="47"/>
      <c r="FR35" s="47"/>
      <c r="FS35" s="47"/>
      <c r="FT35" s="47"/>
      <c r="FU35" s="47"/>
      <c r="FV35" s="47"/>
      <c r="FW35" s="47"/>
      <c r="FX35" s="47"/>
      <c r="FY35" s="47"/>
      <c r="FZ35" s="47"/>
      <c r="GA35" s="47"/>
      <c r="GB35" s="47"/>
      <c r="GC35" s="47"/>
      <c r="GD35" s="47"/>
      <c r="GE35" s="47"/>
      <c r="GF35" s="47"/>
      <c r="GG35" s="47"/>
      <c r="GH35" s="47"/>
      <c r="GI35" s="47"/>
      <c r="GJ35" s="47"/>
      <c r="GK35" s="47"/>
      <c r="GL35" s="47"/>
      <c r="GM35" s="47"/>
      <c r="GN35" s="47"/>
      <c r="GO35" s="47"/>
      <c r="GP35" s="47"/>
      <c r="GQ35" s="47"/>
      <c r="GR35" s="47"/>
      <c r="GS35" s="47"/>
      <c r="GT35" s="47"/>
      <c r="GU35" s="47"/>
      <c r="GV35" s="47"/>
      <c r="GW35" s="47"/>
      <c r="GX35" s="47"/>
      <c r="GY35" s="47"/>
      <c r="GZ35" s="47"/>
      <c r="HA35" s="47"/>
      <c r="HB35" s="47"/>
      <c r="HC35" s="47"/>
      <c r="HD35" s="47"/>
      <c r="HE35" s="47"/>
      <c r="HF35" s="47"/>
      <c r="HG35" s="47"/>
      <c r="HH35" s="47"/>
      <c r="HI35" s="47"/>
      <c r="HJ35" s="47"/>
      <c r="HK35" s="47"/>
      <c r="HL35" s="47"/>
      <c r="HM35" s="47"/>
      <c r="HN35" s="47"/>
      <c r="HO35" s="47"/>
      <c r="HP35" s="47"/>
      <c r="HQ35" s="47"/>
      <c r="HR35" s="47"/>
      <c r="HS35" s="47"/>
      <c r="HT35" s="47"/>
      <c r="HU35" s="47"/>
      <c r="HV35" s="47"/>
      <c r="HW35" s="47"/>
      <c r="HX35" s="47"/>
      <c r="HY35" s="47"/>
      <c r="HZ35" s="47"/>
      <c r="IA35" s="47"/>
      <c r="IB35" s="47"/>
      <c r="IC35" s="47"/>
      <c r="ID35" s="47"/>
      <c r="IE35" s="47"/>
      <c r="IF35" s="47"/>
      <c r="IG35" s="47"/>
      <c r="IH35" s="47"/>
      <c r="II35" s="47"/>
      <c r="IJ35" s="47"/>
      <c r="IK35" s="47"/>
      <c r="IL35" s="47"/>
      <c r="IM35" s="47"/>
      <c r="IN35" s="47"/>
      <c r="IO35" s="47"/>
      <c r="IP35" s="47"/>
      <c r="IQ35" s="47"/>
      <c r="IR35" s="47"/>
      <c r="IS35" s="47"/>
      <c r="IT35" s="47"/>
      <c r="IU35" s="47"/>
      <c r="IV35" s="47"/>
      <c r="IW35" s="47"/>
    </row>
    <row r="36" customFormat="false" ht="13.5" hidden="false" customHeight="false" outlineLevel="0" collapsed="false">
      <c r="A36" s="65"/>
      <c r="B36" s="62"/>
      <c r="C36" s="45"/>
      <c r="D36" s="46"/>
      <c r="E36" s="46"/>
      <c r="F36" s="47"/>
      <c r="G36" s="47"/>
      <c r="H36" s="63"/>
      <c r="I36" s="47"/>
      <c r="J36" s="50"/>
      <c r="K36" s="47"/>
      <c r="L36" s="45"/>
      <c r="M36" s="47"/>
      <c r="N36" s="47"/>
      <c r="O36" s="64"/>
      <c r="P36" s="52"/>
      <c r="Q36" s="52"/>
      <c r="R36" s="54"/>
      <c r="S36" s="47"/>
      <c r="T36" s="47"/>
      <c r="U36" s="66"/>
      <c r="V36" s="67"/>
      <c r="W36" s="47"/>
      <c r="X36" s="47"/>
      <c r="Y36" s="47"/>
      <c r="Z36" s="47"/>
      <c r="AA36" s="47"/>
      <c r="AB36" s="47"/>
      <c r="AC36" s="47"/>
      <c r="AD36" s="47"/>
      <c r="AE36" s="47"/>
      <c r="AF36" s="47"/>
      <c r="AG36" s="47"/>
      <c r="AH36" s="47"/>
      <c r="AI36" s="47"/>
      <c r="AJ36" s="47"/>
      <c r="AK36" s="47"/>
      <c r="AL36" s="47"/>
      <c r="AM36" s="47"/>
      <c r="AN36" s="47"/>
      <c r="AO36" s="47"/>
      <c r="AP36" s="47"/>
      <c r="AQ36" s="47"/>
      <c r="AR36" s="47"/>
      <c r="AS36" s="47"/>
      <c r="AT36" s="47"/>
      <c r="AU36" s="47"/>
      <c r="AV36" s="47"/>
      <c r="AW36" s="47"/>
      <c r="AX36" s="47"/>
      <c r="AY36" s="47"/>
      <c r="AZ36" s="47"/>
      <c r="BA36" s="47"/>
      <c r="BB36" s="47"/>
      <c r="BC36" s="47"/>
      <c r="BD36" s="47"/>
      <c r="BE36" s="47"/>
      <c r="BF36" s="47"/>
      <c r="BG36" s="47"/>
      <c r="BH36" s="47"/>
      <c r="BI36" s="47"/>
      <c r="BJ36" s="47"/>
      <c r="BK36" s="47"/>
      <c r="BL36" s="47"/>
      <c r="BM36" s="47"/>
      <c r="BN36" s="47"/>
      <c r="BO36" s="47"/>
      <c r="BP36" s="47"/>
      <c r="BQ36" s="47"/>
      <c r="BR36" s="47"/>
      <c r="BS36" s="47"/>
      <c r="BT36" s="47"/>
      <c r="BU36" s="47"/>
      <c r="BV36" s="47"/>
      <c r="BW36" s="47"/>
      <c r="BX36" s="47"/>
      <c r="BY36" s="47"/>
      <c r="BZ36" s="47"/>
      <c r="CA36" s="47"/>
      <c r="CB36" s="47"/>
      <c r="CC36" s="47"/>
      <c r="CD36" s="47"/>
      <c r="CE36" s="47"/>
      <c r="CF36" s="47"/>
      <c r="CG36" s="47"/>
      <c r="CH36" s="47"/>
      <c r="CI36" s="47"/>
      <c r="CJ36" s="47"/>
      <c r="CK36" s="47"/>
      <c r="CL36" s="47"/>
      <c r="CM36" s="47"/>
      <c r="CN36" s="47"/>
      <c r="CO36" s="47"/>
      <c r="CP36" s="47"/>
      <c r="CQ36" s="47"/>
      <c r="CR36" s="47"/>
      <c r="CS36" s="47"/>
      <c r="CT36" s="47"/>
      <c r="CU36" s="47"/>
      <c r="CV36" s="47"/>
      <c r="CW36" s="47"/>
      <c r="CX36" s="47"/>
      <c r="CY36" s="47"/>
      <c r="CZ36" s="47"/>
      <c r="DA36" s="47"/>
      <c r="DB36" s="47"/>
      <c r="DC36" s="47"/>
      <c r="DD36" s="47"/>
      <c r="DE36" s="47"/>
      <c r="DF36" s="47"/>
      <c r="DG36" s="47"/>
      <c r="DH36" s="47"/>
      <c r="DI36" s="47"/>
      <c r="DJ36" s="47"/>
      <c r="DK36" s="47"/>
      <c r="DL36" s="47"/>
      <c r="DM36" s="47"/>
      <c r="DN36" s="47"/>
      <c r="DO36" s="47"/>
      <c r="DP36" s="47"/>
      <c r="DQ36" s="47"/>
      <c r="DR36" s="47"/>
      <c r="DS36" s="47"/>
      <c r="DT36" s="47"/>
      <c r="DU36" s="47"/>
      <c r="DV36" s="47"/>
      <c r="DW36" s="47"/>
      <c r="DX36" s="47"/>
      <c r="DY36" s="47"/>
      <c r="DZ36" s="47"/>
      <c r="EA36" s="47"/>
      <c r="EB36" s="47"/>
      <c r="EC36" s="47"/>
      <c r="ED36" s="47"/>
      <c r="EE36" s="47"/>
      <c r="EF36" s="47"/>
      <c r="EG36" s="47"/>
      <c r="EH36" s="47"/>
      <c r="EI36" s="47"/>
      <c r="EJ36" s="47"/>
      <c r="EK36" s="47"/>
      <c r="EL36" s="47"/>
      <c r="EM36" s="47"/>
      <c r="EN36" s="47"/>
      <c r="EO36" s="47"/>
      <c r="EP36" s="47"/>
      <c r="EQ36" s="47"/>
      <c r="ER36" s="47"/>
      <c r="ES36" s="47"/>
      <c r="ET36" s="47"/>
      <c r="EU36" s="47"/>
      <c r="EV36" s="47"/>
      <c r="EW36" s="47"/>
      <c r="EX36" s="47"/>
      <c r="EY36" s="47"/>
      <c r="EZ36" s="47"/>
      <c r="FA36" s="47"/>
      <c r="FB36" s="47"/>
      <c r="FC36" s="47"/>
      <c r="FD36" s="47"/>
      <c r="FE36" s="47"/>
      <c r="FF36" s="47"/>
      <c r="FG36" s="47"/>
      <c r="FH36" s="47"/>
      <c r="FI36" s="47"/>
      <c r="FJ36" s="47"/>
      <c r="FK36" s="47"/>
      <c r="FL36" s="47"/>
      <c r="FM36" s="47"/>
      <c r="FN36" s="47"/>
      <c r="FO36" s="47"/>
      <c r="FP36" s="47"/>
      <c r="FQ36" s="47"/>
      <c r="FR36" s="47"/>
      <c r="FS36" s="47"/>
      <c r="FT36" s="47"/>
      <c r="FU36" s="47"/>
      <c r="FV36" s="47"/>
      <c r="FW36" s="47"/>
      <c r="FX36" s="47"/>
      <c r="FY36" s="47"/>
      <c r="FZ36" s="47"/>
      <c r="GA36" s="47"/>
      <c r="GB36" s="47"/>
      <c r="GC36" s="47"/>
      <c r="GD36" s="47"/>
      <c r="GE36" s="47"/>
      <c r="GF36" s="47"/>
      <c r="GG36" s="47"/>
      <c r="GH36" s="47"/>
      <c r="GI36" s="47"/>
      <c r="GJ36" s="47"/>
      <c r="GK36" s="47"/>
      <c r="GL36" s="47"/>
      <c r="GM36" s="47"/>
      <c r="GN36" s="47"/>
      <c r="GO36" s="47"/>
      <c r="GP36" s="47"/>
      <c r="GQ36" s="47"/>
      <c r="GR36" s="47"/>
      <c r="GS36" s="47"/>
      <c r="GT36" s="47"/>
      <c r="GU36" s="47"/>
      <c r="GV36" s="47"/>
      <c r="GW36" s="47"/>
      <c r="GX36" s="47"/>
      <c r="GY36" s="47"/>
      <c r="GZ36" s="47"/>
      <c r="HA36" s="47"/>
      <c r="HB36" s="47"/>
      <c r="HC36" s="47"/>
      <c r="HD36" s="47"/>
      <c r="HE36" s="47"/>
      <c r="HF36" s="47"/>
      <c r="HG36" s="47"/>
      <c r="HH36" s="47"/>
      <c r="HI36" s="47"/>
      <c r="HJ36" s="47"/>
      <c r="HK36" s="47"/>
      <c r="HL36" s="47"/>
      <c r="HM36" s="47"/>
      <c r="HN36" s="47"/>
      <c r="HO36" s="47"/>
      <c r="HP36" s="47"/>
      <c r="HQ36" s="47"/>
      <c r="HR36" s="47"/>
      <c r="HS36" s="47"/>
      <c r="HT36" s="47"/>
      <c r="HU36" s="47"/>
      <c r="HV36" s="47"/>
      <c r="HW36" s="47"/>
      <c r="HX36" s="47"/>
      <c r="HY36" s="47"/>
      <c r="HZ36" s="47"/>
      <c r="IA36" s="47"/>
      <c r="IB36" s="47"/>
      <c r="IC36" s="47"/>
      <c r="ID36" s="47"/>
      <c r="IE36" s="47"/>
      <c r="IF36" s="47"/>
      <c r="IG36" s="47"/>
      <c r="IH36" s="47"/>
      <c r="II36" s="47"/>
      <c r="IJ36" s="47"/>
      <c r="IK36" s="47"/>
      <c r="IL36" s="47"/>
      <c r="IM36" s="47"/>
      <c r="IN36" s="47"/>
      <c r="IO36" s="47"/>
      <c r="IP36" s="47"/>
      <c r="IQ36" s="47"/>
      <c r="IR36" s="47"/>
      <c r="IS36" s="47"/>
      <c r="IT36" s="47"/>
      <c r="IU36" s="47"/>
      <c r="IV36" s="47"/>
      <c r="IW36" s="47"/>
    </row>
    <row r="37" customFormat="false" ht="13.5" hidden="false" customHeight="false" outlineLevel="0" collapsed="false">
      <c r="A37" s="47"/>
      <c r="B37" s="62"/>
      <c r="C37" s="45"/>
      <c r="D37" s="47"/>
      <c r="E37" s="46"/>
      <c r="F37" s="47"/>
      <c r="G37" s="47"/>
      <c r="H37" s="63"/>
      <c r="I37" s="47"/>
      <c r="J37" s="47"/>
      <c r="K37" s="47"/>
      <c r="L37" s="45"/>
      <c r="M37" s="47"/>
      <c r="N37" s="47"/>
      <c r="O37" s="64"/>
      <c r="P37" s="47"/>
      <c r="Q37" s="52"/>
      <c r="R37" s="47"/>
      <c r="S37" s="68" t="s">
        <v>49</v>
      </c>
      <c r="T37" s="69"/>
      <c r="U37" s="70" t="e">
        <f aca="false">SUBTOTAL(9,U5:U35)</f>
        <v>#NAME?</v>
      </c>
      <c r="V37" s="47"/>
      <c r="W37" s="47"/>
      <c r="X37" s="47"/>
      <c r="Y37" s="47"/>
      <c r="Z37" s="47"/>
      <c r="AA37" s="47"/>
      <c r="AB37" s="47"/>
      <c r="AC37" s="47"/>
      <c r="AD37" s="47"/>
      <c r="AE37" s="47"/>
      <c r="AF37" s="47"/>
      <c r="AG37" s="47"/>
      <c r="AH37" s="47"/>
      <c r="AI37" s="47"/>
      <c r="AJ37" s="47"/>
      <c r="AK37" s="47"/>
      <c r="AL37" s="47"/>
      <c r="AM37" s="47"/>
      <c r="AN37" s="47"/>
      <c r="AO37" s="47"/>
      <c r="AP37" s="47"/>
      <c r="AQ37" s="47"/>
      <c r="AR37" s="47"/>
      <c r="AS37" s="47"/>
      <c r="AT37" s="47"/>
      <c r="AU37" s="47"/>
      <c r="AV37" s="47"/>
      <c r="AW37" s="47"/>
      <c r="AX37" s="47"/>
      <c r="AY37" s="47"/>
      <c r="AZ37" s="47"/>
      <c r="BA37" s="47"/>
      <c r="BB37" s="47"/>
      <c r="BC37" s="47"/>
      <c r="BD37" s="47"/>
      <c r="BE37" s="47"/>
      <c r="BF37" s="47"/>
      <c r="BG37" s="47"/>
      <c r="BH37" s="47"/>
      <c r="BI37" s="47"/>
      <c r="BJ37" s="47"/>
      <c r="BK37" s="47"/>
      <c r="BL37" s="47"/>
      <c r="BM37" s="47"/>
      <c r="BN37" s="47"/>
      <c r="BO37" s="47"/>
      <c r="BP37" s="47"/>
      <c r="BQ37" s="47"/>
      <c r="BR37" s="47"/>
      <c r="BS37" s="47"/>
      <c r="BT37" s="47"/>
      <c r="BU37" s="47"/>
      <c r="BV37" s="47"/>
      <c r="BW37" s="47"/>
      <c r="BX37" s="47"/>
      <c r="BY37" s="47"/>
      <c r="BZ37" s="47"/>
      <c r="CA37" s="47"/>
      <c r="CB37" s="47"/>
      <c r="CC37" s="47"/>
      <c r="CD37" s="47"/>
      <c r="CE37" s="47"/>
      <c r="CF37" s="47"/>
      <c r="CG37" s="47"/>
      <c r="CH37" s="47"/>
      <c r="CI37" s="47"/>
      <c r="CJ37" s="47"/>
      <c r="CK37" s="47"/>
      <c r="CL37" s="47"/>
      <c r="CM37" s="47"/>
      <c r="CN37" s="47"/>
      <c r="CO37" s="47"/>
      <c r="CP37" s="47"/>
      <c r="CQ37" s="47"/>
      <c r="CR37" s="47"/>
      <c r="CS37" s="47"/>
      <c r="CT37" s="47"/>
      <c r="CU37" s="47"/>
      <c r="CV37" s="47"/>
      <c r="CW37" s="47"/>
      <c r="CX37" s="47"/>
      <c r="CY37" s="47"/>
      <c r="CZ37" s="47"/>
      <c r="DA37" s="47"/>
      <c r="DB37" s="47"/>
      <c r="DC37" s="47"/>
      <c r="DD37" s="47"/>
      <c r="DE37" s="47"/>
      <c r="DF37" s="47"/>
      <c r="DG37" s="47"/>
      <c r="DH37" s="47"/>
      <c r="DI37" s="47"/>
      <c r="DJ37" s="47"/>
      <c r="DK37" s="47"/>
      <c r="DL37" s="47"/>
      <c r="DM37" s="47"/>
      <c r="DN37" s="47"/>
      <c r="DO37" s="47"/>
      <c r="DP37" s="47"/>
      <c r="DQ37" s="47"/>
      <c r="DR37" s="47"/>
      <c r="DS37" s="47"/>
      <c r="DT37" s="47"/>
      <c r="DU37" s="47"/>
      <c r="DV37" s="47"/>
      <c r="DW37" s="47"/>
      <c r="DX37" s="47"/>
      <c r="DY37" s="47"/>
      <c r="DZ37" s="47"/>
      <c r="EA37" s="47"/>
      <c r="EB37" s="47"/>
      <c r="EC37" s="47"/>
      <c r="ED37" s="47"/>
      <c r="EE37" s="47"/>
      <c r="EF37" s="47"/>
      <c r="EG37" s="47"/>
      <c r="EH37" s="47"/>
      <c r="EI37" s="47"/>
      <c r="EJ37" s="47"/>
      <c r="EK37" s="47"/>
      <c r="EL37" s="47"/>
      <c r="EM37" s="47"/>
      <c r="EN37" s="47"/>
      <c r="EO37" s="47"/>
      <c r="EP37" s="47"/>
      <c r="EQ37" s="47"/>
      <c r="ER37" s="47"/>
      <c r="ES37" s="47"/>
      <c r="ET37" s="47"/>
      <c r="EU37" s="47"/>
      <c r="EV37" s="47"/>
      <c r="EW37" s="47"/>
      <c r="EX37" s="47"/>
      <c r="EY37" s="47"/>
      <c r="EZ37" s="47"/>
      <c r="FA37" s="47"/>
      <c r="FB37" s="47"/>
      <c r="FC37" s="47"/>
      <c r="FD37" s="47"/>
      <c r="FE37" s="47"/>
      <c r="FF37" s="47"/>
      <c r="FG37" s="47"/>
      <c r="FH37" s="47"/>
      <c r="FI37" s="47"/>
      <c r="FJ37" s="47"/>
      <c r="FK37" s="47"/>
      <c r="FL37" s="47"/>
      <c r="FM37" s="47"/>
      <c r="FN37" s="47"/>
      <c r="FO37" s="47"/>
      <c r="FP37" s="47"/>
      <c r="FQ37" s="47"/>
      <c r="FR37" s="47"/>
      <c r="FS37" s="47"/>
      <c r="FT37" s="47"/>
      <c r="FU37" s="47"/>
      <c r="FV37" s="47"/>
      <c r="FW37" s="47"/>
      <c r="FX37" s="47"/>
      <c r="FY37" s="47"/>
      <c r="FZ37" s="47"/>
      <c r="GA37" s="47"/>
      <c r="GB37" s="47"/>
      <c r="GC37" s="47"/>
      <c r="GD37" s="47"/>
      <c r="GE37" s="47"/>
      <c r="GF37" s="47"/>
      <c r="GG37" s="47"/>
      <c r="GH37" s="47"/>
      <c r="GI37" s="47"/>
      <c r="GJ37" s="47"/>
      <c r="GK37" s="47"/>
      <c r="GL37" s="47"/>
      <c r="GM37" s="47"/>
      <c r="GN37" s="47"/>
      <c r="GO37" s="47"/>
      <c r="GP37" s="47"/>
      <c r="GQ37" s="47"/>
      <c r="GR37" s="47"/>
      <c r="GS37" s="47"/>
      <c r="GT37" s="47"/>
      <c r="GU37" s="47"/>
      <c r="GV37" s="47"/>
      <c r="GW37" s="47"/>
      <c r="GX37" s="47"/>
      <c r="GY37" s="47"/>
      <c r="GZ37" s="47"/>
      <c r="HA37" s="47"/>
      <c r="HB37" s="47"/>
      <c r="HC37" s="47"/>
      <c r="HD37" s="47"/>
      <c r="HE37" s="47"/>
      <c r="HF37" s="47"/>
      <c r="HG37" s="47"/>
      <c r="HH37" s="47"/>
      <c r="HI37" s="47"/>
      <c r="HJ37" s="47"/>
      <c r="HK37" s="47"/>
      <c r="HL37" s="47"/>
      <c r="HM37" s="47"/>
      <c r="HN37" s="47"/>
      <c r="HO37" s="47"/>
      <c r="HP37" s="47"/>
      <c r="HQ37" s="47"/>
      <c r="HR37" s="47"/>
      <c r="HS37" s="47"/>
      <c r="HT37" s="47"/>
      <c r="HU37" s="47"/>
      <c r="HV37" s="47"/>
      <c r="HW37" s="47"/>
      <c r="HX37" s="47"/>
      <c r="HY37" s="47"/>
      <c r="HZ37" s="47"/>
      <c r="IA37" s="47"/>
      <c r="IB37" s="47"/>
      <c r="IC37" s="47"/>
      <c r="ID37" s="47"/>
      <c r="IE37" s="47"/>
      <c r="IF37" s="47"/>
      <c r="IG37" s="47"/>
      <c r="IH37" s="47"/>
      <c r="II37" s="47"/>
      <c r="IJ37" s="47"/>
      <c r="IK37" s="47"/>
      <c r="IL37" s="47"/>
      <c r="IM37" s="47"/>
      <c r="IN37" s="47"/>
      <c r="IO37" s="47"/>
      <c r="IP37" s="47"/>
      <c r="IQ37" s="47"/>
      <c r="IR37" s="47"/>
      <c r="IS37" s="47"/>
      <c r="IT37" s="47"/>
      <c r="IU37" s="47"/>
      <c r="IV37" s="47"/>
      <c r="IW37" s="47"/>
    </row>
    <row r="38" customFormat="false" ht="12.75" hidden="false" customHeight="false" outlineLevel="0" collapsed="false">
      <c r="B38" s="71"/>
      <c r="C38" s="72"/>
      <c r="E38" s="73"/>
      <c r="H38" s="74"/>
      <c r="L38" s="75"/>
      <c r="O38" s="76"/>
      <c r="Q38" s="77"/>
      <c r="R38" s="47"/>
      <c r="S38" s="78"/>
      <c r="T38" s="35"/>
      <c r="U38" s="79" t="e">
        <f aca="false">+U37/'Deal Volumes'!H17</f>
        <v>#NAME?</v>
      </c>
      <c r="V38" s="75"/>
    </row>
    <row r="39" customFormat="false" ht="12.75" hidden="false" customHeight="false" outlineLevel="0" collapsed="false">
      <c r="B39" s="71"/>
      <c r="C39" s="72"/>
      <c r="E39" s="73"/>
      <c r="H39" s="74"/>
      <c r="L39" s="75"/>
      <c r="O39" s="76"/>
      <c r="Q39" s="77"/>
      <c r="R39" s="47"/>
      <c r="S39" s="78"/>
      <c r="T39" s="35"/>
      <c r="U39" s="80"/>
      <c r="V39" s="75"/>
    </row>
    <row r="40" customFormat="false" ht="12.75" hidden="false" customHeight="false" outlineLevel="0" collapsed="false">
      <c r="B40" s="71"/>
      <c r="C40" s="72"/>
      <c r="E40" s="73"/>
      <c r="H40" s="74"/>
      <c r="L40" s="75"/>
      <c r="O40" s="76"/>
      <c r="Q40" s="77"/>
      <c r="R40" s="81"/>
      <c r="U40" s="82"/>
      <c r="V40" s="75"/>
    </row>
    <row r="41" customFormat="false" ht="12.75" hidden="false" customHeight="false" outlineLevel="0" collapsed="false">
      <c r="B41" s="71"/>
      <c r="C41" s="72"/>
      <c r="E41" s="73"/>
      <c r="H41" s="74"/>
      <c r="L41" s="75"/>
      <c r="O41" s="76"/>
      <c r="Q41" s="77"/>
      <c r="R41" s="83" t="s">
        <v>50</v>
      </c>
      <c r="S41" s="84" t="n">
        <v>0</v>
      </c>
      <c r="T41" s="84" t="s">
        <v>51</v>
      </c>
      <c r="U41" s="85"/>
      <c r="V41" s="75"/>
    </row>
    <row r="42" customFormat="false" ht="12.75" hidden="false" customHeight="false" outlineLevel="0" collapsed="false">
      <c r="B42" s="71"/>
      <c r="C42" s="72"/>
      <c r="E42" s="73"/>
      <c r="H42" s="74"/>
      <c r="L42" s="75"/>
      <c r="O42" s="76"/>
      <c r="Q42" s="77"/>
      <c r="R42" s="86"/>
      <c r="S42" s="87" t="n">
        <v>1</v>
      </c>
      <c r="T42" s="87" t="s">
        <v>52</v>
      </c>
      <c r="U42" s="88"/>
      <c r="V42" s="75"/>
    </row>
    <row r="43" customFormat="false" ht="12.75" hidden="false" customHeight="false" outlineLevel="0" collapsed="false">
      <c r="B43" s="71"/>
      <c r="C43" s="72"/>
      <c r="E43" s="73"/>
      <c r="H43" s="74"/>
      <c r="L43" s="75"/>
      <c r="O43" s="76"/>
      <c r="Q43" s="77"/>
      <c r="R43" s="86"/>
      <c r="S43" s="87" t="n">
        <v>2</v>
      </c>
      <c r="T43" s="87" t="s">
        <v>53</v>
      </c>
      <c r="U43" s="88"/>
      <c r="V43" s="75"/>
    </row>
    <row r="44" customFormat="false" ht="12.75" hidden="false" customHeight="false" outlineLevel="0" collapsed="false">
      <c r="B44" s="71"/>
      <c r="C44" s="72"/>
      <c r="E44" s="73"/>
      <c r="H44" s="74"/>
      <c r="L44" s="75"/>
      <c r="O44" s="76"/>
      <c r="Q44" s="77"/>
      <c r="R44" s="86"/>
      <c r="S44" s="87" t="n">
        <v>3</v>
      </c>
      <c r="T44" s="87" t="s">
        <v>54</v>
      </c>
      <c r="U44" s="88"/>
      <c r="V44" s="75"/>
    </row>
    <row r="45" customFormat="false" ht="12.75" hidden="false" customHeight="false" outlineLevel="0" collapsed="false">
      <c r="B45" s="71"/>
      <c r="C45" s="72"/>
      <c r="E45" s="73"/>
      <c r="H45" s="74"/>
      <c r="L45" s="75"/>
      <c r="O45" s="76"/>
      <c r="Q45" s="77"/>
      <c r="R45" s="86"/>
      <c r="S45" s="87" t="n">
        <v>4</v>
      </c>
      <c r="T45" s="87" t="s">
        <v>55</v>
      </c>
      <c r="U45" s="88"/>
      <c r="V45" s="75"/>
    </row>
    <row r="46" customFormat="false" ht="12.75" hidden="false" customHeight="false" outlineLevel="0" collapsed="false">
      <c r="B46" s="71"/>
      <c r="C46" s="72"/>
      <c r="E46" s="73"/>
      <c r="H46" s="74"/>
      <c r="L46" s="75"/>
      <c r="O46" s="76"/>
      <c r="Q46" s="77"/>
      <c r="R46" s="86"/>
      <c r="S46" s="87" t="n">
        <v>5</v>
      </c>
      <c r="T46" s="87" t="s">
        <v>56</v>
      </c>
      <c r="U46" s="88"/>
      <c r="V46" s="75"/>
    </row>
    <row r="47" customFormat="false" ht="12.75" hidden="false" customHeight="false" outlineLevel="0" collapsed="false">
      <c r="B47" s="71"/>
      <c r="C47" s="72"/>
      <c r="E47" s="73"/>
      <c r="H47" s="74"/>
      <c r="L47" s="75"/>
      <c r="O47" s="76"/>
      <c r="Q47" s="77"/>
      <c r="R47" s="89"/>
      <c r="S47" s="90" t="n">
        <v>6</v>
      </c>
      <c r="T47" s="90" t="s">
        <v>57</v>
      </c>
      <c r="U47" s="91"/>
      <c r="V47" s="75"/>
    </row>
    <row r="48" customFormat="false" ht="12.75" hidden="false" customHeight="false" outlineLevel="0" collapsed="false">
      <c r="B48" s="71"/>
      <c r="C48" s="72"/>
      <c r="E48" s="73"/>
      <c r="H48" s="74"/>
      <c r="L48" s="75"/>
      <c r="O48" s="76"/>
      <c r="Q48" s="77"/>
      <c r="R48" s="81"/>
      <c r="U48" s="82"/>
      <c r="V48" s="75"/>
    </row>
    <row r="49" customFormat="false" ht="12.75" hidden="false" customHeight="false" outlineLevel="0" collapsed="false">
      <c r="B49" s="71"/>
      <c r="C49" s="72"/>
      <c r="E49" s="73"/>
      <c r="H49" s="74"/>
      <c r="L49" s="75"/>
      <c r="O49" s="76"/>
      <c r="Q49" s="77"/>
      <c r="R49" s="81"/>
      <c r="U49" s="82"/>
      <c r="V49" s="75"/>
    </row>
    <row r="50" customFormat="false" ht="12.75" hidden="false" customHeight="false" outlineLevel="0" collapsed="false">
      <c r="B50" s="71"/>
      <c r="C50" s="72"/>
      <c r="E50" s="73"/>
      <c r="H50" s="74"/>
      <c r="L50" s="75"/>
      <c r="O50" s="76"/>
      <c r="Q50" s="77"/>
      <c r="R50" s="81"/>
      <c r="U50" s="82"/>
      <c r="V50" s="75"/>
    </row>
    <row r="51" customFormat="false" ht="12.75" hidden="false" customHeight="false" outlineLevel="0" collapsed="false">
      <c r="B51" s="71"/>
      <c r="C51" s="72"/>
      <c r="E51" s="73"/>
      <c r="H51" s="74"/>
      <c r="L51" s="75"/>
      <c r="O51" s="76"/>
      <c r="Q51" s="77"/>
      <c r="R51" s="81"/>
      <c r="U51" s="82"/>
      <c r="V51" s="75"/>
    </row>
    <row r="52" customFormat="false" ht="12.75" hidden="false" customHeight="false" outlineLevel="0" collapsed="false">
      <c r="B52" s="71"/>
      <c r="C52" s="72"/>
      <c r="E52" s="73"/>
      <c r="H52" s="74"/>
      <c r="L52" s="75"/>
      <c r="O52" s="76"/>
      <c r="Q52" s="77"/>
      <c r="R52" s="81"/>
      <c r="U52" s="82"/>
      <c r="V52" s="75"/>
    </row>
    <row r="53" customFormat="false" ht="12.75" hidden="false" customHeight="false" outlineLevel="0" collapsed="false">
      <c r="B53" s="71"/>
      <c r="C53" s="72"/>
      <c r="E53" s="73"/>
      <c r="H53" s="74"/>
      <c r="L53" s="75"/>
      <c r="O53" s="76"/>
      <c r="Q53" s="77"/>
      <c r="R53" s="81"/>
      <c r="U53" s="82"/>
      <c r="V53" s="75"/>
    </row>
    <row r="54" customFormat="false" ht="12.75" hidden="false" customHeight="false" outlineLevel="0" collapsed="false">
      <c r="B54" s="71"/>
      <c r="C54" s="72"/>
      <c r="E54" s="73"/>
      <c r="H54" s="74"/>
      <c r="L54" s="75"/>
      <c r="O54" s="76"/>
      <c r="Q54" s="77"/>
      <c r="R54" s="81"/>
      <c r="U54" s="82"/>
      <c r="V54" s="75"/>
    </row>
    <row r="55" customFormat="false" ht="12.75" hidden="false" customHeight="false" outlineLevel="0" collapsed="false">
      <c r="B55" s="71"/>
      <c r="C55" s="72"/>
      <c r="E55" s="73"/>
      <c r="H55" s="74"/>
      <c r="L55" s="75"/>
      <c r="O55" s="76"/>
      <c r="Q55" s="77"/>
      <c r="R55" s="81"/>
      <c r="U55" s="82"/>
      <c r="V55" s="75"/>
    </row>
    <row r="56" customFormat="false" ht="12.75" hidden="false" customHeight="false" outlineLevel="0" collapsed="false">
      <c r="B56" s="71"/>
      <c r="C56" s="72"/>
      <c r="E56" s="73"/>
      <c r="H56" s="74"/>
      <c r="L56" s="75"/>
      <c r="O56" s="76"/>
      <c r="Q56" s="77"/>
      <c r="R56" s="81"/>
      <c r="U56" s="82"/>
      <c r="V56" s="75"/>
    </row>
    <row r="57" customFormat="false" ht="12.75" hidden="false" customHeight="false" outlineLevel="0" collapsed="false">
      <c r="B57" s="71"/>
      <c r="C57" s="72"/>
      <c r="E57" s="73"/>
      <c r="H57" s="74"/>
      <c r="L57" s="75"/>
      <c r="O57" s="76"/>
      <c r="Q57" s="77"/>
      <c r="R57" s="81"/>
      <c r="U57" s="82"/>
      <c r="V57" s="75"/>
    </row>
    <row r="58" customFormat="false" ht="12.75" hidden="false" customHeight="false" outlineLevel="0" collapsed="false">
      <c r="B58" s="71"/>
      <c r="C58" s="72"/>
      <c r="E58" s="73"/>
      <c r="H58" s="74"/>
      <c r="L58" s="75"/>
      <c r="O58" s="76"/>
      <c r="Q58" s="77"/>
      <c r="R58" s="81"/>
      <c r="U58" s="82"/>
      <c r="V58" s="75"/>
    </row>
    <row r="59" customFormat="false" ht="12.75" hidden="false" customHeight="false" outlineLevel="0" collapsed="false">
      <c r="H59" s="74"/>
      <c r="R59" s="81"/>
      <c r="U59" s="82"/>
    </row>
    <row r="60" customFormat="false" ht="12.75" hidden="false" customHeight="false" outlineLevel="0" collapsed="false">
      <c r="H60" s="74"/>
      <c r="R60" s="81"/>
      <c r="U60" s="82"/>
    </row>
    <row r="61" customFormat="false" ht="12.75" hidden="false" customHeight="false" outlineLevel="0" collapsed="false">
      <c r="H61" s="74"/>
    </row>
    <row r="62" customFormat="false" ht="12.75" hidden="false" customHeight="false" outlineLevel="0" collapsed="false">
      <c r="H62" s="74"/>
    </row>
    <row r="63" customFormat="false" ht="12.75" hidden="false" customHeight="false" outlineLevel="0" collapsed="false">
      <c r="H63" s="74"/>
    </row>
    <row r="64" customFormat="false" ht="12.75" hidden="false" customHeight="false" outlineLevel="0" collapsed="false">
      <c r="H64" s="74"/>
    </row>
    <row r="65" customFormat="false" ht="12.75" hidden="false" customHeight="false" outlineLevel="0" collapsed="false">
      <c r="H65" s="74"/>
    </row>
    <row r="66" customFormat="false" ht="12.75" hidden="false" customHeight="false" outlineLevel="0" collapsed="false">
      <c r="H66" s="74"/>
    </row>
    <row r="67" customFormat="false" ht="12.75" hidden="false" customHeight="false" outlineLevel="0" collapsed="false">
      <c r="H67" s="74"/>
    </row>
    <row r="68" customFormat="false" ht="12.75" hidden="false" customHeight="false" outlineLevel="0" collapsed="false">
      <c r="H68" s="74"/>
    </row>
    <row r="69" customFormat="false" ht="12.75" hidden="false" customHeight="false" outlineLevel="0" collapsed="false">
      <c r="H69" s="74"/>
    </row>
    <row r="70" customFormat="false" ht="12.75" hidden="false" customHeight="false" outlineLevel="0" collapsed="false">
      <c r="H70" s="74"/>
    </row>
    <row r="71" customFormat="false" ht="12.75" hidden="false" customHeight="false" outlineLevel="0" collapsed="false">
      <c r="H71" s="74"/>
    </row>
    <row r="72" customFormat="false" ht="12.75" hidden="false" customHeight="false" outlineLevel="0" collapsed="false">
      <c r="H72" s="74"/>
    </row>
    <row r="73" customFormat="false" ht="12.75" hidden="false" customHeight="false" outlineLevel="0" collapsed="false">
      <c r="H73" s="74"/>
    </row>
    <row r="74" customFormat="false" ht="12.75" hidden="false" customHeight="false" outlineLevel="0" collapsed="false">
      <c r="H74" s="74"/>
    </row>
    <row r="75" customFormat="false" ht="12.75" hidden="false" customHeight="false" outlineLevel="0" collapsed="false">
      <c r="H75" s="74"/>
    </row>
    <row r="76" customFormat="false" ht="12.75" hidden="false" customHeight="false" outlineLevel="0" collapsed="false">
      <c r="H76" s="74"/>
    </row>
    <row r="77" customFormat="false" ht="12.75" hidden="false" customHeight="false" outlineLevel="0" collapsed="false">
      <c r="H77" s="74"/>
    </row>
    <row r="78" customFormat="false" ht="12.75" hidden="false" customHeight="false" outlineLevel="0" collapsed="false">
      <c r="H78" s="74"/>
    </row>
    <row r="79" customFormat="false" ht="12.75" hidden="false" customHeight="false" outlineLevel="0" collapsed="false">
      <c r="H79" s="74"/>
    </row>
    <row r="80" customFormat="false" ht="12.75" hidden="false" customHeight="false" outlineLevel="0" collapsed="false">
      <c r="H80" s="74"/>
    </row>
    <row r="81" customFormat="false" ht="12.75" hidden="false" customHeight="false" outlineLevel="0" collapsed="false">
      <c r="H81" s="74"/>
    </row>
    <row r="82" customFormat="false" ht="12.75" hidden="false" customHeight="false" outlineLevel="0" collapsed="false">
      <c r="H82" s="74"/>
    </row>
    <row r="83" customFormat="false" ht="12.75" hidden="false" customHeight="false" outlineLevel="0" collapsed="false">
      <c r="H83" s="74"/>
    </row>
    <row r="84" customFormat="false" ht="12.75" hidden="false" customHeight="false" outlineLevel="0" collapsed="false">
      <c r="H84" s="74"/>
    </row>
    <row r="85" customFormat="false" ht="12.75" hidden="false" customHeight="false" outlineLevel="0" collapsed="false">
      <c r="H85" s="74"/>
    </row>
    <row r="86" customFormat="false" ht="12.75" hidden="false" customHeight="false" outlineLevel="0" collapsed="false">
      <c r="H86" s="74"/>
    </row>
    <row r="87" customFormat="false" ht="12.75" hidden="false" customHeight="false" outlineLevel="0" collapsed="false">
      <c r="H87" s="74"/>
    </row>
    <row r="88" customFormat="false" ht="12.75" hidden="false" customHeight="false" outlineLevel="0" collapsed="false">
      <c r="H88" s="74"/>
    </row>
    <row r="89" customFormat="false" ht="12.75" hidden="false" customHeight="false" outlineLevel="0" collapsed="false">
      <c r="H89" s="74"/>
    </row>
    <row r="90" customFormat="false" ht="12.75" hidden="false" customHeight="false" outlineLevel="0" collapsed="false">
      <c r="H90" s="74"/>
    </row>
    <row r="91" customFormat="false" ht="12.75" hidden="false" customHeight="false" outlineLevel="0" collapsed="false">
      <c r="H91" s="74"/>
    </row>
    <row r="92" customFormat="false" ht="12.75" hidden="false" customHeight="false" outlineLevel="0" collapsed="false">
      <c r="H92" s="74"/>
    </row>
    <row r="93" customFormat="false" ht="12.75" hidden="false" customHeight="false" outlineLevel="0" collapsed="false">
      <c r="H93" s="74"/>
    </row>
    <row r="94" customFormat="false" ht="12.75" hidden="false" customHeight="false" outlineLevel="0" collapsed="false">
      <c r="H94" s="74"/>
    </row>
    <row r="95" customFormat="false" ht="12.75" hidden="false" customHeight="false" outlineLevel="0" collapsed="false">
      <c r="H95" s="74"/>
    </row>
    <row r="96" customFormat="false" ht="12.75" hidden="false" customHeight="false" outlineLevel="0" collapsed="false">
      <c r="H96" s="74"/>
    </row>
    <row r="97" customFormat="false" ht="12.75" hidden="false" customHeight="false" outlineLevel="0" collapsed="false">
      <c r="H97" s="74"/>
    </row>
    <row r="98" customFormat="false" ht="12.75" hidden="false" customHeight="false" outlineLevel="0" collapsed="false">
      <c r="H98" s="74"/>
    </row>
    <row r="99" customFormat="false" ht="12.75" hidden="false" customHeight="false" outlineLevel="0" collapsed="false">
      <c r="H99" s="74"/>
    </row>
    <row r="100" customFormat="false" ht="12.75" hidden="false" customHeight="false" outlineLevel="0" collapsed="false">
      <c r="H100" s="74"/>
    </row>
    <row r="101" customFormat="false" ht="12.75" hidden="false" customHeight="false" outlineLevel="0" collapsed="false">
      <c r="H101" s="74"/>
    </row>
    <row r="102" customFormat="false" ht="12.75" hidden="false" customHeight="false" outlineLevel="0" collapsed="false">
      <c r="H102" s="74"/>
    </row>
    <row r="103" customFormat="false" ht="12.75" hidden="false" customHeight="false" outlineLevel="0" collapsed="false">
      <c r="H103" s="74"/>
    </row>
    <row r="104" customFormat="false" ht="12.75" hidden="false" customHeight="false" outlineLevel="0" collapsed="false">
      <c r="H104" s="74"/>
    </row>
    <row r="105" customFormat="false" ht="12.75" hidden="false" customHeight="false" outlineLevel="0" collapsed="false">
      <c r="H105" s="74"/>
    </row>
    <row r="106" customFormat="false" ht="12.75" hidden="false" customHeight="false" outlineLevel="0" collapsed="false">
      <c r="H106" s="74"/>
    </row>
    <row r="107" customFormat="false" ht="12.75" hidden="false" customHeight="false" outlineLevel="0" collapsed="false">
      <c r="H107" s="74"/>
    </row>
    <row r="108" customFormat="false" ht="12.75" hidden="false" customHeight="false" outlineLevel="0" collapsed="false">
      <c r="H108" s="74"/>
    </row>
    <row r="109" customFormat="false" ht="12.75" hidden="false" customHeight="false" outlineLevel="0" collapsed="false">
      <c r="H109" s="74"/>
    </row>
    <row r="110" customFormat="false" ht="12.75" hidden="false" customHeight="false" outlineLevel="0" collapsed="false">
      <c r="H110" s="74"/>
    </row>
    <row r="111" customFormat="false" ht="12.75" hidden="false" customHeight="false" outlineLevel="0" collapsed="false">
      <c r="H111" s="74"/>
    </row>
    <row r="112" customFormat="false" ht="12.75" hidden="false" customHeight="false" outlineLevel="0" collapsed="false">
      <c r="H112" s="74"/>
    </row>
    <row r="113" customFormat="false" ht="12.75" hidden="false" customHeight="false" outlineLevel="0" collapsed="false">
      <c r="H113" s="74"/>
    </row>
    <row r="114" customFormat="false" ht="12.75" hidden="false" customHeight="false" outlineLevel="0" collapsed="false">
      <c r="H114" s="74"/>
    </row>
    <row r="115" customFormat="false" ht="12.75" hidden="false" customHeight="false" outlineLevel="0" collapsed="false">
      <c r="H115" s="74"/>
    </row>
    <row r="116" customFormat="false" ht="12.75" hidden="false" customHeight="false" outlineLevel="0" collapsed="false">
      <c r="H116" s="74"/>
    </row>
    <row r="117" customFormat="false" ht="12.75" hidden="false" customHeight="false" outlineLevel="0" collapsed="false">
      <c r="H117" s="74"/>
    </row>
    <row r="118" customFormat="false" ht="12.75" hidden="false" customHeight="false" outlineLevel="0" collapsed="false">
      <c r="H118" s="74"/>
    </row>
    <row r="119" customFormat="false" ht="12.75" hidden="false" customHeight="false" outlineLevel="0" collapsed="false">
      <c r="H119" s="74"/>
    </row>
    <row r="120" customFormat="false" ht="12.75" hidden="false" customHeight="false" outlineLevel="0" collapsed="false">
      <c r="H120" s="74"/>
    </row>
    <row r="121" customFormat="false" ht="12.75" hidden="false" customHeight="false" outlineLevel="0" collapsed="false">
      <c r="H121" s="74"/>
    </row>
    <row r="122" customFormat="false" ht="12.75" hidden="false" customHeight="false" outlineLevel="0" collapsed="false">
      <c r="H122" s="74"/>
    </row>
    <row r="123" customFormat="false" ht="12.75" hidden="false" customHeight="false" outlineLevel="0" collapsed="false">
      <c r="H123" s="74"/>
    </row>
    <row r="124" customFormat="false" ht="12.75" hidden="false" customHeight="false" outlineLevel="0" collapsed="false">
      <c r="H124" s="74"/>
    </row>
    <row r="125" customFormat="false" ht="12.75" hidden="false" customHeight="false" outlineLevel="0" collapsed="false">
      <c r="H125" s="74"/>
    </row>
    <row r="126" customFormat="false" ht="12.75" hidden="false" customHeight="false" outlineLevel="0" collapsed="false">
      <c r="H126" s="74"/>
    </row>
    <row r="127" customFormat="false" ht="12.75" hidden="false" customHeight="false" outlineLevel="0" collapsed="false">
      <c r="H127" s="74"/>
    </row>
    <row r="128" customFormat="false" ht="12.75" hidden="false" customHeight="false" outlineLevel="0" collapsed="false">
      <c r="H128" s="74"/>
    </row>
    <row r="129" customFormat="false" ht="12.75" hidden="false" customHeight="false" outlineLevel="0" collapsed="false">
      <c r="H129" s="74"/>
    </row>
    <row r="130" customFormat="false" ht="12.75" hidden="false" customHeight="false" outlineLevel="0" collapsed="false">
      <c r="H130" s="74"/>
    </row>
    <row r="131" customFormat="false" ht="12.75" hidden="false" customHeight="false" outlineLevel="0" collapsed="false">
      <c r="H131" s="74"/>
    </row>
    <row r="132" customFormat="false" ht="12.75" hidden="false" customHeight="false" outlineLevel="0" collapsed="false">
      <c r="H132" s="74"/>
    </row>
    <row r="133" customFormat="false" ht="12.75" hidden="false" customHeight="false" outlineLevel="0" collapsed="false">
      <c r="H133" s="74"/>
    </row>
    <row r="134" customFormat="false" ht="12.75" hidden="false" customHeight="false" outlineLevel="0" collapsed="false">
      <c r="H134" s="74"/>
    </row>
    <row r="135" customFormat="false" ht="12.75" hidden="false" customHeight="false" outlineLevel="0" collapsed="false">
      <c r="H135" s="74"/>
    </row>
    <row r="136" customFormat="false" ht="12.75" hidden="false" customHeight="false" outlineLevel="0" collapsed="false">
      <c r="H136" s="74"/>
    </row>
    <row r="137" customFormat="false" ht="12.75" hidden="false" customHeight="false" outlineLevel="0" collapsed="false">
      <c r="H137" s="74"/>
    </row>
    <row r="138" customFormat="false" ht="12.75" hidden="false" customHeight="false" outlineLevel="0" collapsed="false">
      <c r="H138" s="74"/>
    </row>
    <row r="139" customFormat="false" ht="12.75" hidden="false" customHeight="false" outlineLevel="0" collapsed="false">
      <c r="H139" s="74"/>
    </row>
    <row r="140" customFormat="false" ht="12.75" hidden="false" customHeight="false" outlineLevel="0" collapsed="false">
      <c r="H140" s="74"/>
    </row>
    <row r="141" customFormat="false" ht="12.75" hidden="false" customHeight="false" outlineLevel="0" collapsed="false">
      <c r="H141" s="74"/>
    </row>
    <row r="142" customFormat="false" ht="12.75" hidden="false" customHeight="false" outlineLevel="0" collapsed="false">
      <c r="H142" s="74"/>
    </row>
    <row r="143" customFormat="false" ht="12.75" hidden="false" customHeight="false" outlineLevel="0" collapsed="false">
      <c r="H143" s="74"/>
    </row>
    <row r="144" customFormat="false" ht="12.75" hidden="false" customHeight="false" outlineLevel="0" collapsed="false">
      <c r="H144" s="74"/>
    </row>
    <row r="145" customFormat="false" ht="12.75" hidden="false" customHeight="false" outlineLevel="0" collapsed="false">
      <c r="H145" s="74"/>
    </row>
    <row r="146" customFormat="false" ht="12.75" hidden="false" customHeight="false" outlineLevel="0" collapsed="false">
      <c r="H146" s="74"/>
    </row>
    <row r="147" customFormat="false" ht="12.75" hidden="false" customHeight="false" outlineLevel="0" collapsed="false">
      <c r="H147" s="74"/>
    </row>
    <row r="148" customFormat="false" ht="12.75" hidden="false" customHeight="false" outlineLevel="0" collapsed="false">
      <c r="H148" s="74"/>
    </row>
    <row r="149" customFormat="false" ht="12.75" hidden="false" customHeight="false" outlineLevel="0" collapsed="false">
      <c r="H149" s="74"/>
    </row>
    <row r="150" customFormat="false" ht="12.75" hidden="false" customHeight="false" outlineLevel="0" collapsed="false">
      <c r="H150" s="74"/>
    </row>
    <row r="151" customFormat="false" ht="12.75" hidden="false" customHeight="false" outlineLevel="0" collapsed="false">
      <c r="H151" s="74"/>
    </row>
    <row r="152" customFormat="false" ht="12.75" hidden="false" customHeight="false" outlineLevel="0" collapsed="false">
      <c r="H152" s="74"/>
    </row>
    <row r="153" customFormat="false" ht="12.75" hidden="false" customHeight="false" outlineLevel="0" collapsed="false">
      <c r="H153" s="74"/>
    </row>
    <row r="154" customFormat="false" ht="12.75" hidden="false" customHeight="false" outlineLevel="0" collapsed="false">
      <c r="H154" s="74"/>
    </row>
    <row r="155" customFormat="false" ht="12.75" hidden="false" customHeight="false" outlineLevel="0" collapsed="false">
      <c r="H155" s="74"/>
    </row>
    <row r="156" customFormat="false" ht="12.75" hidden="false" customHeight="false" outlineLevel="0" collapsed="false">
      <c r="H156" s="74"/>
    </row>
    <row r="157" customFormat="false" ht="12.75" hidden="false" customHeight="false" outlineLevel="0" collapsed="false">
      <c r="H157" s="74"/>
    </row>
    <row r="158" customFormat="false" ht="12.75" hidden="false" customHeight="false" outlineLevel="0" collapsed="false">
      <c r="H158" s="74"/>
    </row>
    <row r="159" customFormat="false" ht="12.75" hidden="false" customHeight="false" outlineLevel="0" collapsed="false">
      <c r="H159" s="74"/>
    </row>
    <row r="160" customFormat="false" ht="12.75" hidden="false" customHeight="false" outlineLevel="0" collapsed="false">
      <c r="H160" s="74"/>
    </row>
    <row r="161" customFormat="false" ht="12.75" hidden="false" customHeight="false" outlineLevel="0" collapsed="false">
      <c r="H161" s="74"/>
    </row>
    <row r="162" customFormat="false" ht="12.75" hidden="false" customHeight="false" outlineLevel="0" collapsed="false">
      <c r="H162" s="74"/>
    </row>
    <row r="163" customFormat="false" ht="12.75" hidden="false" customHeight="false" outlineLevel="0" collapsed="false">
      <c r="H163" s="74"/>
    </row>
    <row r="164" customFormat="false" ht="12.75" hidden="false" customHeight="false" outlineLevel="0" collapsed="false">
      <c r="H164" s="74"/>
    </row>
    <row r="165" customFormat="false" ht="12.75" hidden="false" customHeight="false" outlineLevel="0" collapsed="false">
      <c r="H165" s="74"/>
    </row>
    <row r="166" customFormat="false" ht="12.75" hidden="false" customHeight="false" outlineLevel="0" collapsed="false">
      <c r="H166" s="74"/>
    </row>
    <row r="167" customFormat="false" ht="12.75" hidden="false" customHeight="false" outlineLevel="0" collapsed="false">
      <c r="H167" s="74"/>
    </row>
    <row r="168" customFormat="false" ht="12.75" hidden="false" customHeight="false" outlineLevel="0" collapsed="false">
      <c r="H168" s="74"/>
    </row>
    <row r="169" customFormat="false" ht="12.75" hidden="false" customHeight="false" outlineLevel="0" collapsed="false">
      <c r="H169" s="74"/>
    </row>
    <row r="170" customFormat="false" ht="12.75" hidden="false" customHeight="false" outlineLevel="0" collapsed="false">
      <c r="H170" s="74"/>
    </row>
    <row r="171" customFormat="false" ht="12.75" hidden="false" customHeight="false" outlineLevel="0" collapsed="false">
      <c r="H171" s="74"/>
    </row>
    <row r="172" customFormat="false" ht="12.75" hidden="false" customHeight="false" outlineLevel="0" collapsed="false">
      <c r="H172" s="74"/>
    </row>
    <row r="173" customFormat="false" ht="12.75" hidden="false" customHeight="false" outlineLevel="0" collapsed="false">
      <c r="H173" s="74"/>
    </row>
    <row r="174" customFormat="false" ht="12.75" hidden="false" customHeight="false" outlineLevel="0" collapsed="false">
      <c r="H174" s="74"/>
    </row>
    <row r="175" customFormat="false" ht="12.75" hidden="false" customHeight="false" outlineLevel="0" collapsed="false">
      <c r="H175" s="74"/>
    </row>
    <row r="176" customFormat="false" ht="12.75" hidden="false" customHeight="false" outlineLevel="0" collapsed="false">
      <c r="H176" s="74"/>
    </row>
    <row r="177" customFormat="false" ht="12.75" hidden="false" customHeight="false" outlineLevel="0" collapsed="false">
      <c r="H177" s="74"/>
    </row>
    <row r="178" customFormat="false" ht="12.75" hidden="false" customHeight="false" outlineLevel="0" collapsed="false">
      <c r="H178" s="74"/>
    </row>
    <row r="179" customFormat="false" ht="12.75" hidden="false" customHeight="false" outlineLevel="0" collapsed="false">
      <c r="H179" s="74"/>
    </row>
    <row r="180" customFormat="false" ht="12.75" hidden="false" customHeight="false" outlineLevel="0" collapsed="false">
      <c r="H180" s="74"/>
    </row>
    <row r="181" customFormat="false" ht="12.75" hidden="false" customHeight="false" outlineLevel="0" collapsed="false">
      <c r="H181" s="74"/>
    </row>
    <row r="182" customFormat="false" ht="12.75" hidden="false" customHeight="false" outlineLevel="0" collapsed="false">
      <c r="H182" s="74"/>
    </row>
    <row r="183" customFormat="false" ht="12.75" hidden="false" customHeight="false" outlineLevel="0" collapsed="false">
      <c r="H183" s="74"/>
    </row>
    <row r="184" customFormat="false" ht="12.75" hidden="false" customHeight="false" outlineLevel="0" collapsed="false">
      <c r="H184" s="74"/>
    </row>
    <row r="185" customFormat="false" ht="12.75" hidden="false" customHeight="false" outlineLevel="0" collapsed="false">
      <c r="H185" s="74"/>
    </row>
    <row r="186" customFormat="false" ht="12.75" hidden="false" customHeight="false" outlineLevel="0" collapsed="false">
      <c r="H186" s="74"/>
    </row>
    <row r="187" customFormat="false" ht="12.75" hidden="false" customHeight="false" outlineLevel="0" collapsed="false">
      <c r="H187" s="74"/>
    </row>
    <row r="188" customFormat="false" ht="12.75" hidden="false" customHeight="false" outlineLevel="0" collapsed="false">
      <c r="H188" s="74"/>
    </row>
    <row r="189" customFormat="false" ht="12.75" hidden="false" customHeight="false" outlineLevel="0" collapsed="false">
      <c r="H189" s="74"/>
    </row>
    <row r="190" customFormat="false" ht="12.75" hidden="false" customHeight="false" outlineLevel="0" collapsed="false">
      <c r="H190" s="74"/>
    </row>
    <row r="191" customFormat="false" ht="12.75" hidden="false" customHeight="false" outlineLevel="0" collapsed="false">
      <c r="H191" s="74"/>
    </row>
    <row r="192" customFormat="false" ht="12.75" hidden="false" customHeight="false" outlineLevel="0" collapsed="false">
      <c r="H192" s="74"/>
    </row>
    <row r="193" customFormat="false" ht="12.75" hidden="false" customHeight="false" outlineLevel="0" collapsed="false">
      <c r="H193" s="74"/>
    </row>
    <row r="194" customFormat="false" ht="12.75" hidden="false" customHeight="false" outlineLevel="0" collapsed="false">
      <c r="H194" s="74"/>
    </row>
    <row r="195" customFormat="false" ht="12.75" hidden="false" customHeight="false" outlineLevel="0" collapsed="false">
      <c r="H195" s="74"/>
    </row>
    <row r="196" customFormat="false" ht="12.75" hidden="false" customHeight="false" outlineLevel="0" collapsed="false">
      <c r="H196" s="74"/>
    </row>
    <row r="197" customFormat="false" ht="12.75" hidden="false" customHeight="false" outlineLevel="0" collapsed="false">
      <c r="H197" s="74"/>
    </row>
    <row r="198" customFormat="false" ht="12.75" hidden="false" customHeight="false" outlineLevel="0" collapsed="false">
      <c r="H198" s="74"/>
    </row>
    <row r="199" customFormat="false" ht="12.75" hidden="false" customHeight="false" outlineLevel="0" collapsed="false">
      <c r="H199" s="74"/>
    </row>
    <row r="200" customFormat="false" ht="12.75" hidden="false" customHeight="false" outlineLevel="0" collapsed="false">
      <c r="H200" s="74"/>
    </row>
    <row r="201" customFormat="false" ht="12.75" hidden="false" customHeight="false" outlineLevel="0" collapsed="false">
      <c r="H201" s="74"/>
    </row>
    <row r="202" customFormat="false" ht="12.75" hidden="false" customHeight="false" outlineLevel="0" collapsed="false">
      <c r="H202" s="74"/>
    </row>
    <row r="203" customFormat="false" ht="12.75" hidden="false" customHeight="false" outlineLevel="0" collapsed="false">
      <c r="H203" s="74"/>
    </row>
    <row r="204" customFormat="false" ht="12.75" hidden="false" customHeight="false" outlineLevel="0" collapsed="false">
      <c r="H204" s="74"/>
    </row>
    <row r="205" customFormat="false" ht="12.75" hidden="false" customHeight="false" outlineLevel="0" collapsed="false">
      <c r="H205" s="74"/>
    </row>
    <row r="206" customFormat="false" ht="12.75" hidden="false" customHeight="false" outlineLevel="0" collapsed="false">
      <c r="H206" s="74"/>
    </row>
    <row r="207" customFormat="false" ht="12.75" hidden="false" customHeight="false" outlineLevel="0" collapsed="false">
      <c r="H207" s="74"/>
    </row>
    <row r="208" customFormat="false" ht="12.75" hidden="false" customHeight="false" outlineLevel="0" collapsed="false">
      <c r="H208" s="74"/>
    </row>
    <row r="209" customFormat="false" ht="12.75" hidden="false" customHeight="false" outlineLevel="0" collapsed="false">
      <c r="H209" s="74"/>
    </row>
    <row r="210" customFormat="false" ht="12.75" hidden="false" customHeight="false" outlineLevel="0" collapsed="false">
      <c r="H210" s="74"/>
    </row>
    <row r="211" customFormat="false" ht="12.75" hidden="false" customHeight="false" outlineLevel="0" collapsed="false">
      <c r="H211" s="74"/>
    </row>
    <row r="212" customFormat="false" ht="12.75" hidden="false" customHeight="false" outlineLevel="0" collapsed="false">
      <c r="H212" s="74"/>
    </row>
    <row r="213" customFormat="false" ht="12.75" hidden="false" customHeight="false" outlineLevel="0" collapsed="false">
      <c r="H213" s="74"/>
    </row>
    <row r="214" customFormat="false" ht="12.75" hidden="false" customHeight="false" outlineLevel="0" collapsed="false">
      <c r="H214" s="74"/>
    </row>
    <row r="215" customFormat="false" ht="12.75" hidden="false" customHeight="false" outlineLevel="0" collapsed="false">
      <c r="H215" s="74"/>
    </row>
    <row r="216" customFormat="false" ht="12.75" hidden="false" customHeight="false" outlineLevel="0" collapsed="false">
      <c r="H216" s="74"/>
    </row>
    <row r="217" customFormat="false" ht="12.75" hidden="false" customHeight="false" outlineLevel="0" collapsed="false">
      <c r="H217" s="74"/>
    </row>
    <row r="218" customFormat="false" ht="12.75" hidden="false" customHeight="false" outlineLevel="0" collapsed="false">
      <c r="H218" s="74"/>
    </row>
    <row r="219" customFormat="false" ht="12.75" hidden="false" customHeight="false" outlineLevel="0" collapsed="false">
      <c r="H219" s="74"/>
    </row>
    <row r="220" customFormat="false" ht="12.75" hidden="false" customHeight="false" outlineLevel="0" collapsed="false">
      <c r="H220" s="74"/>
    </row>
    <row r="221" customFormat="false" ht="12.75" hidden="false" customHeight="false" outlineLevel="0" collapsed="false">
      <c r="H221" s="74"/>
    </row>
    <row r="222" customFormat="false" ht="12.75" hidden="false" customHeight="false" outlineLevel="0" collapsed="false">
      <c r="H222" s="74"/>
    </row>
    <row r="223" customFormat="false" ht="12.75" hidden="false" customHeight="false" outlineLevel="0" collapsed="false">
      <c r="H223" s="74"/>
    </row>
    <row r="224" customFormat="false" ht="12.75" hidden="false" customHeight="false" outlineLevel="0" collapsed="false">
      <c r="H224" s="74"/>
    </row>
    <row r="225" customFormat="false" ht="12.75" hidden="false" customHeight="false" outlineLevel="0" collapsed="false">
      <c r="H225" s="74"/>
    </row>
    <row r="226" customFormat="false" ht="12.75" hidden="false" customHeight="false" outlineLevel="0" collapsed="false">
      <c r="H226" s="74"/>
    </row>
    <row r="227" customFormat="false" ht="12.75" hidden="false" customHeight="false" outlineLevel="0" collapsed="false">
      <c r="H227" s="74"/>
    </row>
    <row r="228" customFormat="false" ht="12.75" hidden="false" customHeight="false" outlineLevel="0" collapsed="false">
      <c r="H228" s="74"/>
    </row>
    <row r="229" customFormat="false" ht="12.75" hidden="false" customHeight="false" outlineLevel="0" collapsed="false">
      <c r="H229" s="74"/>
    </row>
    <row r="230" customFormat="false" ht="12.75" hidden="false" customHeight="false" outlineLevel="0" collapsed="false">
      <c r="H230" s="74"/>
    </row>
    <row r="231" customFormat="false" ht="12.75" hidden="false" customHeight="false" outlineLevel="0" collapsed="false">
      <c r="H231" s="74"/>
    </row>
    <row r="232" customFormat="false" ht="12.75" hidden="false" customHeight="false" outlineLevel="0" collapsed="false">
      <c r="H232" s="74"/>
    </row>
    <row r="233" customFormat="false" ht="12.75" hidden="false" customHeight="false" outlineLevel="0" collapsed="false">
      <c r="H233" s="74"/>
    </row>
    <row r="234" customFormat="false" ht="12.75" hidden="false" customHeight="false" outlineLevel="0" collapsed="false">
      <c r="H234" s="74"/>
    </row>
    <row r="235" customFormat="false" ht="12.75" hidden="false" customHeight="false" outlineLevel="0" collapsed="false">
      <c r="H235" s="74"/>
    </row>
    <row r="236" customFormat="false" ht="12.75" hidden="false" customHeight="false" outlineLevel="0" collapsed="false">
      <c r="H236" s="74"/>
    </row>
    <row r="237" customFormat="false" ht="12.75" hidden="false" customHeight="false" outlineLevel="0" collapsed="false">
      <c r="H237" s="74"/>
    </row>
    <row r="238" customFormat="false" ht="12.75" hidden="false" customHeight="false" outlineLevel="0" collapsed="false">
      <c r="H238" s="74"/>
    </row>
    <row r="239" customFormat="false" ht="12.75" hidden="false" customHeight="false" outlineLevel="0" collapsed="false">
      <c r="H239" s="74"/>
    </row>
    <row r="240" customFormat="false" ht="12.75" hidden="false" customHeight="false" outlineLevel="0" collapsed="false">
      <c r="H240" s="74"/>
    </row>
    <row r="241" customFormat="false" ht="12.75" hidden="false" customHeight="false" outlineLevel="0" collapsed="false">
      <c r="H241" s="74"/>
    </row>
    <row r="242" customFormat="false" ht="12.75" hidden="false" customHeight="false" outlineLevel="0" collapsed="false">
      <c r="H242" s="74"/>
    </row>
    <row r="243" customFormat="false" ht="12.75" hidden="false" customHeight="false" outlineLevel="0" collapsed="false">
      <c r="H243" s="74"/>
    </row>
    <row r="244" customFormat="false" ht="12.75" hidden="false" customHeight="false" outlineLevel="0" collapsed="false">
      <c r="H244" s="74"/>
    </row>
    <row r="245" customFormat="false" ht="12.75" hidden="false" customHeight="false" outlineLevel="0" collapsed="false">
      <c r="H245" s="74"/>
    </row>
    <row r="246" customFormat="false" ht="12.75" hidden="false" customHeight="false" outlineLevel="0" collapsed="false">
      <c r="H246" s="74"/>
    </row>
    <row r="247" customFormat="false" ht="12.75" hidden="false" customHeight="false" outlineLevel="0" collapsed="false">
      <c r="H247" s="74"/>
    </row>
    <row r="248" customFormat="false" ht="12.75" hidden="false" customHeight="false" outlineLevel="0" collapsed="false">
      <c r="H248" s="74"/>
    </row>
    <row r="249" customFormat="false" ht="12.75" hidden="false" customHeight="false" outlineLevel="0" collapsed="false">
      <c r="H249" s="74"/>
    </row>
    <row r="250" customFormat="false" ht="12.75" hidden="false" customHeight="false" outlineLevel="0" collapsed="false">
      <c r="H250" s="74"/>
    </row>
    <row r="251" customFormat="false" ht="12.75" hidden="false" customHeight="false" outlineLevel="0" collapsed="false">
      <c r="H251" s="74"/>
    </row>
    <row r="252" customFormat="false" ht="12.75" hidden="false" customHeight="false" outlineLevel="0" collapsed="false">
      <c r="H252" s="74"/>
    </row>
    <row r="253" customFormat="false" ht="12.75" hidden="false" customHeight="false" outlineLevel="0" collapsed="false">
      <c r="H253" s="74"/>
    </row>
    <row r="254" customFormat="false" ht="12.75" hidden="false" customHeight="false" outlineLevel="0" collapsed="false">
      <c r="H254" s="74"/>
    </row>
    <row r="255" customFormat="false" ht="12.75" hidden="false" customHeight="false" outlineLevel="0" collapsed="false">
      <c r="H255" s="74"/>
    </row>
    <row r="256" customFormat="false" ht="12.75" hidden="false" customHeight="false" outlineLevel="0" collapsed="false">
      <c r="H256" s="74"/>
    </row>
    <row r="257" customFormat="false" ht="12.75" hidden="false" customHeight="false" outlineLevel="0" collapsed="false">
      <c r="H257" s="74"/>
    </row>
    <row r="258" customFormat="false" ht="12.75" hidden="false" customHeight="false" outlineLevel="0" collapsed="false">
      <c r="H258" s="74"/>
    </row>
    <row r="259" customFormat="false" ht="12.75" hidden="false" customHeight="false" outlineLevel="0" collapsed="false">
      <c r="H259" s="74"/>
    </row>
    <row r="260" customFormat="false" ht="12.75" hidden="false" customHeight="false" outlineLevel="0" collapsed="false">
      <c r="H260" s="74"/>
    </row>
    <row r="261" customFormat="false" ht="12.75" hidden="false" customHeight="false" outlineLevel="0" collapsed="false">
      <c r="H261" s="74"/>
    </row>
    <row r="262" customFormat="false" ht="12.75" hidden="false" customHeight="false" outlineLevel="0" collapsed="false">
      <c r="H262" s="74"/>
    </row>
    <row r="263" customFormat="false" ht="12.75" hidden="false" customHeight="false" outlineLevel="0" collapsed="false">
      <c r="H263" s="74"/>
    </row>
    <row r="264" customFormat="false" ht="12.75" hidden="false" customHeight="false" outlineLevel="0" collapsed="false">
      <c r="H264" s="74"/>
    </row>
    <row r="265" customFormat="false" ht="12.75" hidden="false" customHeight="false" outlineLevel="0" collapsed="false">
      <c r="H265" s="74"/>
    </row>
    <row r="266" customFormat="false" ht="12.75" hidden="false" customHeight="false" outlineLevel="0" collapsed="false">
      <c r="H266" s="74"/>
    </row>
    <row r="267" customFormat="false" ht="12.75" hidden="false" customHeight="false" outlineLevel="0" collapsed="false">
      <c r="H267" s="7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1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31" activeCellId="0" sqref="C3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92" width="9.14"/>
    <col collapsed="false" customWidth="true" hidden="false" outlineLevel="0" max="2" min="2" style="0" width="16.28"/>
    <col collapsed="false" customWidth="true" hidden="false" outlineLevel="0" max="3" min="3" style="0" width="16.13"/>
    <col collapsed="false" customWidth="true" hidden="false" outlineLevel="0" max="4" min="4" style="0" width="12.85"/>
    <col collapsed="false" customWidth="true" hidden="false" outlineLevel="0" max="5" min="5" style="0" width="16.56"/>
    <col collapsed="false" customWidth="true" hidden="false" outlineLevel="0" max="9" min="9" style="0" width="15.28"/>
  </cols>
  <sheetData>
    <row r="1" customFormat="false" ht="12.75" hidden="false" customHeight="false" outlineLevel="0" collapsed="false">
      <c r="B1" s="92" t="s">
        <v>58</v>
      </c>
      <c r="C1" s="92" t="s">
        <v>19</v>
      </c>
      <c r="D1" s="92" t="s">
        <v>59</v>
      </c>
      <c r="E1" s="92" t="s">
        <v>20</v>
      </c>
      <c r="F1" s="92"/>
      <c r="G1" s="92" t="s">
        <v>60</v>
      </c>
      <c r="H1" s="92"/>
      <c r="I1" s="92" t="s">
        <v>61</v>
      </c>
    </row>
    <row r="2" customFormat="false" ht="12.75" hidden="false" customHeight="false" outlineLevel="0" collapsed="false">
      <c r="A2" s="7" t="n">
        <v>36647</v>
      </c>
      <c r="B2" s="93" t="n">
        <v>-0.005</v>
      </c>
      <c r="C2" s="93" t="n">
        <v>-0.005</v>
      </c>
      <c r="D2" s="93" t="n">
        <v>-0.025</v>
      </c>
      <c r="E2" s="93" t="n">
        <v>-0.005</v>
      </c>
    </row>
    <row r="3" customFormat="false" ht="12.75" hidden="false" customHeight="false" outlineLevel="0" collapsed="false">
      <c r="A3" s="7" t="n">
        <v>36678</v>
      </c>
      <c r="B3" s="93" t="n">
        <v>-0.005</v>
      </c>
      <c r="C3" s="93" t="n">
        <v>-0.005</v>
      </c>
      <c r="D3" s="93" t="n">
        <v>-0.02</v>
      </c>
      <c r="E3" s="93" t="n">
        <v>-0.005</v>
      </c>
    </row>
    <row r="4" customFormat="false" ht="12.75" hidden="false" customHeight="false" outlineLevel="0" collapsed="false">
      <c r="A4" s="7" t="n">
        <v>36708</v>
      </c>
      <c r="B4" s="93" t="n">
        <v>0</v>
      </c>
      <c r="C4" s="93" t="n">
        <v>0</v>
      </c>
      <c r="D4" s="93" t="n">
        <v>-0.0175</v>
      </c>
      <c r="E4" s="93" t="n">
        <v>-0.005</v>
      </c>
    </row>
    <row r="5" customFormat="false" ht="12.75" hidden="false" customHeight="false" outlineLevel="0" collapsed="false">
      <c r="A5" s="7" t="n">
        <v>36739</v>
      </c>
      <c r="B5" s="93" t="n">
        <v>0</v>
      </c>
      <c r="C5" s="93" t="n">
        <v>0</v>
      </c>
      <c r="D5" s="93" t="n">
        <v>-0.0175</v>
      </c>
      <c r="E5" s="93" t="n">
        <v>-0.005</v>
      </c>
    </row>
    <row r="6" customFormat="false" ht="12.75" hidden="false" customHeight="false" outlineLevel="0" collapsed="false">
      <c r="A6" s="7" t="n">
        <v>36770</v>
      </c>
      <c r="B6" s="93" t="n">
        <v>0</v>
      </c>
      <c r="C6" s="93" t="n">
        <v>0</v>
      </c>
      <c r="D6" s="93" t="n">
        <v>-0.02</v>
      </c>
      <c r="E6" s="93" t="n">
        <v>-0.005</v>
      </c>
    </row>
    <row r="7" customFormat="false" ht="12.75" hidden="false" customHeight="false" outlineLevel="0" collapsed="false">
      <c r="A7" s="7" t="n">
        <v>36800</v>
      </c>
      <c r="B7" s="93" t="n">
        <v>-0.005</v>
      </c>
      <c r="C7" s="93" t="n">
        <v>-0.005</v>
      </c>
      <c r="D7" s="93" t="n">
        <v>-0.025</v>
      </c>
      <c r="E7" s="93" t="n">
        <v>-0.005</v>
      </c>
    </row>
    <row r="8" customFormat="false" ht="12.75" hidden="false" customHeight="false" outlineLevel="0" collapsed="false">
      <c r="A8" s="7" t="n">
        <v>36831</v>
      </c>
      <c r="B8" s="93" t="n">
        <v>-0.005</v>
      </c>
      <c r="C8" s="93" t="n">
        <v>-0.005</v>
      </c>
      <c r="D8" s="93" t="n">
        <v>-0.03</v>
      </c>
      <c r="E8" s="93" t="n">
        <v>-0.005</v>
      </c>
    </row>
    <row r="9" customFormat="false" ht="12.75" hidden="false" customHeight="false" outlineLevel="0" collapsed="false">
      <c r="A9" s="7" t="n">
        <v>36861</v>
      </c>
      <c r="B9" s="93" t="n">
        <v>0</v>
      </c>
      <c r="C9" s="93" t="n">
        <v>0</v>
      </c>
      <c r="D9" s="93" t="n">
        <v>-0.035</v>
      </c>
      <c r="E9" s="93" t="n">
        <v>-0.005</v>
      </c>
    </row>
    <row r="10" customFormat="false" ht="12.75" hidden="false" customHeight="false" outlineLevel="0" collapsed="false">
      <c r="A10" s="7" t="n">
        <v>36892</v>
      </c>
      <c r="B10" s="93" t="n">
        <v>0</v>
      </c>
      <c r="C10" s="93" t="n">
        <v>0</v>
      </c>
      <c r="D10" s="93" t="n">
        <v>-0.035</v>
      </c>
      <c r="E10" s="93" t="n">
        <v>-0.005</v>
      </c>
    </row>
    <row r="11" customFormat="false" ht="12.75" hidden="false" customHeight="false" outlineLevel="0" collapsed="false">
      <c r="A11" s="7" t="n">
        <v>36923</v>
      </c>
      <c r="B11" s="93" t="n">
        <v>0</v>
      </c>
      <c r="C11" s="93" t="n">
        <v>0</v>
      </c>
      <c r="D11" s="93" t="n">
        <v>-0.035</v>
      </c>
      <c r="E11" s="93" t="n">
        <v>-0.005</v>
      </c>
    </row>
    <row r="12" customFormat="false" ht="12.75" hidden="false" customHeight="false" outlineLevel="0" collapsed="false">
      <c r="A12" s="7" t="n">
        <v>36951</v>
      </c>
      <c r="B12" s="93" t="n">
        <v>0</v>
      </c>
      <c r="C12" s="93" t="n">
        <v>0</v>
      </c>
      <c r="D12" s="93" t="n">
        <v>-0.035</v>
      </c>
      <c r="E12" s="93" t="n">
        <v>-0.005</v>
      </c>
    </row>
    <row r="13" customFormat="false" ht="12.75" hidden="false" customHeight="false" outlineLevel="0" collapsed="false">
      <c r="A13" s="7" t="n">
        <v>36982</v>
      </c>
      <c r="B13" s="93" t="n">
        <v>-0.005</v>
      </c>
      <c r="C13" s="93" t="n">
        <v>-0.005</v>
      </c>
      <c r="D13" s="93" t="n">
        <v>-0.03</v>
      </c>
      <c r="E13" s="93" t="n">
        <v>-0.005</v>
      </c>
    </row>
    <row r="14" customFormat="false" ht="12.75" hidden="false" customHeight="false" outlineLevel="0" collapsed="false">
      <c r="A14" s="7" t="n">
        <v>37012</v>
      </c>
      <c r="B14" s="93" t="n">
        <v>-0.005</v>
      </c>
      <c r="C14" s="93" t="n">
        <v>-0.005</v>
      </c>
      <c r="D14" s="93" t="n">
        <v>-0.025</v>
      </c>
      <c r="E14" s="93" t="n">
        <v>-0.005</v>
      </c>
    </row>
    <row r="15" customFormat="false" ht="12.75" hidden="false" customHeight="false" outlineLevel="0" collapsed="false">
      <c r="A15" s="7" t="n">
        <v>37043</v>
      </c>
      <c r="B15" s="93" t="n">
        <v>-0.005</v>
      </c>
      <c r="C15" s="93" t="n">
        <v>-0.005</v>
      </c>
      <c r="D15" s="93" t="n">
        <v>-0.02</v>
      </c>
      <c r="E15" s="93" t="n">
        <v>-0.005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E2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5" activeCellId="0" sqref="E4:E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0" width="12.99"/>
    <col collapsed="false" customWidth="true" hidden="false" outlineLevel="0" max="3" min="3" style="0" width="9.85"/>
    <col collapsed="false" customWidth="true" hidden="false" outlineLevel="0" max="4" min="4" style="0" width="11.85"/>
    <col collapsed="false" customWidth="true" hidden="false" outlineLevel="0" max="5" min="5" style="0" width="21.99"/>
  </cols>
  <sheetData>
    <row r="2" customFormat="false" ht="12.75" hidden="false" customHeight="false" outlineLevel="0" collapsed="false">
      <c r="A2" s="94" t="s">
        <v>62</v>
      </c>
      <c r="B2" s="94" t="s">
        <v>63</v>
      </c>
      <c r="C2" s="94" t="s">
        <v>64</v>
      </c>
      <c r="D2" s="94" t="s">
        <v>65</v>
      </c>
      <c r="E2" s="94" t="s">
        <v>66</v>
      </c>
    </row>
    <row r="3" customFormat="false" ht="12.75" hidden="false" customHeight="false" outlineLevel="0" collapsed="false">
      <c r="A3" s="94"/>
      <c r="B3" s="94"/>
      <c r="C3" s="94"/>
      <c r="D3" s="94"/>
      <c r="E3" s="94"/>
    </row>
    <row r="4" customFormat="false" ht="12.75" hidden="false" customHeight="false" outlineLevel="0" collapsed="false">
      <c r="A4" s="3" t="s">
        <v>67</v>
      </c>
      <c r="B4" s="3" t="n">
        <v>1412</v>
      </c>
      <c r="C4" s="3" t="n">
        <v>6</v>
      </c>
      <c r="D4" s="3" t="s">
        <v>68</v>
      </c>
      <c r="E4" s="3" t="s">
        <v>69</v>
      </c>
    </row>
    <row r="5" customFormat="false" ht="12.75" hidden="false" customHeight="false" outlineLevel="0" collapsed="false">
      <c r="A5" s="3" t="s">
        <v>70</v>
      </c>
      <c r="B5" s="3" t="n">
        <v>1401</v>
      </c>
      <c r="C5" s="3" t="n">
        <v>4</v>
      </c>
      <c r="D5" s="3" t="s">
        <v>71</v>
      </c>
      <c r="E5" s="3" t="s">
        <v>69</v>
      </c>
    </row>
    <row r="6" customFormat="false" ht="12.75" hidden="false" customHeight="false" outlineLevel="0" collapsed="false">
      <c r="A6" s="3" t="s">
        <v>72</v>
      </c>
      <c r="B6" s="3" t="n">
        <v>1480</v>
      </c>
      <c r="C6" s="3" t="n">
        <v>16</v>
      </c>
      <c r="D6" s="3" t="s">
        <v>73</v>
      </c>
      <c r="E6" s="3" t="s">
        <v>60</v>
      </c>
    </row>
    <row r="7" customFormat="false" ht="12.75" hidden="false" customHeight="false" outlineLevel="0" collapsed="false">
      <c r="A7" s="3" t="s">
        <v>74</v>
      </c>
      <c r="B7" s="3" t="n">
        <v>1393</v>
      </c>
      <c r="C7" s="3" t="n">
        <v>17</v>
      </c>
      <c r="D7" s="3" t="s">
        <v>75</v>
      </c>
      <c r="E7" s="3" t="s">
        <v>60</v>
      </c>
    </row>
    <row r="8" customFormat="false" ht="12.75" hidden="false" customHeight="false" outlineLevel="0" collapsed="false">
      <c r="A8" s="3" t="s">
        <v>76</v>
      </c>
      <c r="B8" s="3" t="n">
        <v>1396</v>
      </c>
      <c r="C8" s="3" t="n">
        <v>10</v>
      </c>
      <c r="D8" s="3" t="s">
        <v>77</v>
      </c>
      <c r="E8" s="3" t="s">
        <v>60</v>
      </c>
    </row>
    <row r="9" customFormat="false" ht="12.75" hidden="false" customHeight="false" outlineLevel="0" collapsed="false">
      <c r="A9" s="3"/>
      <c r="B9" s="3"/>
      <c r="C9" s="3"/>
      <c r="D9" s="3"/>
      <c r="E9" s="3"/>
    </row>
    <row r="16" customFormat="false" ht="12.75" hidden="false" customHeight="false" outlineLevel="0" collapsed="false">
      <c r="A16" s="95"/>
      <c r="B16" s="96"/>
      <c r="C16" s="3"/>
      <c r="D16" s="3"/>
      <c r="E16" s="3"/>
    </row>
    <row r="17" customFormat="false" ht="12.75" hidden="false" customHeight="false" outlineLevel="0" collapsed="false">
      <c r="A17" s="95"/>
      <c r="B17" s="96"/>
      <c r="C17" s="3"/>
      <c r="D17" s="3"/>
      <c r="E17" s="3"/>
    </row>
    <row r="18" customFormat="false" ht="12.75" hidden="false" customHeight="false" outlineLevel="0" collapsed="false">
      <c r="A18" s="95"/>
      <c r="B18" s="96"/>
      <c r="C18" s="3"/>
      <c r="D18" s="3"/>
      <c r="E18" s="3"/>
    </row>
    <row r="19" customFormat="false" ht="12.75" hidden="false" customHeight="false" outlineLevel="0" collapsed="false">
      <c r="A19" s="95"/>
      <c r="B19" s="96"/>
      <c r="C19" s="3"/>
      <c r="D19" s="3"/>
      <c r="E19" s="3"/>
    </row>
    <row r="20" customFormat="false" ht="12.75" hidden="false" customHeight="false" outlineLevel="0" collapsed="false">
      <c r="A20" s="95"/>
      <c r="B20" s="96"/>
      <c r="C20" s="3"/>
      <c r="D20" s="3"/>
      <c r="E20" s="3"/>
    </row>
    <row r="21" customFormat="false" ht="12.75" hidden="false" customHeight="false" outlineLevel="0" collapsed="false">
      <c r="A21" s="95"/>
      <c r="B21" s="96"/>
      <c r="C21" s="3"/>
      <c r="D21" s="3"/>
      <c r="E21" s="3"/>
    </row>
    <row r="22" customFormat="false" ht="12.75" hidden="false" customHeight="false" outlineLevel="0" collapsed="false">
      <c r="A22" s="95"/>
      <c r="B22" s="96"/>
      <c r="C22" s="3"/>
      <c r="D22" s="3"/>
      <c r="E22" s="3"/>
    </row>
    <row r="23" customFormat="false" ht="12.75" hidden="false" customHeight="false" outlineLevel="0" collapsed="false">
      <c r="A23" s="95"/>
      <c r="B23" s="96"/>
      <c r="C23" s="3"/>
      <c r="D23" s="3"/>
      <c r="E23" s="3"/>
    </row>
    <row r="24" customFormat="false" ht="12.75" hidden="false" customHeight="false" outlineLevel="0" collapsed="false">
      <c r="A24" s="95"/>
      <c r="B24" s="96"/>
      <c r="C24" s="3"/>
      <c r="D24" s="3"/>
      <c r="E24" s="3"/>
    </row>
    <row r="25" customFormat="false" ht="12.75" hidden="false" customHeight="false" outlineLevel="0" collapsed="false">
      <c r="A25" s="95"/>
      <c r="B25" s="96"/>
      <c r="C25" s="3"/>
      <c r="D25" s="3"/>
      <c r="E25" s="3"/>
    </row>
    <row r="26" customFormat="false" ht="12.75" hidden="false" customHeight="false" outlineLevel="0" collapsed="false">
      <c r="A26" s="95"/>
      <c r="B26" s="96"/>
      <c r="C26" s="3"/>
      <c r="D26" s="3"/>
      <c r="E26" s="3"/>
    </row>
    <row r="27" customFormat="false" ht="12.75" hidden="false" customHeight="false" outlineLevel="0" collapsed="false">
      <c r="A27" s="95"/>
      <c r="B27" s="96"/>
      <c r="C27" s="3"/>
      <c r="D27" s="3"/>
      <c r="E27" s="3"/>
    </row>
    <row r="28" customFormat="false" ht="12.75" hidden="false" customHeight="false" outlineLevel="0" collapsed="false">
      <c r="A28" s="95"/>
      <c r="B28" s="96"/>
      <c r="C28" s="3"/>
      <c r="D28" s="3"/>
      <c r="E28" s="3"/>
    </row>
    <row r="29" customFormat="false" ht="12.75" hidden="false" customHeight="false" outlineLevel="0" collapsed="false">
      <c r="A29" s="95"/>
      <c r="B29" s="96"/>
      <c r="C29" s="3"/>
      <c r="D29" s="3"/>
      <c r="E29" s="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3"/>
  <sheetViews>
    <sheetView showFormulas="false" showGridLines="true" showRowColHeaders="true" showZeros="true" rightToLeft="false" tabSelected="false" showOutlineSymbols="true" defaultGridColor="true" view="normal" topLeftCell="Q1" colorId="64" zoomScale="75" zoomScaleNormal="75" zoomScalePageLayoutView="100" workbookViewId="0">
      <selection pane="topLeft" activeCell="V13" activeCellId="0" sqref="V13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97" width="13.99"/>
    <col collapsed="false" customWidth="true" hidden="false" outlineLevel="0" max="2" min="2" style="97" width="11.28"/>
    <col collapsed="false" customWidth="true" hidden="false" outlineLevel="0" max="3" min="3" style="97" width="18.99"/>
    <col collapsed="false" customWidth="true" hidden="false" outlineLevel="0" max="4" min="4" style="97" width="14.56"/>
    <col collapsed="false" customWidth="true" hidden="false" outlineLevel="0" max="5" min="5" style="97" width="15.85"/>
    <col collapsed="false" customWidth="true" hidden="false" outlineLevel="0" max="7" min="6" style="97" width="14.56"/>
    <col collapsed="false" customWidth="true" hidden="false" outlineLevel="0" max="8" min="8" style="97" width="14.41"/>
    <col collapsed="false" customWidth="true" hidden="false" outlineLevel="0" max="11" min="9" style="97" width="14.56"/>
    <col collapsed="false" customWidth="true" hidden="false" outlineLevel="0" max="12" min="12" style="97" width="12.85"/>
    <col collapsed="false" customWidth="true" hidden="false" outlineLevel="0" max="13" min="13" style="97" width="13.7"/>
    <col collapsed="false" customWidth="true" hidden="false" outlineLevel="0" max="14" min="14" style="97" width="13.99"/>
    <col collapsed="false" customWidth="true" hidden="false" outlineLevel="0" max="15" min="15" style="97" width="17.99"/>
    <col collapsed="false" customWidth="true" hidden="false" outlineLevel="0" max="16" min="16" style="97" width="14.56"/>
    <col collapsed="false" customWidth="true" hidden="false" outlineLevel="0" max="20" min="17" style="97" width="17.99"/>
    <col collapsed="false" customWidth="true" hidden="false" outlineLevel="0" max="21" min="21" style="97" width="14.41"/>
    <col collapsed="false" customWidth="true" hidden="false" outlineLevel="0" max="22" min="22" style="97" width="17.99"/>
    <col collapsed="false" customWidth="true" hidden="false" outlineLevel="0" max="23" min="23" style="97" width="15.41"/>
    <col collapsed="false" customWidth="true" hidden="false" outlineLevel="0" max="24" min="24" style="97" width="14.7"/>
    <col collapsed="false" customWidth="true" hidden="false" outlineLevel="0" max="25" min="25" style="97" width="10.13"/>
    <col collapsed="false" customWidth="true" hidden="false" outlineLevel="0" max="26" min="26" style="97" width="10.41"/>
    <col collapsed="false" customWidth="false" hidden="false" outlineLevel="0" max="27" min="27" style="97" width="9.14"/>
    <col collapsed="false" customWidth="true" hidden="false" outlineLevel="0" max="28" min="28" style="97" width="10.85"/>
    <col collapsed="false" customWidth="false" hidden="false" outlineLevel="0" max="257" min="29" style="97" width="9.14"/>
  </cols>
  <sheetData>
    <row r="1" customFormat="false" ht="12.75" hidden="false" customHeight="false" outlineLevel="0" collapsed="false">
      <c r="A1" s="98" t="s">
        <v>78</v>
      </c>
      <c r="B1" s="99" t="n">
        <f aca="true">TODAY()</f>
        <v>45926</v>
      </c>
      <c r="E1" s="100" t="s">
        <v>79</v>
      </c>
      <c r="F1" s="101" t="n">
        <v>0</v>
      </c>
      <c r="G1" s="102" t="s">
        <v>80</v>
      </c>
      <c r="H1" s="101" t="n">
        <v>0.0505121757984836</v>
      </c>
      <c r="R1" s="103" t="s">
        <v>81</v>
      </c>
      <c r="S1" s="104" t="n">
        <v>0.04</v>
      </c>
      <c r="T1" s="104" t="n">
        <v>0.033</v>
      </c>
    </row>
    <row r="2" customFormat="false" ht="12.75" hidden="false" customHeight="false" outlineLevel="0" collapsed="false">
      <c r="E2" s="100" t="s">
        <v>82</v>
      </c>
      <c r="F2" s="101" t="n">
        <v>-0.005</v>
      </c>
      <c r="G2" s="105"/>
    </row>
    <row r="3" customFormat="false" ht="12.75" hidden="false" customHeight="false" outlineLevel="0" collapsed="false">
      <c r="F3" s="106"/>
      <c r="G3" s="106"/>
      <c r="H3" s="106"/>
      <c r="I3" s="106"/>
      <c r="J3" s="105"/>
      <c r="K3" s="105"/>
      <c r="N3" s="107" t="n">
        <f aca="false">+H1-F1</f>
        <v>0.0505121757984836</v>
      </c>
    </row>
    <row r="4" customFormat="false" ht="12.75" hidden="false" customHeight="false" outlineLevel="0" collapsed="false">
      <c r="A4" s="108"/>
      <c r="B4" s="109"/>
      <c r="C4" s="109"/>
      <c r="D4" s="110" t="s">
        <v>83</v>
      </c>
      <c r="E4" s="110"/>
      <c r="F4" s="110"/>
      <c r="G4" s="110"/>
      <c r="H4" s="110"/>
      <c r="I4" s="110" t="s">
        <v>84</v>
      </c>
      <c r="J4" s="110"/>
      <c r="K4" s="110"/>
      <c r="L4" s="110" t="s">
        <v>85</v>
      </c>
      <c r="M4" s="110"/>
      <c r="N4" s="109"/>
      <c r="O4" s="110" t="s">
        <v>86</v>
      </c>
      <c r="P4" s="110"/>
      <c r="Q4" s="110"/>
      <c r="R4" s="110" t="s">
        <v>87</v>
      </c>
      <c r="S4" s="110"/>
      <c r="T4" s="110" t="s">
        <v>88</v>
      </c>
      <c r="U4" s="111"/>
      <c r="V4" s="112"/>
      <c r="W4" s="113"/>
      <c r="X4" s="114" t="s">
        <v>89</v>
      </c>
      <c r="Y4" s="114"/>
      <c r="Z4" s="114"/>
      <c r="AA4" s="114"/>
      <c r="AB4" s="113"/>
      <c r="AC4" s="113"/>
      <c r="AD4" s="113"/>
      <c r="AE4" s="113"/>
      <c r="AF4" s="113"/>
      <c r="AG4" s="113"/>
      <c r="AH4" s="113"/>
      <c r="AI4" s="113"/>
      <c r="AJ4" s="113"/>
      <c r="AK4" s="113"/>
      <c r="AL4" s="113"/>
      <c r="AM4" s="113"/>
      <c r="AN4" s="113"/>
      <c r="AO4" s="113"/>
      <c r="AP4" s="113"/>
      <c r="AQ4" s="113"/>
      <c r="AR4" s="113"/>
      <c r="AS4" s="113"/>
      <c r="AT4" s="113"/>
      <c r="AU4" s="113"/>
      <c r="AV4" s="113"/>
      <c r="AW4" s="113"/>
      <c r="AX4" s="113"/>
      <c r="AY4" s="113"/>
      <c r="AZ4" s="113"/>
      <c r="BA4" s="113"/>
      <c r="BB4" s="113"/>
      <c r="BC4" s="113"/>
      <c r="BD4" s="113"/>
      <c r="BE4" s="113"/>
      <c r="BF4" s="113"/>
      <c r="BG4" s="113"/>
      <c r="BH4" s="113"/>
      <c r="BI4" s="113"/>
      <c r="BJ4" s="113"/>
      <c r="BK4" s="113"/>
      <c r="BL4" s="113"/>
      <c r="BM4" s="113"/>
      <c r="BN4" s="113"/>
      <c r="BO4" s="113"/>
      <c r="BP4" s="113"/>
      <c r="BQ4" s="113"/>
      <c r="BR4" s="113"/>
      <c r="BS4" s="113"/>
      <c r="BT4" s="113"/>
      <c r="BU4" s="113"/>
      <c r="BV4" s="113"/>
      <c r="BW4" s="113"/>
      <c r="BX4" s="113"/>
      <c r="BY4" s="113"/>
      <c r="BZ4" s="113"/>
      <c r="CA4" s="113"/>
      <c r="CB4" s="113"/>
      <c r="CC4" s="113"/>
      <c r="CD4" s="113"/>
      <c r="CE4" s="113"/>
      <c r="CF4" s="113"/>
      <c r="CG4" s="113"/>
      <c r="CH4" s="113"/>
      <c r="CI4" s="113"/>
      <c r="CJ4" s="113"/>
      <c r="CK4" s="113"/>
      <c r="CL4" s="113"/>
      <c r="CM4" s="113"/>
      <c r="CN4" s="113"/>
      <c r="CO4" s="113"/>
      <c r="CP4" s="113"/>
      <c r="CQ4" s="113"/>
      <c r="CR4" s="113"/>
      <c r="CS4" s="113"/>
      <c r="CT4" s="113"/>
      <c r="CU4" s="113"/>
      <c r="CV4" s="113"/>
      <c r="CW4" s="113"/>
      <c r="CX4" s="113"/>
      <c r="CY4" s="113"/>
      <c r="CZ4" s="113"/>
      <c r="DA4" s="113"/>
      <c r="DB4" s="113"/>
      <c r="DC4" s="113"/>
      <c r="DD4" s="113"/>
      <c r="DE4" s="113"/>
      <c r="DF4" s="113"/>
      <c r="DG4" s="113"/>
      <c r="DH4" s="113"/>
      <c r="DI4" s="113"/>
      <c r="DJ4" s="113"/>
      <c r="DK4" s="113"/>
      <c r="DL4" s="113"/>
      <c r="DM4" s="113"/>
      <c r="DN4" s="113"/>
      <c r="DO4" s="113"/>
      <c r="DP4" s="113"/>
      <c r="DQ4" s="113"/>
      <c r="DR4" s="113"/>
      <c r="DS4" s="113"/>
      <c r="DT4" s="113"/>
      <c r="DU4" s="113"/>
      <c r="DV4" s="113"/>
      <c r="DW4" s="113"/>
      <c r="DX4" s="113"/>
      <c r="DY4" s="113"/>
      <c r="DZ4" s="113"/>
      <c r="EA4" s="113"/>
      <c r="EB4" s="113"/>
      <c r="EC4" s="113"/>
      <c r="ED4" s="113"/>
      <c r="EE4" s="113"/>
      <c r="EF4" s="113"/>
      <c r="EG4" s="113"/>
      <c r="EH4" s="113"/>
      <c r="EI4" s="113"/>
      <c r="EJ4" s="113"/>
      <c r="EK4" s="113"/>
      <c r="EL4" s="113"/>
      <c r="EM4" s="113"/>
      <c r="EN4" s="113"/>
      <c r="EO4" s="113"/>
      <c r="EP4" s="113"/>
      <c r="EQ4" s="113"/>
      <c r="ER4" s="113"/>
      <c r="ES4" s="113"/>
      <c r="ET4" s="113"/>
      <c r="EU4" s="113"/>
      <c r="EV4" s="113"/>
      <c r="EW4" s="113"/>
      <c r="EX4" s="113"/>
      <c r="EY4" s="113"/>
      <c r="EZ4" s="113"/>
      <c r="FA4" s="113"/>
      <c r="FB4" s="113"/>
      <c r="FC4" s="113"/>
      <c r="FD4" s="113"/>
      <c r="FE4" s="113"/>
      <c r="FF4" s="113"/>
      <c r="FG4" s="113"/>
      <c r="FH4" s="113"/>
      <c r="FI4" s="113"/>
      <c r="FJ4" s="113"/>
      <c r="FK4" s="113"/>
      <c r="FL4" s="113"/>
      <c r="FM4" s="113"/>
      <c r="FN4" s="113"/>
      <c r="FO4" s="113"/>
      <c r="FP4" s="113"/>
      <c r="FQ4" s="113"/>
      <c r="FR4" s="113"/>
      <c r="FS4" s="113"/>
      <c r="FT4" s="113"/>
      <c r="FU4" s="113"/>
      <c r="FV4" s="113"/>
      <c r="FW4" s="113"/>
      <c r="FX4" s="113"/>
      <c r="FY4" s="113"/>
      <c r="FZ4" s="113"/>
      <c r="GA4" s="113"/>
      <c r="GB4" s="113"/>
      <c r="GC4" s="113"/>
      <c r="GD4" s="113"/>
      <c r="GE4" s="113"/>
      <c r="GF4" s="113"/>
      <c r="GG4" s="113"/>
      <c r="GH4" s="113"/>
      <c r="GI4" s="113"/>
      <c r="GJ4" s="113"/>
      <c r="GK4" s="113"/>
      <c r="GL4" s="113"/>
      <c r="GM4" s="113"/>
      <c r="GN4" s="113"/>
      <c r="GO4" s="113"/>
      <c r="GP4" s="113"/>
      <c r="GQ4" s="113"/>
      <c r="GR4" s="113"/>
      <c r="GS4" s="113"/>
      <c r="GT4" s="113"/>
      <c r="GU4" s="113"/>
      <c r="GV4" s="113"/>
      <c r="GW4" s="113"/>
      <c r="GX4" s="113"/>
      <c r="GY4" s="113"/>
      <c r="GZ4" s="113"/>
      <c r="HA4" s="113"/>
      <c r="HB4" s="113"/>
      <c r="HC4" s="113"/>
      <c r="HD4" s="113"/>
      <c r="HE4" s="113"/>
      <c r="HF4" s="113"/>
      <c r="HG4" s="113"/>
      <c r="HH4" s="113"/>
      <c r="HI4" s="113"/>
      <c r="HJ4" s="113"/>
      <c r="HK4" s="113"/>
      <c r="HL4" s="113"/>
      <c r="HM4" s="113"/>
      <c r="HN4" s="113"/>
      <c r="HO4" s="113"/>
      <c r="HP4" s="113"/>
      <c r="HQ4" s="113"/>
      <c r="HR4" s="113"/>
      <c r="HS4" s="113"/>
      <c r="HT4" s="113"/>
      <c r="HU4" s="113"/>
      <c r="HV4" s="113"/>
      <c r="HW4" s="113"/>
      <c r="HX4" s="113"/>
      <c r="HY4" s="113"/>
      <c r="HZ4" s="113"/>
      <c r="IA4" s="113"/>
      <c r="IB4" s="113"/>
      <c r="IC4" s="113"/>
      <c r="ID4" s="113"/>
      <c r="IE4" s="113"/>
      <c r="IF4" s="113"/>
      <c r="IG4" s="113"/>
      <c r="IH4" s="113"/>
      <c r="II4" s="113"/>
      <c r="IJ4" s="113"/>
      <c r="IK4" s="113"/>
      <c r="IL4" s="113"/>
      <c r="IM4" s="113"/>
      <c r="IN4" s="113"/>
      <c r="IO4" s="113"/>
      <c r="IP4" s="113"/>
      <c r="IQ4" s="113"/>
      <c r="IR4" s="113"/>
      <c r="IS4" s="113"/>
      <c r="IT4" s="113"/>
      <c r="IU4" s="113"/>
      <c r="IV4" s="113"/>
      <c r="IW4" s="113"/>
    </row>
    <row r="5" customFormat="false" ht="25.5" hidden="false" customHeight="false" outlineLevel="0" collapsed="false">
      <c r="A5" s="115" t="s">
        <v>1</v>
      </c>
      <c r="B5" s="116" t="s">
        <v>90</v>
      </c>
      <c r="C5" s="116" t="s">
        <v>91</v>
      </c>
      <c r="D5" s="116" t="s">
        <v>92</v>
      </c>
      <c r="E5" s="116" t="s">
        <v>60</v>
      </c>
      <c r="F5" s="116" t="s">
        <v>93</v>
      </c>
      <c r="G5" s="116" t="s">
        <v>60</v>
      </c>
      <c r="H5" s="116" t="s">
        <v>94</v>
      </c>
      <c r="I5" s="116" t="str">
        <f aca="false">+F5</f>
        <v>IF-A/S EAST OFFER</v>
      </c>
      <c r="J5" s="116" t="str">
        <f aca="false">+G5</f>
        <v>HSC</v>
      </c>
      <c r="K5" s="116" t="s">
        <v>94</v>
      </c>
      <c r="L5" s="116" t="str">
        <f aca="false">+F5</f>
        <v>IF-A/S EAST OFFER</v>
      </c>
      <c r="M5" s="116" t="str">
        <f aca="false">+G5</f>
        <v>HSC</v>
      </c>
      <c r="N5" s="116" t="s">
        <v>95</v>
      </c>
      <c r="O5" s="116" t="str">
        <f aca="false">+F5</f>
        <v>IF-A/S EAST OFFER</v>
      </c>
      <c r="P5" s="116" t="str">
        <f aca="false">+G5</f>
        <v>HSC</v>
      </c>
      <c r="Q5" s="116" t="s">
        <v>94</v>
      </c>
      <c r="R5" s="116" t="s">
        <v>96</v>
      </c>
      <c r="S5" s="116" t="s">
        <v>97</v>
      </c>
      <c r="T5" s="116" t="s">
        <v>97</v>
      </c>
      <c r="U5" s="117" t="s">
        <v>98</v>
      </c>
      <c r="V5" s="118" t="s">
        <v>99</v>
      </c>
      <c r="W5" s="119"/>
      <c r="X5" s="120" t="s">
        <v>100</v>
      </c>
      <c r="Y5" s="121" t="s">
        <v>101</v>
      </c>
      <c r="Z5" s="121" t="s">
        <v>102</v>
      </c>
      <c r="AA5" s="122" t="s">
        <v>103</v>
      </c>
      <c r="AB5" s="119"/>
      <c r="AC5" s="119"/>
      <c r="AD5" s="119"/>
      <c r="AE5" s="119"/>
      <c r="AF5" s="119"/>
      <c r="AG5" s="119"/>
      <c r="AH5" s="119"/>
      <c r="AI5" s="119"/>
      <c r="AJ5" s="119"/>
      <c r="AK5" s="119"/>
      <c r="AL5" s="119"/>
      <c r="AM5" s="119"/>
      <c r="AN5" s="119"/>
      <c r="AO5" s="119"/>
      <c r="AP5" s="119"/>
      <c r="AQ5" s="119"/>
      <c r="AR5" s="119"/>
      <c r="AS5" s="119"/>
      <c r="AT5" s="119"/>
      <c r="AU5" s="119"/>
      <c r="AV5" s="119"/>
      <c r="AW5" s="119"/>
      <c r="AX5" s="119"/>
      <c r="AY5" s="119"/>
      <c r="AZ5" s="119"/>
      <c r="BA5" s="119"/>
      <c r="BB5" s="119"/>
      <c r="BC5" s="119"/>
      <c r="BD5" s="119"/>
      <c r="BE5" s="119"/>
      <c r="BF5" s="119"/>
      <c r="BG5" s="119"/>
      <c r="BH5" s="119"/>
      <c r="BI5" s="119"/>
      <c r="BJ5" s="119"/>
      <c r="BK5" s="119"/>
      <c r="BL5" s="119"/>
      <c r="BM5" s="119"/>
      <c r="BN5" s="119"/>
      <c r="BO5" s="119"/>
      <c r="BP5" s="119"/>
      <c r="BQ5" s="119"/>
      <c r="BR5" s="119"/>
      <c r="BS5" s="119"/>
      <c r="BT5" s="119"/>
      <c r="BU5" s="119"/>
      <c r="BV5" s="119"/>
      <c r="BW5" s="119"/>
      <c r="BX5" s="119"/>
      <c r="BY5" s="119"/>
      <c r="BZ5" s="119"/>
      <c r="CA5" s="119"/>
      <c r="CB5" s="119"/>
      <c r="CC5" s="119"/>
      <c r="CD5" s="119"/>
      <c r="CE5" s="119"/>
      <c r="CF5" s="119"/>
      <c r="CG5" s="119"/>
      <c r="CH5" s="119"/>
      <c r="CI5" s="119"/>
      <c r="CJ5" s="119"/>
      <c r="CK5" s="119"/>
      <c r="CL5" s="119"/>
      <c r="CM5" s="119"/>
      <c r="CN5" s="119"/>
      <c r="CO5" s="119"/>
      <c r="CP5" s="119"/>
      <c r="CQ5" s="119"/>
      <c r="CR5" s="119"/>
      <c r="CS5" s="119"/>
      <c r="CT5" s="119"/>
      <c r="CU5" s="119"/>
      <c r="CV5" s="119"/>
      <c r="CW5" s="119"/>
      <c r="CX5" s="119"/>
      <c r="CY5" s="119"/>
      <c r="CZ5" s="119"/>
      <c r="DA5" s="119"/>
      <c r="DB5" s="119"/>
      <c r="DC5" s="119"/>
      <c r="DD5" s="119"/>
      <c r="DE5" s="119"/>
      <c r="DF5" s="119"/>
      <c r="DG5" s="119"/>
      <c r="DH5" s="119"/>
      <c r="DI5" s="119"/>
      <c r="DJ5" s="119"/>
      <c r="DK5" s="119"/>
      <c r="DL5" s="119"/>
      <c r="DM5" s="119"/>
      <c r="DN5" s="119"/>
      <c r="DO5" s="119"/>
      <c r="DP5" s="119"/>
      <c r="DQ5" s="119"/>
      <c r="DR5" s="119"/>
      <c r="DS5" s="119"/>
      <c r="DT5" s="119"/>
      <c r="DU5" s="119"/>
      <c r="DV5" s="119"/>
      <c r="DW5" s="119"/>
      <c r="DX5" s="119"/>
      <c r="DY5" s="119"/>
      <c r="DZ5" s="119"/>
      <c r="EA5" s="119"/>
      <c r="EB5" s="119"/>
      <c r="EC5" s="119"/>
      <c r="ED5" s="119"/>
      <c r="EE5" s="119"/>
      <c r="EF5" s="119"/>
      <c r="EG5" s="119"/>
      <c r="EH5" s="119"/>
      <c r="EI5" s="119"/>
      <c r="EJ5" s="119"/>
      <c r="EK5" s="119"/>
      <c r="EL5" s="119"/>
      <c r="EM5" s="119"/>
      <c r="EN5" s="119"/>
      <c r="EO5" s="119"/>
      <c r="EP5" s="119"/>
      <c r="EQ5" s="119"/>
      <c r="ER5" s="119"/>
      <c r="ES5" s="119"/>
      <c r="ET5" s="119"/>
      <c r="EU5" s="119"/>
      <c r="EV5" s="119"/>
      <c r="EW5" s="119"/>
      <c r="EX5" s="119"/>
      <c r="EY5" s="119"/>
      <c r="EZ5" s="119"/>
      <c r="FA5" s="119"/>
      <c r="FB5" s="119"/>
      <c r="FC5" s="119"/>
      <c r="FD5" s="119"/>
      <c r="FE5" s="119"/>
      <c r="FF5" s="119"/>
      <c r="FG5" s="119"/>
      <c r="FH5" s="119"/>
      <c r="FI5" s="119"/>
      <c r="FJ5" s="119"/>
      <c r="FK5" s="119"/>
      <c r="FL5" s="119"/>
      <c r="FM5" s="119"/>
      <c r="FN5" s="119"/>
      <c r="FO5" s="119"/>
      <c r="FP5" s="119"/>
      <c r="FQ5" s="119"/>
      <c r="FR5" s="119"/>
      <c r="FS5" s="119"/>
      <c r="FT5" s="119"/>
      <c r="FU5" s="119"/>
      <c r="FV5" s="119"/>
      <c r="FW5" s="119"/>
      <c r="FX5" s="119"/>
      <c r="FY5" s="119"/>
      <c r="FZ5" s="119"/>
      <c r="GA5" s="119"/>
      <c r="GB5" s="119"/>
      <c r="GC5" s="119"/>
      <c r="GD5" s="119"/>
      <c r="GE5" s="119"/>
      <c r="GF5" s="119"/>
      <c r="GG5" s="119"/>
      <c r="GH5" s="119"/>
      <c r="GI5" s="119"/>
      <c r="GJ5" s="119"/>
      <c r="GK5" s="119"/>
      <c r="GL5" s="119"/>
      <c r="GM5" s="119"/>
      <c r="GN5" s="119"/>
      <c r="GO5" s="119"/>
      <c r="GP5" s="119"/>
      <c r="GQ5" s="119"/>
      <c r="GR5" s="119"/>
      <c r="GS5" s="119"/>
      <c r="GT5" s="119"/>
      <c r="GU5" s="119"/>
      <c r="GV5" s="119"/>
      <c r="GW5" s="119"/>
      <c r="GX5" s="119"/>
      <c r="GY5" s="119"/>
      <c r="GZ5" s="119"/>
      <c r="HA5" s="119"/>
      <c r="HB5" s="119"/>
      <c r="HC5" s="119"/>
      <c r="HD5" s="119"/>
      <c r="HE5" s="119"/>
      <c r="HF5" s="119"/>
      <c r="HG5" s="119"/>
      <c r="HH5" s="119"/>
      <c r="HI5" s="119"/>
      <c r="HJ5" s="119"/>
      <c r="HK5" s="119"/>
      <c r="HL5" s="119"/>
      <c r="HM5" s="119"/>
      <c r="HN5" s="119"/>
      <c r="HO5" s="119"/>
      <c r="HP5" s="119"/>
      <c r="HQ5" s="119"/>
      <c r="HR5" s="119"/>
      <c r="HS5" s="119"/>
      <c r="HT5" s="119"/>
      <c r="HU5" s="119"/>
      <c r="HV5" s="119"/>
      <c r="HW5" s="119"/>
      <c r="HX5" s="119"/>
      <c r="HY5" s="119"/>
      <c r="HZ5" s="119"/>
      <c r="IA5" s="119"/>
      <c r="IB5" s="119"/>
      <c r="IC5" s="119"/>
      <c r="ID5" s="119"/>
      <c r="IE5" s="119"/>
      <c r="IF5" s="119"/>
      <c r="IG5" s="119"/>
      <c r="IH5" s="119"/>
      <c r="II5" s="119"/>
      <c r="IJ5" s="119"/>
      <c r="IK5" s="119"/>
      <c r="IL5" s="119"/>
      <c r="IM5" s="119"/>
      <c r="IN5" s="119"/>
      <c r="IO5" s="119"/>
      <c r="IP5" s="119"/>
      <c r="IQ5" s="119"/>
      <c r="IR5" s="119"/>
      <c r="IS5" s="119"/>
      <c r="IT5" s="119"/>
      <c r="IU5" s="119"/>
      <c r="IV5" s="119"/>
      <c r="IW5" s="119"/>
    </row>
    <row r="6" customFormat="false" ht="12.75" hidden="false" customHeight="false" outlineLevel="0" collapsed="false">
      <c r="A6" s="123"/>
      <c r="B6" s="123"/>
      <c r="N6" s="124"/>
      <c r="R6" s="125"/>
      <c r="X6" s="126" t="n">
        <f aca="false">+$AA$6-SUM($Y$6:Z6)</f>
        <v>-0.00243693199351967</v>
      </c>
      <c r="Y6" s="127" t="n">
        <f aca="false">+$S$13/$K$13</f>
        <v>0.0199491077920033</v>
      </c>
      <c r="Z6" s="127" t="n">
        <f aca="false">+$T$1</f>
        <v>0.033</v>
      </c>
      <c r="AA6" s="128" t="n">
        <f aca="false">+$H$1</f>
        <v>0.0505121757984836</v>
      </c>
    </row>
    <row r="7" customFormat="false" ht="15" hidden="false" customHeight="false" outlineLevel="0" collapsed="false">
      <c r="A7" s="129" t="n">
        <v>36647</v>
      </c>
      <c r="B7" s="130" t="n">
        <f aca="false">+'GD Options'!M5</f>
        <v>0.061485649559373</v>
      </c>
      <c r="C7" s="131" t="n">
        <f aca="false">1/((1+B7/2)^(2*(A7-$B$1)/365.25))</f>
        <v>4.65752378601407</v>
      </c>
      <c r="D7" s="132" t="n">
        <v>-45000</v>
      </c>
      <c r="E7" s="133" t="n">
        <v>-30000</v>
      </c>
      <c r="F7" s="134" t="n">
        <f aca="false">+(D7)*'Deal Volumes'!B22</f>
        <v>-1395000</v>
      </c>
      <c r="G7" s="133" t="n">
        <f aca="false">+E7*'Deal Volumes'!B22</f>
        <v>-930000</v>
      </c>
      <c r="H7" s="133" t="n">
        <f aca="false">+F7+G7</f>
        <v>-2325000</v>
      </c>
      <c r="I7" s="132" t="n">
        <f aca="false">+F7*$C7</f>
        <v>-6497245.68148963</v>
      </c>
      <c r="J7" s="134" t="n">
        <f aca="false">+G7*$C7</f>
        <v>-4331497.12099309</v>
      </c>
      <c r="K7" s="135" t="n">
        <f aca="false">SUM(I7:J7)</f>
        <v>-10828742.8024827</v>
      </c>
      <c r="L7" s="136" t="n">
        <f aca="false">+Curves!C2</f>
        <v>-0.005</v>
      </c>
      <c r="M7" s="137" t="n">
        <f aca="false">+Curves!E2</f>
        <v>-0.005</v>
      </c>
      <c r="N7" s="138" t="n">
        <f aca="false">+I7*(L7-$H$1)+J7*(M7-$H$1)</f>
        <v>601127.074127984</v>
      </c>
      <c r="O7" s="139" t="n">
        <f aca="false">-I7*(L7-$F$1)</f>
        <v>-32486.2284074481</v>
      </c>
      <c r="P7" s="140" t="n">
        <f aca="false">-J7*(M7-$F$2)</f>
        <v>0</v>
      </c>
      <c r="Q7" s="139" t="n">
        <f aca="false">SUM(O7:P7)</f>
        <v>-32486.2284074481</v>
      </c>
      <c r="R7" s="141" t="n">
        <f aca="false">+I7</f>
        <v>-6497245.68148963</v>
      </c>
      <c r="S7" s="142" t="n">
        <f aca="false">+R7*$S$1</f>
        <v>-259889.827259585</v>
      </c>
      <c r="T7" s="132" t="n">
        <f aca="false">+$T$1*K7</f>
        <v>-357348.51248193</v>
      </c>
      <c r="U7" s="143" t="n">
        <f aca="false">+Q7+T7+S7</f>
        <v>-649724.568148963</v>
      </c>
      <c r="V7" s="144" t="n">
        <f aca="false">+N7+U7</f>
        <v>-48597.4940209787</v>
      </c>
      <c r="W7" s="123"/>
      <c r="X7" s="123"/>
      <c r="Y7" s="123"/>
      <c r="Z7" s="123"/>
      <c r="AA7" s="123"/>
      <c r="AB7" s="123"/>
      <c r="AC7" s="123"/>
      <c r="AD7" s="123"/>
      <c r="AE7" s="123"/>
      <c r="AF7" s="123"/>
      <c r="AG7" s="123"/>
      <c r="AH7" s="123"/>
      <c r="AI7" s="123"/>
      <c r="AJ7" s="123"/>
      <c r="AK7" s="123"/>
      <c r="AL7" s="123"/>
      <c r="AM7" s="123"/>
      <c r="AN7" s="123"/>
      <c r="AO7" s="123"/>
      <c r="AP7" s="123"/>
      <c r="AQ7" s="123"/>
      <c r="AR7" s="123"/>
      <c r="AS7" s="123"/>
      <c r="AT7" s="123"/>
      <c r="AU7" s="123"/>
      <c r="AV7" s="123"/>
      <c r="AW7" s="123"/>
      <c r="AX7" s="123"/>
      <c r="AY7" s="123"/>
      <c r="AZ7" s="123"/>
      <c r="BA7" s="123"/>
      <c r="BB7" s="123"/>
      <c r="BC7" s="123"/>
      <c r="BD7" s="123"/>
      <c r="BE7" s="123"/>
      <c r="BF7" s="123"/>
      <c r="BG7" s="123"/>
      <c r="BH7" s="123"/>
      <c r="BI7" s="123"/>
      <c r="BJ7" s="123"/>
      <c r="BK7" s="123"/>
      <c r="BL7" s="123"/>
      <c r="BM7" s="123"/>
      <c r="BN7" s="123"/>
      <c r="BO7" s="123"/>
      <c r="BP7" s="123"/>
      <c r="BQ7" s="123"/>
      <c r="BR7" s="123"/>
      <c r="BS7" s="123"/>
      <c r="BT7" s="123"/>
      <c r="BU7" s="123"/>
      <c r="BV7" s="123"/>
      <c r="BW7" s="123"/>
      <c r="BX7" s="123"/>
      <c r="BY7" s="123"/>
      <c r="BZ7" s="123"/>
      <c r="CA7" s="123"/>
      <c r="CB7" s="123"/>
      <c r="CC7" s="123"/>
      <c r="CD7" s="123"/>
      <c r="CE7" s="123"/>
      <c r="CF7" s="123"/>
      <c r="CG7" s="123"/>
      <c r="CH7" s="123"/>
      <c r="CI7" s="123"/>
      <c r="CJ7" s="123"/>
      <c r="CK7" s="123"/>
      <c r="CL7" s="123"/>
      <c r="CM7" s="123"/>
      <c r="CN7" s="123"/>
      <c r="CO7" s="123"/>
      <c r="CP7" s="123"/>
      <c r="CQ7" s="123"/>
      <c r="CR7" s="123"/>
      <c r="CS7" s="123"/>
      <c r="CT7" s="123"/>
      <c r="CU7" s="123"/>
      <c r="CV7" s="123"/>
      <c r="CW7" s="123"/>
      <c r="CX7" s="123"/>
      <c r="CY7" s="123"/>
      <c r="CZ7" s="123"/>
      <c r="DA7" s="123"/>
      <c r="DB7" s="123"/>
      <c r="DC7" s="123"/>
      <c r="DD7" s="123"/>
      <c r="DE7" s="123"/>
      <c r="DF7" s="123"/>
      <c r="DG7" s="123"/>
      <c r="DH7" s="123"/>
      <c r="DI7" s="123"/>
      <c r="DJ7" s="123"/>
      <c r="DK7" s="123"/>
      <c r="DL7" s="123"/>
      <c r="DM7" s="123"/>
      <c r="DN7" s="123"/>
      <c r="DO7" s="123"/>
      <c r="DP7" s="123"/>
      <c r="DQ7" s="123"/>
      <c r="DR7" s="123"/>
      <c r="DS7" s="123"/>
      <c r="DT7" s="123"/>
      <c r="DU7" s="123"/>
      <c r="DV7" s="123"/>
      <c r="DW7" s="123"/>
      <c r="DX7" s="123"/>
      <c r="DY7" s="123"/>
      <c r="DZ7" s="123"/>
      <c r="EA7" s="123"/>
      <c r="EB7" s="123"/>
      <c r="EC7" s="123"/>
      <c r="ED7" s="123"/>
      <c r="EE7" s="123"/>
      <c r="EF7" s="123"/>
      <c r="EG7" s="123"/>
      <c r="EH7" s="123"/>
      <c r="EI7" s="123"/>
      <c r="EJ7" s="123"/>
      <c r="EK7" s="123"/>
      <c r="EL7" s="123"/>
      <c r="EM7" s="123"/>
      <c r="EN7" s="123"/>
      <c r="EO7" s="123"/>
      <c r="EP7" s="123"/>
      <c r="EQ7" s="123"/>
      <c r="ER7" s="123"/>
      <c r="ES7" s="123"/>
      <c r="ET7" s="123"/>
      <c r="EU7" s="123"/>
      <c r="EV7" s="123"/>
      <c r="EW7" s="123"/>
      <c r="EX7" s="123"/>
      <c r="EY7" s="123"/>
      <c r="EZ7" s="123"/>
      <c r="FA7" s="123"/>
      <c r="FB7" s="123"/>
      <c r="FC7" s="123"/>
      <c r="FD7" s="123"/>
      <c r="FE7" s="123"/>
      <c r="FF7" s="123"/>
      <c r="FG7" s="123"/>
      <c r="FH7" s="123"/>
      <c r="FI7" s="123"/>
      <c r="FJ7" s="123"/>
      <c r="FK7" s="123"/>
      <c r="FL7" s="123"/>
      <c r="FM7" s="123"/>
      <c r="FN7" s="123"/>
      <c r="FO7" s="123"/>
      <c r="FP7" s="123"/>
      <c r="FQ7" s="123"/>
      <c r="FR7" s="123"/>
      <c r="FS7" s="123"/>
      <c r="FT7" s="123"/>
      <c r="FU7" s="123"/>
      <c r="FV7" s="123"/>
      <c r="FW7" s="123"/>
      <c r="FX7" s="123"/>
      <c r="FY7" s="123"/>
      <c r="FZ7" s="123"/>
      <c r="GA7" s="123"/>
      <c r="GB7" s="123"/>
      <c r="GC7" s="123"/>
      <c r="GD7" s="123"/>
      <c r="GE7" s="123"/>
      <c r="GF7" s="123"/>
      <c r="GG7" s="123"/>
      <c r="GH7" s="123"/>
      <c r="GI7" s="123"/>
      <c r="GJ7" s="123"/>
      <c r="GK7" s="123"/>
      <c r="GL7" s="123"/>
      <c r="GM7" s="123"/>
      <c r="GN7" s="123"/>
      <c r="GO7" s="123"/>
      <c r="GP7" s="123"/>
      <c r="GQ7" s="123"/>
      <c r="GR7" s="123"/>
      <c r="GS7" s="123"/>
      <c r="GT7" s="123"/>
      <c r="GU7" s="123"/>
      <c r="GV7" s="123"/>
      <c r="GW7" s="123"/>
      <c r="GX7" s="123"/>
      <c r="GY7" s="123"/>
      <c r="GZ7" s="123"/>
      <c r="HA7" s="123"/>
      <c r="HB7" s="123"/>
      <c r="HC7" s="123"/>
      <c r="HD7" s="123"/>
      <c r="HE7" s="123"/>
      <c r="HF7" s="123"/>
      <c r="HG7" s="123"/>
      <c r="HH7" s="123"/>
      <c r="HI7" s="123"/>
      <c r="HJ7" s="123"/>
      <c r="HK7" s="123"/>
      <c r="HL7" s="123"/>
      <c r="HM7" s="123"/>
      <c r="HN7" s="123"/>
      <c r="HO7" s="123"/>
      <c r="HP7" s="123"/>
      <c r="HQ7" s="123"/>
      <c r="HR7" s="123"/>
      <c r="HS7" s="123"/>
      <c r="HT7" s="123"/>
      <c r="HU7" s="123"/>
      <c r="HV7" s="123"/>
      <c r="HW7" s="123"/>
      <c r="HX7" s="123"/>
      <c r="HY7" s="123"/>
      <c r="HZ7" s="123"/>
      <c r="IA7" s="123"/>
      <c r="IB7" s="123"/>
      <c r="IC7" s="123"/>
      <c r="ID7" s="123"/>
      <c r="IE7" s="123"/>
      <c r="IF7" s="123"/>
      <c r="IG7" s="123"/>
      <c r="IH7" s="123"/>
      <c r="II7" s="123"/>
      <c r="IJ7" s="123"/>
      <c r="IK7" s="123"/>
      <c r="IL7" s="123"/>
      <c r="IM7" s="123"/>
      <c r="IN7" s="123"/>
      <c r="IO7" s="123"/>
      <c r="IP7" s="123"/>
      <c r="IQ7" s="123"/>
      <c r="IR7" s="123"/>
      <c r="IS7" s="123"/>
      <c r="IT7" s="123"/>
      <c r="IU7" s="123"/>
      <c r="IV7" s="123"/>
      <c r="IW7" s="123"/>
    </row>
    <row r="8" customFormat="false" ht="15" hidden="false" customHeight="false" outlineLevel="0" collapsed="false">
      <c r="A8" s="129" t="n">
        <v>36678</v>
      </c>
      <c r="B8" s="145" t="n">
        <f aca="false">+'GD Options'!M6</f>
        <v>0.06240361356018</v>
      </c>
      <c r="C8" s="146" t="n">
        <f aca="false">1/((1+B8/2)^(2*(A8-$B$1)/365.25))</f>
        <v>4.73929465820219</v>
      </c>
      <c r="D8" s="147" t="n">
        <f aca="false">+D7</f>
        <v>-45000</v>
      </c>
      <c r="E8" s="148" t="n">
        <f aca="false">+E7</f>
        <v>-30000</v>
      </c>
      <c r="F8" s="149" t="n">
        <f aca="false">+(D8)*'Deal Volumes'!B23</f>
        <v>-1350000</v>
      </c>
      <c r="G8" s="148" t="n">
        <f aca="false">+E8*'Deal Volumes'!B23</f>
        <v>-900000</v>
      </c>
      <c r="H8" s="148" t="n">
        <f aca="false">+F8+G8</f>
        <v>-2250000</v>
      </c>
      <c r="I8" s="147" t="n">
        <f aca="false">+F8*$C8</f>
        <v>-6398047.78857295</v>
      </c>
      <c r="J8" s="149" t="n">
        <f aca="false">+G8*$C8</f>
        <v>-4265365.19238197</v>
      </c>
      <c r="K8" s="150" t="n">
        <f aca="false">SUM(I8:J8)</f>
        <v>-10663412.9809549</v>
      </c>
      <c r="L8" s="151" t="n">
        <f aca="false">+Curves!C3</f>
        <v>-0.005</v>
      </c>
      <c r="M8" s="152" t="n">
        <f aca="false">+Curves!E3</f>
        <v>-0.005</v>
      </c>
      <c r="N8" s="153" t="n">
        <f aca="false">+I8*(L8-$H$1)+J8*(M8-$H$1)</f>
        <v>591949.256010601</v>
      </c>
      <c r="O8" s="154" t="n">
        <f aca="false">-I8*(L8-$F$1)</f>
        <v>-31990.2389428648</v>
      </c>
      <c r="P8" s="155" t="n">
        <f aca="false">-J8*(M8-$F$2)</f>
        <v>0</v>
      </c>
      <c r="Q8" s="154" t="n">
        <f aca="false">SUM(O8:P8)</f>
        <v>-31990.2389428648</v>
      </c>
      <c r="R8" s="156" t="n">
        <f aca="false">+I8</f>
        <v>-6398047.78857295</v>
      </c>
      <c r="S8" s="157" t="n">
        <f aca="false">+R8*$S$1</f>
        <v>-255921.911542918</v>
      </c>
      <c r="T8" s="147" t="n">
        <f aca="false">+$T$1*K8</f>
        <v>-351892.628371512</v>
      </c>
      <c r="U8" s="158" t="n">
        <f aca="false">+Q8+T8+S8</f>
        <v>-639804.778857295</v>
      </c>
      <c r="V8" s="159" t="n">
        <f aca="false">+N8+U8</f>
        <v>-47855.5228466938</v>
      </c>
      <c r="W8" s="123"/>
      <c r="X8" s="123"/>
      <c r="Y8" s="123"/>
      <c r="Z8" s="123"/>
      <c r="AA8" s="123"/>
      <c r="AB8" s="123"/>
      <c r="AC8" s="123"/>
      <c r="AD8" s="123"/>
      <c r="AE8" s="123"/>
      <c r="AF8" s="123"/>
      <c r="AG8" s="123"/>
      <c r="AH8" s="123"/>
      <c r="AI8" s="123"/>
      <c r="AJ8" s="123"/>
      <c r="AK8" s="123"/>
      <c r="AL8" s="123"/>
      <c r="AM8" s="123"/>
      <c r="AN8" s="123"/>
      <c r="AO8" s="123"/>
      <c r="AP8" s="123"/>
      <c r="AQ8" s="123"/>
      <c r="AR8" s="123"/>
      <c r="AS8" s="123"/>
      <c r="AT8" s="123"/>
      <c r="AU8" s="123"/>
      <c r="AV8" s="123"/>
      <c r="AW8" s="123"/>
      <c r="AX8" s="123"/>
      <c r="AY8" s="123"/>
      <c r="AZ8" s="123"/>
      <c r="BA8" s="123"/>
      <c r="BB8" s="123"/>
      <c r="BC8" s="123"/>
      <c r="BD8" s="123"/>
      <c r="BE8" s="123"/>
      <c r="BF8" s="123"/>
      <c r="BG8" s="123"/>
      <c r="BH8" s="123"/>
      <c r="BI8" s="123"/>
      <c r="BJ8" s="123"/>
      <c r="BK8" s="123"/>
      <c r="BL8" s="123"/>
      <c r="BM8" s="123"/>
      <c r="BN8" s="123"/>
      <c r="BO8" s="123"/>
      <c r="BP8" s="123"/>
      <c r="BQ8" s="123"/>
      <c r="BR8" s="123"/>
      <c r="BS8" s="123"/>
      <c r="BT8" s="123"/>
      <c r="BU8" s="123"/>
      <c r="BV8" s="123"/>
      <c r="BW8" s="123"/>
      <c r="BX8" s="123"/>
      <c r="BY8" s="123"/>
      <c r="BZ8" s="123"/>
      <c r="CA8" s="123"/>
      <c r="CB8" s="123"/>
      <c r="CC8" s="123"/>
      <c r="CD8" s="123"/>
      <c r="CE8" s="123"/>
      <c r="CF8" s="123"/>
      <c r="CG8" s="123"/>
      <c r="CH8" s="123"/>
      <c r="CI8" s="123"/>
      <c r="CJ8" s="123"/>
      <c r="CK8" s="123"/>
      <c r="CL8" s="123"/>
      <c r="CM8" s="123"/>
      <c r="CN8" s="123"/>
      <c r="CO8" s="123"/>
      <c r="CP8" s="123"/>
      <c r="CQ8" s="123"/>
      <c r="CR8" s="123"/>
      <c r="CS8" s="123"/>
      <c r="CT8" s="123"/>
      <c r="CU8" s="123"/>
      <c r="CV8" s="123"/>
      <c r="CW8" s="123"/>
      <c r="CX8" s="123"/>
      <c r="CY8" s="123"/>
      <c r="CZ8" s="123"/>
      <c r="DA8" s="123"/>
      <c r="DB8" s="123"/>
      <c r="DC8" s="123"/>
      <c r="DD8" s="123"/>
      <c r="DE8" s="123"/>
      <c r="DF8" s="123"/>
      <c r="DG8" s="123"/>
      <c r="DH8" s="123"/>
      <c r="DI8" s="123"/>
      <c r="DJ8" s="123"/>
      <c r="DK8" s="123"/>
      <c r="DL8" s="123"/>
      <c r="DM8" s="123"/>
      <c r="DN8" s="123"/>
      <c r="DO8" s="123"/>
      <c r="DP8" s="123"/>
      <c r="DQ8" s="123"/>
      <c r="DR8" s="123"/>
      <c r="DS8" s="123"/>
      <c r="DT8" s="123"/>
      <c r="DU8" s="123"/>
      <c r="DV8" s="123"/>
      <c r="DW8" s="123"/>
      <c r="DX8" s="123"/>
      <c r="DY8" s="123"/>
      <c r="DZ8" s="123"/>
      <c r="EA8" s="123"/>
      <c r="EB8" s="123"/>
      <c r="EC8" s="123"/>
      <c r="ED8" s="123"/>
      <c r="EE8" s="123"/>
      <c r="EF8" s="123"/>
      <c r="EG8" s="123"/>
      <c r="EH8" s="123"/>
      <c r="EI8" s="123"/>
      <c r="EJ8" s="123"/>
      <c r="EK8" s="123"/>
      <c r="EL8" s="123"/>
      <c r="EM8" s="123"/>
      <c r="EN8" s="123"/>
      <c r="EO8" s="123"/>
      <c r="EP8" s="123"/>
      <c r="EQ8" s="123"/>
      <c r="ER8" s="123"/>
      <c r="ES8" s="123"/>
      <c r="ET8" s="123"/>
      <c r="EU8" s="123"/>
      <c r="EV8" s="123"/>
      <c r="EW8" s="123"/>
      <c r="EX8" s="123"/>
      <c r="EY8" s="123"/>
      <c r="EZ8" s="123"/>
      <c r="FA8" s="123"/>
      <c r="FB8" s="123"/>
      <c r="FC8" s="123"/>
      <c r="FD8" s="123"/>
      <c r="FE8" s="123"/>
      <c r="FF8" s="123"/>
      <c r="FG8" s="123"/>
      <c r="FH8" s="123"/>
      <c r="FI8" s="123"/>
      <c r="FJ8" s="123"/>
      <c r="FK8" s="123"/>
      <c r="FL8" s="123"/>
      <c r="FM8" s="123"/>
      <c r="FN8" s="123"/>
      <c r="FO8" s="123"/>
      <c r="FP8" s="123"/>
      <c r="FQ8" s="123"/>
      <c r="FR8" s="123"/>
      <c r="FS8" s="123"/>
      <c r="FT8" s="123"/>
      <c r="FU8" s="123"/>
      <c r="FV8" s="123"/>
      <c r="FW8" s="123"/>
      <c r="FX8" s="123"/>
      <c r="FY8" s="123"/>
      <c r="FZ8" s="123"/>
      <c r="GA8" s="123"/>
      <c r="GB8" s="123"/>
      <c r="GC8" s="123"/>
      <c r="GD8" s="123"/>
      <c r="GE8" s="123"/>
      <c r="GF8" s="123"/>
      <c r="GG8" s="123"/>
      <c r="GH8" s="123"/>
      <c r="GI8" s="123"/>
      <c r="GJ8" s="123"/>
      <c r="GK8" s="123"/>
      <c r="GL8" s="123"/>
      <c r="GM8" s="123"/>
      <c r="GN8" s="123"/>
      <c r="GO8" s="123"/>
      <c r="GP8" s="123"/>
      <c r="GQ8" s="123"/>
      <c r="GR8" s="123"/>
      <c r="GS8" s="123"/>
      <c r="GT8" s="123"/>
      <c r="GU8" s="123"/>
      <c r="GV8" s="123"/>
      <c r="GW8" s="123"/>
      <c r="GX8" s="123"/>
      <c r="GY8" s="123"/>
      <c r="GZ8" s="123"/>
      <c r="HA8" s="123"/>
      <c r="HB8" s="123"/>
      <c r="HC8" s="123"/>
      <c r="HD8" s="123"/>
      <c r="HE8" s="123"/>
      <c r="HF8" s="123"/>
      <c r="HG8" s="123"/>
      <c r="HH8" s="123"/>
      <c r="HI8" s="123"/>
      <c r="HJ8" s="123"/>
      <c r="HK8" s="123"/>
      <c r="HL8" s="123"/>
      <c r="HM8" s="123"/>
      <c r="HN8" s="123"/>
      <c r="HO8" s="123"/>
      <c r="HP8" s="123"/>
      <c r="HQ8" s="123"/>
      <c r="HR8" s="123"/>
      <c r="HS8" s="123"/>
      <c r="HT8" s="123"/>
      <c r="HU8" s="123"/>
      <c r="HV8" s="123"/>
      <c r="HW8" s="123"/>
      <c r="HX8" s="123"/>
      <c r="HY8" s="123"/>
      <c r="HZ8" s="123"/>
      <c r="IA8" s="123"/>
      <c r="IB8" s="123"/>
      <c r="IC8" s="123"/>
      <c r="ID8" s="123"/>
      <c r="IE8" s="123"/>
      <c r="IF8" s="123"/>
      <c r="IG8" s="123"/>
      <c r="IH8" s="123"/>
      <c r="II8" s="123"/>
      <c r="IJ8" s="123"/>
      <c r="IK8" s="123"/>
      <c r="IL8" s="123"/>
      <c r="IM8" s="123"/>
      <c r="IN8" s="123"/>
      <c r="IO8" s="123"/>
      <c r="IP8" s="123"/>
      <c r="IQ8" s="123"/>
      <c r="IR8" s="123"/>
      <c r="IS8" s="123"/>
      <c r="IT8" s="123"/>
      <c r="IU8" s="123"/>
      <c r="IV8" s="123"/>
      <c r="IW8" s="123"/>
    </row>
    <row r="9" customFormat="false" ht="15" hidden="false" customHeight="false" outlineLevel="0" collapsed="false">
      <c r="A9" s="129" t="n">
        <v>36708</v>
      </c>
      <c r="B9" s="145" t="n">
        <f aca="false">+'GD Options'!M7</f>
        <v>0.063184628319211</v>
      </c>
      <c r="C9" s="146" t="n">
        <f aca="false">1/((1+B9/2)^(2*(A9-$B$1)/365.25))</f>
        <v>4.80641721776679</v>
      </c>
      <c r="D9" s="147" t="n">
        <f aca="false">+D8</f>
        <v>-45000</v>
      </c>
      <c r="E9" s="148" t="n">
        <v>-55000</v>
      </c>
      <c r="F9" s="149" t="n">
        <f aca="false">+(D9)*'Deal Volumes'!B24</f>
        <v>-1395000</v>
      </c>
      <c r="G9" s="148" t="n">
        <f aca="false">+E9*'Deal Volumes'!B24</f>
        <v>-1705000</v>
      </c>
      <c r="H9" s="148" t="n">
        <f aca="false">+F9+G9</f>
        <v>-3100000</v>
      </c>
      <c r="I9" s="147" t="n">
        <f aca="false">+F9*$C9</f>
        <v>-6704952.01878467</v>
      </c>
      <c r="J9" s="149" t="n">
        <f aca="false">+G9*$C9</f>
        <v>-8194941.35629237</v>
      </c>
      <c r="K9" s="150" t="n">
        <f aca="false">SUM(I9:J9)</f>
        <v>-14899893.375077</v>
      </c>
      <c r="L9" s="151" t="n">
        <f aca="false">+Curves!C4</f>
        <v>0</v>
      </c>
      <c r="M9" s="152" t="n">
        <f aca="false">+Curves!E4</f>
        <v>-0.005</v>
      </c>
      <c r="N9" s="153" t="n">
        <f aca="false">+I9*(L9-$H$1)+J9*(M9-$H$1)</f>
        <v>793600.740322014</v>
      </c>
      <c r="O9" s="154" t="n">
        <f aca="false">-I9*(L9-$F$1)</f>
        <v>0</v>
      </c>
      <c r="P9" s="155" t="n">
        <f aca="false">-J9*(M9-$F$2)</f>
        <v>0</v>
      </c>
      <c r="Q9" s="154" t="n">
        <f aca="false">SUM(O9:P9)</f>
        <v>0</v>
      </c>
      <c r="R9" s="156" t="n">
        <f aca="false">+I9</f>
        <v>-6704952.01878467</v>
      </c>
      <c r="S9" s="157" t="n">
        <f aca="false">+R9*$S$1</f>
        <v>-268198.080751387</v>
      </c>
      <c r="T9" s="147" t="n">
        <f aca="false">+$T$1*K9</f>
        <v>-491696.481377542</v>
      </c>
      <c r="U9" s="158" t="n">
        <f aca="false">+Q9+T9+S9</f>
        <v>-759894.562128929</v>
      </c>
      <c r="V9" s="159" t="n">
        <f aca="false">+N9+U9</f>
        <v>33706.1781930851</v>
      </c>
      <c r="W9" s="123"/>
      <c r="X9" s="123"/>
      <c r="Y9" s="123"/>
      <c r="Z9" s="123"/>
      <c r="AA9" s="123"/>
      <c r="AB9" s="123"/>
      <c r="AC9" s="123"/>
      <c r="AD9" s="123"/>
      <c r="AE9" s="123"/>
      <c r="AF9" s="123"/>
      <c r="AG9" s="123"/>
      <c r="AH9" s="123"/>
      <c r="AI9" s="123"/>
      <c r="AJ9" s="123"/>
      <c r="AK9" s="123"/>
      <c r="AL9" s="123"/>
      <c r="AM9" s="123"/>
      <c r="AN9" s="123"/>
      <c r="AO9" s="123"/>
      <c r="AP9" s="123"/>
      <c r="AQ9" s="123"/>
      <c r="AR9" s="123"/>
      <c r="AS9" s="123"/>
      <c r="AT9" s="123"/>
      <c r="AU9" s="123"/>
      <c r="AV9" s="123"/>
      <c r="AW9" s="123"/>
      <c r="AX9" s="123"/>
      <c r="AY9" s="123"/>
      <c r="AZ9" s="123"/>
      <c r="BA9" s="123"/>
      <c r="BB9" s="123"/>
      <c r="BC9" s="123"/>
      <c r="BD9" s="123"/>
      <c r="BE9" s="123"/>
      <c r="BF9" s="123"/>
      <c r="BG9" s="123"/>
      <c r="BH9" s="123"/>
      <c r="BI9" s="123"/>
      <c r="BJ9" s="123"/>
      <c r="BK9" s="123"/>
      <c r="BL9" s="123"/>
      <c r="BM9" s="123"/>
      <c r="BN9" s="123"/>
      <c r="BO9" s="123"/>
      <c r="BP9" s="123"/>
      <c r="BQ9" s="123"/>
      <c r="BR9" s="123"/>
      <c r="BS9" s="123"/>
      <c r="BT9" s="123"/>
      <c r="BU9" s="123"/>
      <c r="BV9" s="123"/>
      <c r="BW9" s="123"/>
      <c r="BX9" s="123"/>
      <c r="BY9" s="123"/>
      <c r="BZ9" s="123"/>
      <c r="CA9" s="123"/>
      <c r="CB9" s="123"/>
      <c r="CC9" s="123"/>
      <c r="CD9" s="123"/>
      <c r="CE9" s="123"/>
      <c r="CF9" s="123"/>
      <c r="CG9" s="123"/>
      <c r="CH9" s="123"/>
      <c r="CI9" s="123"/>
      <c r="CJ9" s="123"/>
      <c r="CK9" s="123"/>
      <c r="CL9" s="123"/>
      <c r="CM9" s="123"/>
      <c r="CN9" s="123"/>
      <c r="CO9" s="123"/>
      <c r="CP9" s="123"/>
      <c r="CQ9" s="123"/>
      <c r="CR9" s="123"/>
      <c r="CS9" s="123"/>
      <c r="CT9" s="123"/>
      <c r="CU9" s="123"/>
      <c r="CV9" s="123"/>
      <c r="CW9" s="123"/>
      <c r="CX9" s="123"/>
      <c r="CY9" s="123"/>
      <c r="CZ9" s="123"/>
      <c r="DA9" s="123"/>
      <c r="DB9" s="123"/>
      <c r="DC9" s="123"/>
      <c r="DD9" s="123"/>
      <c r="DE9" s="123"/>
      <c r="DF9" s="123"/>
      <c r="DG9" s="123"/>
      <c r="DH9" s="123"/>
      <c r="DI9" s="123"/>
      <c r="DJ9" s="123"/>
      <c r="DK9" s="123"/>
      <c r="DL9" s="123"/>
      <c r="DM9" s="123"/>
      <c r="DN9" s="123"/>
      <c r="DO9" s="123"/>
      <c r="DP9" s="123"/>
      <c r="DQ9" s="123"/>
      <c r="DR9" s="123"/>
      <c r="DS9" s="123"/>
      <c r="DT9" s="123"/>
      <c r="DU9" s="123"/>
      <c r="DV9" s="123"/>
      <c r="DW9" s="123"/>
      <c r="DX9" s="123"/>
      <c r="DY9" s="123"/>
      <c r="DZ9" s="123"/>
      <c r="EA9" s="123"/>
      <c r="EB9" s="123"/>
      <c r="EC9" s="123"/>
      <c r="ED9" s="123"/>
      <c r="EE9" s="123"/>
      <c r="EF9" s="123"/>
      <c r="EG9" s="123"/>
      <c r="EH9" s="123"/>
      <c r="EI9" s="123"/>
      <c r="EJ9" s="123"/>
      <c r="EK9" s="123"/>
      <c r="EL9" s="123"/>
      <c r="EM9" s="123"/>
      <c r="EN9" s="123"/>
      <c r="EO9" s="123"/>
      <c r="EP9" s="123"/>
      <c r="EQ9" s="123"/>
      <c r="ER9" s="123"/>
      <c r="ES9" s="123"/>
      <c r="ET9" s="123"/>
      <c r="EU9" s="123"/>
      <c r="EV9" s="123"/>
      <c r="EW9" s="123"/>
      <c r="EX9" s="123"/>
      <c r="EY9" s="123"/>
      <c r="EZ9" s="123"/>
      <c r="FA9" s="123"/>
      <c r="FB9" s="123"/>
      <c r="FC9" s="123"/>
      <c r="FD9" s="123"/>
      <c r="FE9" s="123"/>
      <c r="FF9" s="123"/>
      <c r="FG9" s="123"/>
      <c r="FH9" s="123"/>
      <c r="FI9" s="123"/>
      <c r="FJ9" s="123"/>
      <c r="FK9" s="123"/>
      <c r="FL9" s="123"/>
      <c r="FM9" s="123"/>
      <c r="FN9" s="123"/>
      <c r="FO9" s="123"/>
      <c r="FP9" s="123"/>
      <c r="FQ9" s="123"/>
      <c r="FR9" s="123"/>
      <c r="FS9" s="123"/>
      <c r="FT9" s="123"/>
      <c r="FU9" s="123"/>
      <c r="FV9" s="123"/>
      <c r="FW9" s="123"/>
      <c r="FX9" s="123"/>
      <c r="FY9" s="123"/>
      <c r="FZ9" s="123"/>
      <c r="GA9" s="123"/>
      <c r="GB9" s="123"/>
      <c r="GC9" s="123"/>
      <c r="GD9" s="123"/>
      <c r="GE9" s="123"/>
      <c r="GF9" s="123"/>
      <c r="GG9" s="123"/>
      <c r="GH9" s="123"/>
      <c r="GI9" s="123"/>
      <c r="GJ9" s="123"/>
      <c r="GK9" s="123"/>
      <c r="GL9" s="123"/>
      <c r="GM9" s="123"/>
      <c r="GN9" s="123"/>
      <c r="GO9" s="123"/>
      <c r="GP9" s="123"/>
      <c r="GQ9" s="123"/>
      <c r="GR9" s="123"/>
      <c r="GS9" s="123"/>
      <c r="GT9" s="123"/>
      <c r="GU9" s="123"/>
      <c r="GV9" s="123"/>
      <c r="GW9" s="123"/>
      <c r="GX9" s="123"/>
      <c r="GY9" s="123"/>
      <c r="GZ9" s="123"/>
      <c r="HA9" s="123"/>
      <c r="HB9" s="123"/>
      <c r="HC9" s="123"/>
      <c r="HD9" s="123"/>
      <c r="HE9" s="123"/>
      <c r="HF9" s="123"/>
      <c r="HG9" s="123"/>
      <c r="HH9" s="123"/>
      <c r="HI9" s="123"/>
      <c r="HJ9" s="123"/>
      <c r="HK9" s="123"/>
      <c r="HL9" s="123"/>
      <c r="HM9" s="123"/>
      <c r="HN9" s="123"/>
      <c r="HO9" s="123"/>
      <c r="HP9" s="123"/>
      <c r="HQ9" s="123"/>
      <c r="HR9" s="123"/>
      <c r="HS9" s="123"/>
      <c r="HT9" s="123"/>
      <c r="HU9" s="123"/>
      <c r="HV9" s="123"/>
      <c r="HW9" s="123"/>
      <c r="HX9" s="123"/>
      <c r="HY9" s="123"/>
      <c r="HZ9" s="123"/>
      <c r="IA9" s="123"/>
      <c r="IB9" s="123"/>
      <c r="IC9" s="123"/>
      <c r="ID9" s="123"/>
      <c r="IE9" s="123"/>
      <c r="IF9" s="123"/>
      <c r="IG9" s="123"/>
      <c r="IH9" s="123"/>
      <c r="II9" s="123"/>
      <c r="IJ9" s="123"/>
      <c r="IK9" s="123"/>
      <c r="IL9" s="123"/>
      <c r="IM9" s="123"/>
      <c r="IN9" s="123"/>
      <c r="IO9" s="123"/>
      <c r="IP9" s="123"/>
      <c r="IQ9" s="123"/>
      <c r="IR9" s="123"/>
      <c r="IS9" s="123"/>
      <c r="IT9" s="123"/>
      <c r="IU9" s="123"/>
      <c r="IV9" s="123"/>
      <c r="IW9" s="123"/>
    </row>
    <row r="10" customFormat="false" ht="15" hidden="false" customHeight="false" outlineLevel="0" collapsed="false">
      <c r="A10" s="129" t="n">
        <v>36739</v>
      </c>
      <c r="B10" s="145" t="n">
        <f aca="false">+'GD Options'!M8</f>
        <v>0.063820029255873</v>
      </c>
      <c r="C10" s="146" t="n">
        <f aca="false">1/((1+B10/2)^(2*(A10-$B$1)/365.25))</f>
        <v>4.85574430433071</v>
      </c>
      <c r="D10" s="147" t="n">
        <f aca="false">+D9</f>
        <v>-45000</v>
      </c>
      <c r="E10" s="148" t="n">
        <f aca="false">+E9</f>
        <v>-55000</v>
      </c>
      <c r="F10" s="149" t="n">
        <f aca="false">+(D10)*'Deal Volumes'!B25</f>
        <v>-1395000</v>
      </c>
      <c r="G10" s="148" t="n">
        <f aca="false">+E10*'Deal Volumes'!B25</f>
        <v>-1705000</v>
      </c>
      <c r="H10" s="148" t="n">
        <f aca="false">+F10+G10</f>
        <v>-3100000</v>
      </c>
      <c r="I10" s="147" t="n">
        <f aca="false">+F10*$C10</f>
        <v>-6773763.30454134</v>
      </c>
      <c r="J10" s="149" t="n">
        <f aca="false">+G10*$C10</f>
        <v>-8279044.03888386</v>
      </c>
      <c r="K10" s="150" t="n">
        <f aca="false">SUM(I10:J10)</f>
        <v>-15052807.3434252</v>
      </c>
      <c r="L10" s="151" t="n">
        <f aca="false">+Curves!C5</f>
        <v>0</v>
      </c>
      <c r="M10" s="152" t="n">
        <f aca="false">+Curves!E5</f>
        <v>-0.005</v>
      </c>
      <c r="N10" s="153" t="n">
        <f aca="false">+I10*(L10-$H$1)+J10*(M10-$H$1)</f>
        <v>801745.270986218</v>
      </c>
      <c r="O10" s="154" t="n">
        <f aca="false">-I10*(L10-$F$1)</f>
        <v>0</v>
      </c>
      <c r="P10" s="155" t="n">
        <f aca="false">-J10*(M10-$F$2)</f>
        <v>0</v>
      </c>
      <c r="Q10" s="154" t="n">
        <f aca="false">SUM(O10:P10)</f>
        <v>0</v>
      </c>
      <c r="R10" s="156" t="n">
        <f aca="false">+I10</f>
        <v>-6773763.30454134</v>
      </c>
      <c r="S10" s="157" t="n">
        <f aca="false">+R10*$S$1</f>
        <v>-270950.532181654</v>
      </c>
      <c r="T10" s="147" t="n">
        <f aca="false">+$T$1*K10</f>
        <v>-496742.642333032</v>
      </c>
      <c r="U10" s="158" t="n">
        <f aca="false">+Q10+T10+S10</f>
        <v>-767693.174514685</v>
      </c>
      <c r="V10" s="159" t="n">
        <f aca="false">+N10+U10</f>
        <v>34052.0964715324</v>
      </c>
      <c r="W10" s="123"/>
      <c r="X10" s="123"/>
      <c r="Y10" s="123"/>
      <c r="Z10" s="123"/>
      <c r="AA10" s="123"/>
      <c r="AB10" s="123"/>
      <c r="AC10" s="123"/>
      <c r="AD10" s="123"/>
      <c r="AE10" s="123"/>
      <c r="AF10" s="123"/>
      <c r="AG10" s="123"/>
      <c r="AH10" s="123"/>
      <c r="AI10" s="123"/>
      <c r="AJ10" s="123"/>
      <c r="AK10" s="123"/>
      <c r="AL10" s="123"/>
      <c r="AM10" s="123"/>
      <c r="AN10" s="123"/>
      <c r="AO10" s="123"/>
      <c r="AP10" s="123"/>
      <c r="AQ10" s="123"/>
      <c r="AR10" s="123"/>
      <c r="AS10" s="123"/>
      <c r="AT10" s="123"/>
      <c r="AU10" s="123"/>
      <c r="AV10" s="123"/>
      <c r="AW10" s="123"/>
      <c r="AX10" s="123"/>
      <c r="AY10" s="123"/>
      <c r="AZ10" s="123"/>
      <c r="BA10" s="123"/>
      <c r="BB10" s="123"/>
      <c r="BC10" s="123"/>
      <c r="BD10" s="123"/>
      <c r="BE10" s="123"/>
      <c r="BF10" s="123"/>
      <c r="BG10" s="123"/>
      <c r="BH10" s="123"/>
      <c r="BI10" s="123"/>
      <c r="BJ10" s="123"/>
      <c r="BK10" s="123"/>
      <c r="BL10" s="123"/>
      <c r="BM10" s="123"/>
      <c r="BN10" s="123"/>
      <c r="BO10" s="123"/>
      <c r="BP10" s="123"/>
      <c r="BQ10" s="123"/>
      <c r="BR10" s="123"/>
      <c r="BS10" s="123"/>
      <c r="BT10" s="123"/>
      <c r="BU10" s="123"/>
      <c r="BV10" s="123"/>
      <c r="BW10" s="123"/>
      <c r="BX10" s="123"/>
      <c r="BY10" s="123"/>
      <c r="BZ10" s="123"/>
      <c r="CA10" s="123"/>
      <c r="CB10" s="123"/>
      <c r="CC10" s="123"/>
      <c r="CD10" s="123"/>
      <c r="CE10" s="123"/>
      <c r="CF10" s="123"/>
      <c r="CG10" s="123"/>
      <c r="CH10" s="123"/>
      <c r="CI10" s="123"/>
      <c r="CJ10" s="123"/>
      <c r="CK10" s="123"/>
      <c r="CL10" s="123"/>
      <c r="CM10" s="123"/>
      <c r="CN10" s="123"/>
      <c r="CO10" s="123"/>
      <c r="CP10" s="123"/>
      <c r="CQ10" s="123"/>
      <c r="CR10" s="123"/>
      <c r="CS10" s="123"/>
      <c r="CT10" s="123"/>
      <c r="CU10" s="123"/>
      <c r="CV10" s="123"/>
      <c r="CW10" s="123"/>
      <c r="CX10" s="123"/>
      <c r="CY10" s="123"/>
      <c r="CZ10" s="123"/>
      <c r="DA10" s="123"/>
      <c r="DB10" s="123"/>
      <c r="DC10" s="123"/>
      <c r="DD10" s="123"/>
      <c r="DE10" s="123"/>
      <c r="DF10" s="123"/>
      <c r="DG10" s="123"/>
      <c r="DH10" s="123"/>
      <c r="DI10" s="123"/>
      <c r="DJ10" s="123"/>
      <c r="DK10" s="123"/>
      <c r="DL10" s="123"/>
      <c r="DM10" s="123"/>
      <c r="DN10" s="123"/>
      <c r="DO10" s="123"/>
      <c r="DP10" s="123"/>
      <c r="DQ10" s="123"/>
      <c r="DR10" s="123"/>
      <c r="DS10" s="123"/>
      <c r="DT10" s="123"/>
      <c r="DU10" s="123"/>
      <c r="DV10" s="123"/>
      <c r="DW10" s="123"/>
      <c r="DX10" s="123"/>
      <c r="DY10" s="123"/>
      <c r="DZ10" s="123"/>
      <c r="EA10" s="123"/>
      <c r="EB10" s="123"/>
      <c r="EC10" s="123"/>
      <c r="ED10" s="123"/>
      <c r="EE10" s="123"/>
      <c r="EF10" s="123"/>
      <c r="EG10" s="123"/>
      <c r="EH10" s="123"/>
      <c r="EI10" s="123"/>
      <c r="EJ10" s="123"/>
      <c r="EK10" s="123"/>
      <c r="EL10" s="123"/>
      <c r="EM10" s="123"/>
      <c r="EN10" s="123"/>
      <c r="EO10" s="123"/>
      <c r="EP10" s="123"/>
      <c r="EQ10" s="123"/>
      <c r="ER10" s="123"/>
      <c r="ES10" s="123"/>
      <c r="ET10" s="123"/>
      <c r="EU10" s="123"/>
      <c r="EV10" s="123"/>
      <c r="EW10" s="123"/>
      <c r="EX10" s="123"/>
      <c r="EY10" s="123"/>
      <c r="EZ10" s="123"/>
      <c r="FA10" s="123"/>
      <c r="FB10" s="123"/>
      <c r="FC10" s="123"/>
      <c r="FD10" s="123"/>
      <c r="FE10" s="123"/>
      <c r="FF10" s="123"/>
      <c r="FG10" s="123"/>
      <c r="FH10" s="123"/>
      <c r="FI10" s="123"/>
      <c r="FJ10" s="123"/>
      <c r="FK10" s="123"/>
      <c r="FL10" s="123"/>
      <c r="FM10" s="123"/>
      <c r="FN10" s="123"/>
      <c r="FO10" s="123"/>
      <c r="FP10" s="123"/>
      <c r="FQ10" s="123"/>
      <c r="FR10" s="123"/>
      <c r="FS10" s="123"/>
      <c r="FT10" s="123"/>
      <c r="FU10" s="123"/>
      <c r="FV10" s="123"/>
      <c r="FW10" s="123"/>
      <c r="FX10" s="123"/>
      <c r="FY10" s="123"/>
      <c r="FZ10" s="123"/>
      <c r="GA10" s="123"/>
      <c r="GB10" s="123"/>
      <c r="GC10" s="123"/>
      <c r="GD10" s="123"/>
      <c r="GE10" s="123"/>
      <c r="GF10" s="123"/>
      <c r="GG10" s="123"/>
      <c r="GH10" s="123"/>
      <c r="GI10" s="123"/>
      <c r="GJ10" s="123"/>
      <c r="GK10" s="123"/>
      <c r="GL10" s="123"/>
      <c r="GM10" s="123"/>
      <c r="GN10" s="123"/>
      <c r="GO10" s="123"/>
      <c r="GP10" s="123"/>
      <c r="GQ10" s="123"/>
      <c r="GR10" s="123"/>
      <c r="GS10" s="123"/>
      <c r="GT10" s="123"/>
      <c r="GU10" s="123"/>
      <c r="GV10" s="123"/>
      <c r="GW10" s="123"/>
      <c r="GX10" s="123"/>
      <c r="GY10" s="123"/>
      <c r="GZ10" s="123"/>
      <c r="HA10" s="123"/>
      <c r="HB10" s="123"/>
      <c r="HC10" s="123"/>
      <c r="HD10" s="123"/>
      <c r="HE10" s="123"/>
      <c r="HF10" s="123"/>
      <c r="HG10" s="123"/>
      <c r="HH10" s="123"/>
      <c r="HI10" s="123"/>
      <c r="HJ10" s="123"/>
      <c r="HK10" s="123"/>
      <c r="HL10" s="123"/>
      <c r="HM10" s="123"/>
      <c r="HN10" s="123"/>
      <c r="HO10" s="123"/>
      <c r="HP10" s="123"/>
      <c r="HQ10" s="123"/>
      <c r="HR10" s="123"/>
      <c r="HS10" s="123"/>
      <c r="HT10" s="123"/>
      <c r="HU10" s="123"/>
      <c r="HV10" s="123"/>
      <c r="HW10" s="123"/>
      <c r="HX10" s="123"/>
      <c r="HY10" s="123"/>
      <c r="HZ10" s="123"/>
      <c r="IA10" s="123"/>
      <c r="IB10" s="123"/>
      <c r="IC10" s="123"/>
      <c r="ID10" s="123"/>
      <c r="IE10" s="123"/>
      <c r="IF10" s="123"/>
      <c r="IG10" s="123"/>
      <c r="IH10" s="123"/>
      <c r="II10" s="123"/>
      <c r="IJ10" s="123"/>
      <c r="IK10" s="123"/>
      <c r="IL10" s="123"/>
      <c r="IM10" s="123"/>
      <c r="IN10" s="123"/>
      <c r="IO10" s="123"/>
      <c r="IP10" s="123"/>
      <c r="IQ10" s="123"/>
      <c r="IR10" s="123"/>
      <c r="IS10" s="123"/>
      <c r="IT10" s="123"/>
      <c r="IU10" s="123"/>
      <c r="IV10" s="123"/>
      <c r="IW10" s="123"/>
    </row>
    <row r="11" customFormat="false" ht="15" hidden="false" customHeight="false" outlineLevel="0" collapsed="false">
      <c r="A11" s="129" t="n">
        <v>36770</v>
      </c>
      <c r="B11" s="160" t="n">
        <f aca="false">+'GD Options'!M9</f>
        <v>0.064455430326432</v>
      </c>
      <c r="C11" s="161" t="n">
        <f aca="false">1/((1+B11/2)^(2*(A11-$B$1)/365.25))</f>
        <v>4.90504153607762</v>
      </c>
      <c r="D11" s="162" t="n">
        <f aca="false">+D10</f>
        <v>-45000</v>
      </c>
      <c r="E11" s="163" t="n">
        <f aca="false">+E10</f>
        <v>-55000</v>
      </c>
      <c r="F11" s="164" t="n">
        <f aca="false">+(D11)*'Deal Volumes'!B26</f>
        <v>-1350000</v>
      </c>
      <c r="G11" s="163" t="n">
        <f aca="false">+E11*'Deal Volumes'!B26</f>
        <v>-1650000</v>
      </c>
      <c r="H11" s="163" t="n">
        <f aca="false">+F11+G11</f>
        <v>-3000000</v>
      </c>
      <c r="I11" s="162" t="n">
        <f aca="false">+F11*$C11</f>
        <v>-6621806.07370478</v>
      </c>
      <c r="J11" s="164" t="n">
        <f aca="false">+G11*$C11</f>
        <v>-8093318.53452807</v>
      </c>
      <c r="K11" s="165" t="n">
        <f aca="false">SUM(I11:J11)</f>
        <v>-14715124.6082329</v>
      </c>
      <c r="L11" s="166" t="n">
        <f aca="false">+Curves!C6</f>
        <v>0</v>
      </c>
      <c r="M11" s="167" t="n">
        <f aca="false">+Curves!E6</f>
        <v>-0.005</v>
      </c>
      <c r="N11" s="168" t="n">
        <f aca="false">+I11*(L11-$H$1)+J11*(M11-$H$1)</f>
        <v>783759.55378029</v>
      </c>
      <c r="O11" s="169" t="n">
        <f aca="false">-I11*(L11-$F$1)</f>
        <v>0</v>
      </c>
      <c r="P11" s="170" t="n">
        <f aca="false">-J11*(M11-$F$2)</f>
        <v>0</v>
      </c>
      <c r="Q11" s="169" t="n">
        <f aca="false">SUM(O11:P11)</f>
        <v>0</v>
      </c>
      <c r="R11" s="171" t="n">
        <f aca="false">+I11</f>
        <v>-6621806.07370478</v>
      </c>
      <c r="S11" s="172" t="n">
        <f aca="false">+R11*$S$1</f>
        <v>-264872.242948191</v>
      </c>
      <c r="T11" s="162" t="n">
        <f aca="false">+$T$1*K11</f>
        <v>-485599.112071684</v>
      </c>
      <c r="U11" s="173" t="n">
        <f aca="false">+Q11+T11+S11</f>
        <v>-750471.355019875</v>
      </c>
      <c r="V11" s="174" t="n">
        <f aca="false">+N11+U11</f>
        <v>33288.1987604145</v>
      </c>
      <c r="W11" s="123"/>
      <c r="X11" s="123"/>
      <c r="Y11" s="123"/>
      <c r="Z11" s="123"/>
      <c r="AA11" s="123"/>
      <c r="AB11" s="123"/>
      <c r="AC11" s="123"/>
      <c r="AD11" s="123"/>
      <c r="AE11" s="123"/>
      <c r="AF11" s="123"/>
      <c r="AG11" s="123"/>
      <c r="AH11" s="123"/>
      <c r="AI11" s="123"/>
      <c r="AJ11" s="123"/>
      <c r="AK11" s="123"/>
      <c r="AL11" s="123"/>
      <c r="AM11" s="123"/>
      <c r="AN11" s="123"/>
      <c r="AO11" s="123"/>
      <c r="AP11" s="123"/>
      <c r="AQ11" s="123"/>
      <c r="AR11" s="123"/>
      <c r="AS11" s="123"/>
      <c r="AT11" s="123"/>
      <c r="AU11" s="123"/>
      <c r="AV11" s="123"/>
      <c r="AW11" s="123"/>
      <c r="AX11" s="123"/>
      <c r="AY11" s="123"/>
      <c r="AZ11" s="123"/>
      <c r="BA11" s="123"/>
      <c r="BB11" s="123"/>
      <c r="BC11" s="123"/>
      <c r="BD11" s="123"/>
      <c r="BE11" s="123"/>
      <c r="BF11" s="123"/>
      <c r="BG11" s="123"/>
      <c r="BH11" s="123"/>
      <c r="BI11" s="123"/>
      <c r="BJ11" s="123"/>
      <c r="BK11" s="123"/>
      <c r="BL11" s="123"/>
      <c r="BM11" s="123"/>
      <c r="BN11" s="123"/>
      <c r="BO11" s="123"/>
      <c r="BP11" s="123"/>
      <c r="BQ11" s="123"/>
      <c r="BR11" s="123"/>
      <c r="BS11" s="123"/>
      <c r="BT11" s="123"/>
      <c r="BU11" s="123"/>
      <c r="BV11" s="123"/>
      <c r="BW11" s="123"/>
      <c r="BX11" s="123"/>
      <c r="BY11" s="123"/>
      <c r="BZ11" s="123"/>
      <c r="CA11" s="123"/>
      <c r="CB11" s="123"/>
      <c r="CC11" s="123"/>
      <c r="CD11" s="123"/>
      <c r="CE11" s="123"/>
      <c r="CF11" s="123"/>
      <c r="CG11" s="123"/>
      <c r="CH11" s="123"/>
      <c r="CI11" s="123"/>
      <c r="CJ11" s="123"/>
      <c r="CK11" s="123"/>
      <c r="CL11" s="123"/>
      <c r="CM11" s="123"/>
      <c r="CN11" s="123"/>
      <c r="CO11" s="123"/>
      <c r="CP11" s="123"/>
      <c r="CQ11" s="123"/>
      <c r="CR11" s="123"/>
      <c r="CS11" s="123"/>
      <c r="CT11" s="123"/>
      <c r="CU11" s="123"/>
      <c r="CV11" s="123"/>
      <c r="CW11" s="123"/>
      <c r="CX11" s="123"/>
      <c r="CY11" s="123"/>
      <c r="CZ11" s="123"/>
      <c r="DA11" s="123"/>
      <c r="DB11" s="123"/>
      <c r="DC11" s="123"/>
      <c r="DD11" s="123"/>
      <c r="DE11" s="123"/>
      <c r="DF11" s="123"/>
      <c r="DG11" s="123"/>
      <c r="DH11" s="123"/>
      <c r="DI11" s="123"/>
      <c r="DJ11" s="123"/>
      <c r="DK11" s="123"/>
      <c r="DL11" s="123"/>
      <c r="DM11" s="123"/>
      <c r="DN11" s="123"/>
      <c r="DO11" s="123"/>
      <c r="DP11" s="123"/>
      <c r="DQ11" s="123"/>
      <c r="DR11" s="123"/>
      <c r="DS11" s="123"/>
      <c r="DT11" s="123"/>
      <c r="DU11" s="123"/>
      <c r="DV11" s="123"/>
      <c r="DW11" s="123"/>
      <c r="DX11" s="123"/>
      <c r="DY11" s="123"/>
      <c r="DZ11" s="123"/>
      <c r="EA11" s="123"/>
      <c r="EB11" s="123"/>
      <c r="EC11" s="123"/>
      <c r="ED11" s="123"/>
      <c r="EE11" s="123"/>
      <c r="EF11" s="123"/>
      <c r="EG11" s="123"/>
      <c r="EH11" s="123"/>
      <c r="EI11" s="123"/>
      <c r="EJ11" s="123"/>
      <c r="EK11" s="123"/>
      <c r="EL11" s="123"/>
      <c r="EM11" s="123"/>
      <c r="EN11" s="123"/>
      <c r="EO11" s="123"/>
      <c r="EP11" s="123"/>
      <c r="EQ11" s="123"/>
      <c r="ER11" s="123"/>
      <c r="ES11" s="123"/>
      <c r="ET11" s="123"/>
      <c r="EU11" s="123"/>
      <c r="EV11" s="123"/>
      <c r="EW11" s="123"/>
      <c r="EX11" s="123"/>
      <c r="EY11" s="123"/>
      <c r="EZ11" s="123"/>
      <c r="FA11" s="123"/>
      <c r="FB11" s="123"/>
      <c r="FC11" s="123"/>
      <c r="FD11" s="123"/>
      <c r="FE11" s="123"/>
      <c r="FF11" s="123"/>
      <c r="FG11" s="123"/>
      <c r="FH11" s="123"/>
      <c r="FI11" s="123"/>
      <c r="FJ11" s="123"/>
      <c r="FK11" s="123"/>
      <c r="FL11" s="123"/>
      <c r="FM11" s="123"/>
      <c r="FN11" s="123"/>
      <c r="FO11" s="123"/>
      <c r="FP11" s="123"/>
      <c r="FQ11" s="123"/>
      <c r="FR11" s="123"/>
      <c r="FS11" s="123"/>
      <c r="FT11" s="123"/>
      <c r="FU11" s="123"/>
      <c r="FV11" s="123"/>
      <c r="FW11" s="123"/>
      <c r="FX11" s="123"/>
      <c r="FY11" s="123"/>
      <c r="FZ11" s="123"/>
      <c r="GA11" s="123"/>
      <c r="GB11" s="123"/>
      <c r="GC11" s="123"/>
      <c r="GD11" s="123"/>
      <c r="GE11" s="123"/>
      <c r="GF11" s="123"/>
      <c r="GG11" s="123"/>
      <c r="GH11" s="123"/>
      <c r="GI11" s="123"/>
      <c r="GJ11" s="123"/>
      <c r="GK11" s="123"/>
      <c r="GL11" s="123"/>
      <c r="GM11" s="123"/>
      <c r="GN11" s="123"/>
      <c r="GO11" s="123"/>
      <c r="GP11" s="123"/>
      <c r="GQ11" s="123"/>
      <c r="GR11" s="123"/>
      <c r="GS11" s="123"/>
      <c r="GT11" s="123"/>
      <c r="GU11" s="123"/>
      <c r="GV11" s="123"/>
      <c r="GW11" s="123"/>
      <c r="GX11" s="123"/>
      <c r="GY11" s="123"/>
      <c r="GZ11" s="123"/>
      <c r="HA11" s="123"/>
      <c r="HB11" s="123"/>
      <c r="HC11" s="123"/>
      <c r="HD11" s="123"/>
      <c r="HE11" s="123"/>
      <c r="HF11" s="123"/>
      <c r="HG11" s="123"/>
      <c r="HH11" s="123"/>
      <c r="HI11" s="123"/>
      <c r="HJ11" s="123"/>
      <c r="HK11" s="123"/>
      <c r="HL11" s="123"/>
      <c r="HM11" s="123"/>
      <c r="HN11" s="123"/>
      <c r="HO11" s="123"/>
      <c r="HP11" s="123"/>
      <c r="HQ11" s="123"/>
      <c r="HR11" s="123"/>
      <c r="HS11" s="123"/>
      <c r="HT11" s="123"/>
      <c r="HU11" s="123"/>
      <c r="HV11" s="123"/>
      <c r="HW11" s="123"/>
      <c r="HX11" s="123"/>
      <c r="HY11" s="123"/>
      <c r="HZ11" s="123"/>
      <c r="IA11" s="123"/>
      <c r="IB11" s="123"/>
      <c r="IC11" s="123"/>
      <c r="ID11" s="123"/>
      <c r="IE11" s="123"/>
      <c r="IF11" s="123"/>
      <c r="IG11" s="123"/>
      <c r="IH11" s="123"/>
      <c r="II11" s="123"/>
      <c r="IJ11" s="123"/>
      <c r="IK11" s="123"/>
      <c r="IL11" s="123"/>
      <c r="IM11" s="123"/>
      <c r="IN11" s="123"/>
      <c r="IO11" s="123"/>
      <c r="IP11" s="123"/>
      <c r="IQ11" s="123"/>
      <c r="IR11" s="123"/>
      <c r="IS11" s="123"/>
      <c r="IT11" s="123"/>
      <c r="IU11" s="123"/>
      <c r="IV11" s="123"/>
      <c r="IW11" s="123"/>
    </row>
    <row r="12" customFormat="false" ht="12.75" hidden="false" customHeight="false" outlineLevel="0" collapsed="false">
      <c r="A12" s="123"/>
      <c r="B12" s="123"/>
      <c r="C12" s="123"/>
      <c r="D12" s="123"/>
      <c r="E12" s="123"/>
      <c r="F12" s="123"/>
      <c r="G12" s="123"/>
      <c r="H12" s="123"/>
      <c r="I12" s="123"/>
      <c r="J12" s="123"/>
      <c r="K12" s="123"/>
      <c r="L12" s="123"/>
      <c r="M12" s="123"/>
      <c r="N12" s="123"/>
      <c r="O12" s="123"/>
      <c r="P12" s="123"/>
      <c r="Q12" s="123"/>
      <c r="R12" s="175"/>
      <c r="S12" s="123"/>
      <c r="T12" s="123"/>
      <c r="U12" s="123"/>
      <c r="V12" s="123"/>
      <c r="W12" s="123"/>
      <c r="X12" s="123"/>
      <c r="Y12" s="123"/>
      <c r="Z12" s="123"/>
      <c r="AA12" s="123"/>
      <c r="AB12" s="123"/>
      <c r="AC12" s="123"/>
      <c r="AD12" s="123"/>
      <c r="AE12" s="123"/>
      <c r="AF12" s="123"/>
      <c r="AG12" s="123"/>
      <c r="AH12" s="123"/>
      <c r="AI12" s="123"/>
      <c r="AJ12" s="123"/>
      <c r="AK12" s="123"/>
      <c r="AL12" s="123"/>
      <c r="AM12" s="123"/>
      <c r="AN12" s="123"/>
      <c r="AO12" s="123"/>
      <c r="AP12" s="123"/>
      <c r="AQ12" s="123"/>
      <c r="AR12" s="123"/>
      <c r="AS12" s="123"/>
      <c r="AT12" s="123"/>
      <c r="AU12" s="123"/>
      <c r="AV12" s="123"/>
      <c r="AW12" s="123"/>
      <c r="AX12" s="123"/>
      <c r="AY12" s="123"/>
      <c r="AZ12" s="123"/>
      <c r="BA12" s="123"/>
      <c r="BB12" s="123"/>
      <c r="BC12" s="123"/>
      <c r="BD12" s="123"/>
      <c r="BE12" s="123"/>
      <c r="BF12" s="123"/>
      <c r="BG12" s="123"/>
      <c r="BH12" s="123"/>
      <c r="BI12" s="123"/>
      <c r="BJ12" s="123"/>
      <c r="BK12" s="123"/>
      <c r="BL12" s="123"/>
      <c r="BM12" s="123"/>
      <c r="BN12" s="123"/>
      <c r="BO12" s="123"/>
      <c r="BP12" s="123"/>
      <c r="BQ12" s="123"/>
      <c r="BR12" s="123"/>
      <c r="BS12" s="123"/>
      <c r="BT12" s="123"/>
      <c r="BU12" s="123"/>
      <c r="BV12" s="123"/>
      <c r="BW12" s="123"/>
      <c r="BX12" s="123"/>
      <c r="BY12" s="123"/>
      <c r="BZ12" s="123"/>
      <c r="CA12" s="123"/>
      <c r="CB12" s="123"/>
      <c r="CC12" s="123"/>
      <c r="CD12" s="123"/>
      <c r="CE12" s="123"/>
      <c r="CF12" s="123"/>
      <c r="CG12" s="123"/>
      <c r="CH12" s="123"/>
      <c r="CI12" s="123"/>
      <c r="CJ12" s="123"/>
      <c r="CK12" s="123"/>
      <c r="CL12" s="123"/>
      <c r="CM12" s="123"/>
      <c r="CN12" s="123"/>
      <c r="CO12" s="123"/>
      <c r="CP12" s="123"/>
      <c r="CQ12" s="123"/>
      <c r="CR12" s="123"/>
      <c r="CS12" s="123"/>
      <c r="CT12" s="123"/>
      <c r="CU12" s="123"/>
      <c r="CV12" s="123"/>
      <c r="CW12" s="123"/>
      <c r="CX12" s="123"/>
      <c r="CY12" s="123"/>
      <c r="CZ12" s="123"/>
      <c r="DA12" s="123"/>
      <c r="DB12" s="123"/>
      <c r="DC12" s="123"/>
      <c r="DD12" s="123"/>
      <c r="DE12" s="123"/>
      <c r="DF12" s="123"/>
      <c r="DG12" s="123"/>
      <c r="DH12" s="123"/>
      <c r="DI12" s="123"/>
      <c r="DJ12" s="123"/>
      <c r="DK12" s="123"/>
      <c r="DL12" s="123"/>
      <c r="DM12" s="123"/>
      <c r="DN12" s="123"/>
      <c r="DO12" s="123"/>
      <c r="DP12" s="123"/>
      <c r="DQ12" s="123"/>
      <c r="DR12" s="123"/>
      <c r="DS12" s="123"/>
      <c r="DT12" s="123"/>
      <c r="DU12" s="123"/>
      <c r="DV12" s="123"/>
      <c r="DW12" s="123"/>
      <c r="DX12" s="123"/>
      <c r="DY12" s="123"/>
      <c r="DZ12" s="123"/>
      <c r="EA12" s="123"/>
      <c r="EB12" s="123"/>
      <c r="EC12" s="123"/>
      <c r="ED12" s="123"/>
      <c r="EE12" s="123"/>
      <c r="EF12" s="123"/>
      <c r="EG12" s="123"/>
      <c r="EH12" s="123"/>
      <c r="EI12" s="123"/>
      <c r="EJ12" s="123"/>
      <c r="EK12" s="123"/>
      <c r="EL12" s="123"/>
      <c r="EM12" s="123"/>
      <c r="EN12" s="123"/>
      <c r="EO12" s="123"/>
      <c r="EP12" s="123"/>
      <c r="EQ12" s="123"/>
      <c r="ER12" s="123"/>
      <c r="ES12" s="123"/>
      <c r="ET12" s="123"/>
      <c r="EU12" s="123"/>
      <c r="EV12" s="123"/>
      <c r="EW12" s="123"/>
      <c r="EX12" s="123"/>
      <c r="EY12" s="123"/>
      <c r="EZ12" s="123"/>
      <c r="FA12" s="123"/>
      <c r="FB12" s="123"/>
      <c r="FC12" s="123"/>
      <c r="FD12" s="123"/>
      <c r="FE12" s="123"/>
      <c r="FF12" s="123"/>
      <c r="FG12" s="123"/>
      <c r="FH12" s="123"/>
      <c r="FI12" s="123"/>
      <c r="FJ12" s="123"/>
      <c r="FK12" s="123"/>
      <c r="FL12" s="123"/>
      <c r="FM12" s="123"/>
      <c r="FN12" s="123"/>
      <c r="FO12" s="123"/>
      <c r="FP12" s="123"/>
      <c r="FQ12" s="123"/>
      <c r="FR12" s="123"/>
      <c r="FS12" s="123"/>
      <c r="FT12" s="123"/>
      <c r="FU12" s="123"/>
      <c r="FV12" s="123"/>
      <c r="FW12" s="123"/>
      <c r="FX12" s="123"/>
      <c r="FY12" s="123"/>
      <c r="FZ12" s="123"/>
      <c r="GA12" s="123"/>
      <c r="GB12" s="123"/>
      <c r="GC12" s="123"/>
      <c r="GD12" s="123"/>
      <c r="GE12" s="123"/>
      <c r="GF12" s="123"/>
      <c r="GG12" s="123"/>
      <c r="GH12" s="123"/>
      <c r="GI12" s="123"/>
      <c r="GJ12" s="123"/>
      <c r="GK12" s="123"/>
      <c r="GL12" s="123"/>
      <c r="GM12" s="123"/>
      <c r="GN12" s="123"/>
      <c r="GO12" s="123"/>
      <c r="GP12" s="123"/>
      <c r="GQ12" s="123"/>
      <c r="GR12" s="123"/>
      <c r="GS12" s="123"/>
      <c r="GT12" s="123"/>
      <c r="GU12" s="123"/>
      <c r="GV12" s="123"/>
      <c r="GW12" s="123"/>
      <c r="GX12" s="123"/>
      <c r="GY12" s="123"/>
      <c r="GZ12" s="123"/>
      <c r="HA12" s="123"/>
      <c r="HB12" s="123"/>
      <c r="HC12" s="123"/>
      <c r="HD12" s="123"/>
      <c r="HE12" s="123"/>
      <c r="HF12" s="123"/>
      <c r="HG12" s="123"/>
      <c r="HH12" s="123"/>
      <c r="HI12" s="123"/>
      <c r="HJ12" s="123"/>
      <c r="HK12" s="123"/>
      <c r="HL12" s="123"/>
      <c r="HM12" s="123"/>
      <c r="HN12" s="123"/>
      <c r="HO12" s="123"/>
      <c r="HP12" s="123"/>
      <c r="HQ12" s="123"/>
      <c r="HR12" s="123"/>
      <c r="HS12" s="123"/>
      <c r="HT12" s="123"/>
      <c r="HU12" s="123"/>
      <c r="HV12" s="123"/>
      <c r="HW12" s="123"/>
      <c r="HX12" s="123"/>
      <c r="HY12" s="123"/>
      <c r="HZ12" s="123"/>
      <c r="IA12" s="123"/>
      <c r="IB12" s="123"/>
      <c r="IC12" s="123"/>
      <c r="ID12" s="123"/>
      <c r="IE12" s="123"/>
      <c r="IF12" s="123"/>
      <c r="IG12" s="123"/>
      <c r="IH12" s="123"/>
      <c r="II12" s="123"/>
      <c r="IJ12" s="123"/>
      <c r="IK12" s="123"/>
      <c r="IL12" s="123"/>
      <c r="IM12" s="123"/>
      <c r="IN12" s="123"/>
      <c r="IO12" s="123"/>
      <c r="IP12" s="123"/>
      <c r="IQ12" s="123"/>
      <c r="IR12" s="123"/>
      <c r="IS12" s="123"/>
      <c r="IT12" s="123"/>
      <c r="IU12" s="123"/>
      <c r="IV12" s="123"/>
      <c r="IW12" s="123"/>
    </row>
    <row r="13" customFormat="false" ht="18" hidden="false" customHeight="false" outlineLevel="0" collapsed="false">
      <c r="A13" s="176" t="s">
        <v>21</v>
      </c>
      <c r="B13" s="177"/>
      <c r="C13" s="177"/>
      <c r="D13" s="177"/>
      <c r="E13" s="177"/>
      <c r="F13" s="178" t="n">
        <f aca="false">SUM(F7:F11)</f>
        <v>-6885000</v>
      </c>
      <c r="G13" s="178" t="n">
        <f aca="false">SUM(G7:G11)</f>
        <v>-6890000</v>
      </c>
      <c r="H13" s="178" t="n">
        <f aca="false">SUM(H7:H11)</f>
        <v>-13775000</v>
      </c>
      <c r="I13" s="178" t="n">
        <f aca="false">SUM(I7:I11)</f>
        <v>-32995814.8670934</v>
      </c>
      <c r="J13" s="178" t="n">
        <f aca="false">SUM(J7:J11)</f>
        <v>-33164166.2430794</v>
      </c>
      <c r="K13" s="178" t="n">
        <f aca="false">SUM(K7:K11)</f>
        <v>-66159981.1101727</v>
      </c>
      <c r="L13" s="177"/>
      <c r="M13" s="177"/>
      <c r="N13" s="179" t="n">
        <f aca="false">SUM(N7:N11)</f>
        <v>3572181.89522711</v>
      </c>
      <c r="O13" s="179" t="n">
        <f aca="false">SUM(O7:O11)</f>
        <v>-64476.4673503129</v>
      </c>
      <c r="P13" s="179" t="n">
        <f aca="false">SUM(P7:P11)</f>
        <v>0</v>
      </c>
      <c r="Q13" s="179" t="n">
        <f aca="false">SUM(Q7:Q11)</f>
        <v>-64476.4673503129</v>
      </c>
      <c r="R13" s="178" t="n">
        <f aca="false">SUM(R7:R11)</f>
        <v>-32995814.8670934</v>
      </c>
      <c r="S13" s="179" t="n">
        <f aca="false">SUM(S7:S11)</f>
        <v>-1319832.59468373</v>
      </c>
      <c r="T13" s="179" t="n">
        <f aca="false">SUM(T7:T11)</f>
        <v>-2183279.3766357</v>
      </c>
      <c r="U13" s="179" t="n">
        <f aca="false">SUM(U7:U11)</f>
        <v>-3567588.43866975</v>
      </c>
      <c r="V13" s="180" t="n">
        <f aca="false">SUM(V7:V11)</f>
        <v>4593.45655735955</v>
      </c>
      <c r="W13" s="181"/>
      <c r="X13" s="181"/>
      <c r="Y13" s="181"/>
      <c r="Z13" s="181"/>
      <c r="AA13" s="181"/>
      <c r="AB13" s="181"/>
      <c r="AC13" s="181"/>
      <c r="AD13" s="181"/>
      <c r="AE13" s="181"/>
      <c r="AF13" s="181"/>
      <c r="AG13" s="181"/>
      <c r="AH13" s="181"/>
      <c r="AI13" s="181"/>
      <c r="AJ13" s="181"/>
      <c r="AK13" s="181"/>
      <c r="AL13" s="181"/>
      <c r="AM13" s="181"/>
      <c r="AN13" s="181"/>
      <c r="AO13" s="181"/>
      <c r="AP13" s="181"/>
      <c r="AQ13" s="181"/>
      <c r="AR13" s="181"/>
      <c r="AS13" s="181"/>
      <c r="AT13" s="181"/>
      <c r="AU13" s="181"/>
      <c r="AV13" s="181"/>
      <c r="AW13" s="181"/>
      <c r="AX13" s="181"/>
      <c r="AY13" s="181"/>
      <c r="AZ13" s="181"/>
      <c r="BA13" s="181"/>
      <c r="BB13" s="181"/>
      <c r="BC13" s="181"/>
      <c r="BD13" s="181"/>
      <c r="BE13" s="181"/>
      <c r="BF13" s="181"/>
      <c r="BG13" s="181"/>
      <c r="BH13" s="181"/>
      <c r="BI13" s="181"/>
      <c r="BJ13" s="181"/>
      <c r="BK13" s="181"/>
      <c r="BL13" s="181"/>
      <c r="BM13" s="181"/>
      <c r="BN13" s="181"/>
      <c r="BO13" s="181"/>
      <c r="BP13" s="181"/>
      <c r="BQ13" s="181"/>
      <c r="BR13" s="181"/>
      <c r="BS13" s="181"/>
      <c r="BT13" s="181"/>
      <c r="BU13" s="181"/>
      <c r="BV13" s="181"/>
      <c r="BW13" s="181"/>
      <c r="BX13" s="181"/>
      <c r="BY13" s="181"/>
      <c r="BZ13" s="181"/>
      <c r="CA13" s="181"/>
      <c r="CB13" s="181"/>
      <c r="CC13" s="181"/>
      <c r="CD13" s="181"/>
      <c r="CE13" s="181"/>
      <c r="CF13" s="181"/>
      <c r="CG13" s="181"/>
      <c r="CH13" s="181"/>
      <c r="CI13" s="181"/>
      <c r="CJ13" s="181"/>
      <c r="CK13" s="181"/>
      <c r="CL13" s="181"/>
      <c r="CM13" s="181"/>
      <c r="CN13" s="181"/>
      <c r="CO13" s="181"/>
      <c r="CP13" s="181"/>
      <c r="CQ13" s="181"/>
      <c r="CR13" s="181"/>
      <c r="CS13" s="181"/>
      <c r="CT13" s="181"/>
      <c r="CU13" s="181"/>
      <c r="CV13" s="181"/>
      <c r="CW13" s="181"/>
      <c r="CX13" s="181"/>
      <c r="CY13" s="181"/>
      <c r="CZ13" s="181"/>
      <c r="DA13" s="181"/>
      <c r="DB13" s="181"/>
      <c r="DC13" s="181"/>
      <c r="DD13" s="181"/>
      <c r="DE13" s="181"/>
      <c r="DF13" s="181"/>
      <c r="DG13" s="181"/>
      <c r="DH13" s="181"/>
      <c r="DI13" s="181"/>
      <c r="DJ13" s="181"/>
      <c r="DK13" s="181"/>
      <c r="DL13" s="181"/>
      <c r="DM13" s="181"/>
      <c r="DN13" s="181"/>
      <c r="DO13" s="181"/>
      <c r="DP13" s="181"/>
      <c r="DQ13" s="181"/>
      <c r="DR13" s="181"/>
      <c r="DS13" s="181"/>
      <c r="DT13" s="181"/>
      <c r="DU13" s="181"/>
      <c r="DV13" s="181"/>
      <c r="DW13" s="181"/>
      <c r="DX13" s="181"/>
      <c r="DY13" s="181"/>
      <c r="DZ13" s="181"/>
      <c r="EA13" s="181"/>
      <c r="EB13" s="181"/>
      <c r="EC13" s="181"/>
      <c r="ED13" s="181"/>
      <c r="EE13" s="181"/>
      <c r="EF13" s="181"/>
      <c r="EG13" s="181"/>
      <c r="EH13" s="181"/>
      <c r="EI13" s="181"/>
      <c r="EJ13" s="181"/>
      <c r="EK13" s="181"/>
      <c r="EL13" s="181"/>
      <c r="EM13" s="181"/>
      <c r="EN13" s="181"/>
      <c r="EO13" s="181"/>
      <c r="EP13" s="181"/>
      <c r="EQ13" s="181"/>
      <c r="ER13" s="181"/>
      <c r="ES13" s="181"/>
      <c r="ET13" s="181"/>
      <c r="EU13" s="181"/>
      <c r="EV13" s="181"/>
      <c r="EW13" s="181"/>
      <c r="EX13" s="181"/>
      <c r="EY13" s="181"/>
      <c r="EZ13" s="181"/>
      <c r="FA13" s="181"/>
      <c r="FB13" s="181"/>
      <c r="FC13" s="181"/>
      <c r="FD13" s="181"/>
      <c r="FE13" s="181"/>
      <c r="FF13" s="181"/>
      <c r="FG13" s="181"/>
      <c r="FH13" s="181"/>
      <c r="FI13" s="181"/>
      <c r="FJ13" s="181"/>
      <c r="FK13" s="181"/>
      <c r="FL13" s="181"/>
      <c r="FM13" s="181"/>
      <c r="FN13" s="181"/>
      <c r="FO13" s="181"/>
      <c r="FP13" s="181"/>
      <c r="FQ13" s="181"/>
      <c r="FR13" s="181"/>
      <c r="FS13" s="181"/>
      <c r="FT13" s="181"/>
      <c r="FU13" s="181"/>
      <c r="FV13" s="181"/>
      <c r="FW13" s="181"/>
      <c r="FX13" s="181"/>
      <c r="FY13" s="181"/>
      <c r="FZ13" s="181"/>
      <c r="GA13" s="181"/>
      <c r="GB13" s="181"/>
      <c r="GC13" s="181"/>
      <c r="GD13" s="181"/>
      <c r="GE13" s="181"/>
      <c r="GF13" s="181"/>
      <c r="GG13" s="181"/>
      <c r="GH13" s="181"/>
      <c r="GI13" s="181"/>
      <c r="GJ13" s="181"/>
      <c r="GK13" s="181"/>
      <c r="GL13" s="181"/>
      <c r="GM13" s="181"/>
      <c r="GN13" s="181"/>
      <c r="GO13" s="181"/>
      <c r="GP13" s="181"/>
      <c r="GQ13" s="181"/>
      <c r="GR13" s="181"/>
      <c r="GS13" s="181"/>
      <c r="GT13" s="181"/>
      <c r="GU13" s="181"/>
      <c r="GV13" s="181"/>
      <c r="GW13" s="181"/>
      <c r="GX13" s="181"/>
      <c r="GY13" s="181"/>
      <c r="GZ13" s="181"/>
      <c r="HA13" s="181"/>
      <c r="HB13" s="181"/>
      <c r="HC13" s="181"/>
      <c r="HD13" s="181"/>
      <c r="HE13" s="181"/>
      <c r="HF13" s="181"/>
      <c r="HG13" s="181"/>
      <c r="HH13" s="181"/>
      <c r="HI13" s="181"/>
      <c r="HJ13" s="181"/>
      <c r="HK13" s="181"/>
      <c r="HL13" s="181"/>
      <c r="HM13" s="181"/>
      <c r="HN13" s="181"/>
      <c r="HO13" s="181"/>
      <c r="HP13" s="181"/>
      <c r="HQ13" s="181"/>
      <c r="HR13" s="181"/>
      <c r="HS13" s="181"/>
      <c r="HT13" s="181"/>
      <c r="HU13" s="181"/>
      <c r="HV13" s="181"/>
      <c r="HW13" s="181"/>
      <c r="HX13" s="181"/>
      <c r="HY13" s="181"/>
      <c r="HZ13" s="181"/>
      <c r="IA13" s="181"/>
      <c r="IB13" s="181"/>
      <c r="IC13" s="181"/>
      <c r="ID13" s="181"/>
      <c r="IE13" s="181"/>
      <c r="IF13" s="181"/>
      <c r="IG13" s="181"/>
      <c r="IH13" s="181"/>
      <c r="II13" s="181"/>
      <c r="IJ13" s="181"/>
      <c r="IK13" s="181"/>
      <c r="IL13" s="181"/>
      <c r="IM13" s="181"/>
      <c r="IN13" s="181"/>
      <c r="IO13" s="181"/>
      <c r="IP13" s="181"/>
      <c r="IQ13" s="181"/>
      <c r="IR13" s="181"/>
      <c r="IS13" s="181"/>
      <c r="IT13" s="181"/>
      <c r="IU13" s="181"/>
      <c r="IV13" s="181"/>
      <c r="IW13" s="181"/>
    </row>
    <row r="14" customFormat="false" ht="15" hidden="false" customHeight="false" outlineLevel="0" collapsed="false">
      <c r="A14" s="98" t="s">
        <v>104</v>
      </c>
      <c r="B14" s="182"/>
      <c r="C14" s="182"/>
      <c r="D14" s="182"/>
      <c r="E14" s="182"/>
      <c r="F14" s="182"/>
      <c r="G14" s="182"/>
      <c r="H14" s="182"/>
      <c r="I14" s="182"/>
      <c r="J14" s="182"/>
      <c r="K14" s="182"/>
      <c r="L14" s="182"/>
      <c r="M14" s="182"/>
      <c r="N14" s="183" t="n">
        <f aca="false">-N13/$K$13</f>
        <v>0.0539930912204848</v>
      </c>
      <c r="O14" s="183"/>
      <c r="P14" s="183"/>
      <c r="Q14" s="183" t="n">
        <f aca="false">-Q13/$K$13</f>
        <v>-0.000974553896001627</v>
      </c>
      <c r="R14" s="183"/>
      <c r="S14" s="183" t="n">
        <f aca="false">-S13/$K$13</f>
        <v>-0.0199491077920033</v>
      </c>
      <c r="T14" s="183" t="n">
        <f aca="false">-T13/$K$13</f>
        <v>-0.033</v>
      </c>
      <c r="U14" s="183" t="n">
        <f aca="false">-U13/$K$13</f>
        <v>-0.0539236616880049</v>
      </c>
      <c r="V14" s="184" t="n">
        <f aca="false">-V13/$K$13</f>
        <v>6.94295324799187E-005</v>
      </c>
      <c r="W14" s="123"/>
      <c r="AC14" s="123"/>
      <c r="AD14" s="123"/>
      <c r="AE14" s="123"/>
      <c r="AF14" s="123"/>
      <c r="AG14" s="123"/>
      <c r="AH14" s="123"/>
      <c r="AI14" s="123"/>
      <c r="AJ14" s="123"/>
      <c r="AK14" s="123"/>
      <c r="AL14" s="123"/>
      <c r="AM14" s="123"/>
      <c r="AN14" s="123"/>
      <c r="AO14" s="123"/>
      <c r="AP14" s="123"/>
      <c r="AQ14" s="123"/>
      <c r="AR14" s="123"/>
      <c r="AS14" s="123"/>
      <c r="AT14" s="123"/>
      <c r="AU14" s="123"/>
      <c r="AV14" s="123"/>
      <c r="AW14" s="123"/>
      <c r="AX14" s="123"/>
      <c r="AY14" s="123"/>
      <c r="AZ14" s="123"/>
      <c r="BA14" s="123"/>
      <c r="BB14" s="123"/>
      <c r="BC14" s="123"/>
      <c r="BD14" s="123"/>
      <c r="BE14" s="123"/>
      <c r="BF14" s="123"/>
      <c r="BG14" s="123"/>
      <c r="BH14" s="123"/>
      <c r="BI14" s="123"/>
      <c r="BJ14" s="123"/>
      <c r="BK14" s="123"/>
      <c r="BL14" s="123"/>
      <c r="BM14" s="123"/>
      <c r="BN14" s="123"/>
      <c r="BO14" s="123"/>
      <c r="BP14" s="123"/>
      <c r="BQ14" s="123"/>
      <c r="BR14" s="123"/>
      <c r="BS14" s="123"/>
      <c r="BT14" s="123"/>
      <c r="BU14" s="123"/>
      <c r="BV14" s="123"/>
      <c r="BW14" s="123"/>
      <c r="BX14" s="123"/>
      <c r="BY14" s="123"/>
      <c r="BZ14" s="123"/>
      <c r="CA14" s="123"/>
      <c r="CB14" s="123"/>
      <c r="CC14" s="123"/>
      <c r="CD14" s="123"/>
      <c r="CE14" s="123"/>
      <c r="CF14" s="123"/>
      <c r="CG14" s="123"/>
      <c r="CH14" s="123"/>
      <c r="CI14" s="123"/>
      <c r="CJ14" s="123"/>
      <c r="CK14" s="123"/>
      <c r="CL14" s="123"/>
      <c r="CM14" s="123"/>
      <c r="CN14" s="123"/>
      <c r="CO14" s="123"/>
      <c r="CP14" s="123"/>
      <c r="CQ14" s="123"/>
      <c r="CR14" s="123"/>
      <c r="CS14" s="123"/>
      <c r="CT14" s="123"/>
      <c r="CU14" s="123"/>
      <c r="CV14" s="123"/>
      <c r="CW14" s="123"/>
      <c r="CX14" s="123"/>
      <c r="CY14" s="123"/>
      <c r="CZ14" s="123"/>
      <c r="DA14" s="123"/>
      <c r="DB14" s="123"/>
      <c r="DC14" s="123"/>
      <c r="DD14" s="123"/>
      <c r="DE14" s="123"/>
      <c r="DF14" s="123"/>
      <c r="DG14" s="123"/>
      <c r="DH14" s="123"/>
      <c r="DI14" s="123"/>
      <c r="DJ14" s="123"/>
      <c r="DK14" s="123"/>
      <c r="DL14" s="123"/>
      <c r="DM14" s="123"/>
      <c r="DN14" s="123"/>
      <c r="DO14" s="123"/>
      <c r="DP14" s="123"/>
      <c r="DQ14" s="123"/>
      <c r="DR14" s="123"/>
      <c r="DS14" s="123"/>
      <c r="DT14" s="123"/>
      <c r="DU14" s="123"/>
      <c r="DV14" s="123"/>
      <c r="DW14" s="123"/>
      <c r="DX14" s="123"/>
      <c r="DY14" s="123"/>
      <c r="DZ14" s="123"/>
      <c r="EA14" s="123"/>
      <c r="EB14" s="123"/>
      <c r="EC14" s="123"/>
      <c r="ED14" s="123"/>
      <c r="EE14" s="123"/>
      <c r="EF14" s="123"/>
      <c r="EG14" s="123"/>
      <c r="EH14" s="123"/>
      <c r="EI14" s="123"/>
      <c r="EJ14" s="123"/>
      <c r="EK14" s="123"/>
      <c r="EL14" s="123"/>
      <c r="EM14" s="123"/>
      <c r="EN14" s="123"/>
      <c r="EO14" s="123"/>
      <c r="EP14" s="123"/>
      <c r="EQ14" s="123"/>
      <c r="ER14" s="123"/>
      <c r="ES14" s="123"/>
      <c r="ET14" s="123"/>
      <c r="EU14" s="123"/>
      <c r="EV14" s="123"/>
      <c r="EW14" s="123"/>
      <c r="EX14" s="123"/>
      <c r="EY14" s="123"/>
      <c r="EZ14" s="123"/>
      <c r="FA14" s="123"/>
      <c r="FB14" s="123"/>
      <c r="FC14" s="123"/>
      <c r="FD14" s="123"/>
      <c r="FE14" s="123"/>
      <c r="FF14" s="123"/>
      <c r="FG14" s="123"/>
      <c r="FH14" s="123"/>
      <c r="FI14" s="123"/>
      <c r="FJ14" s="123"/>
      <c r="FK14" s="123"/>
      <c r="FL14" s="123"/>
      <c r="FM14" s="123"/>
      <c r="FN14" s="123"/>
      <c r="FO14" s="123"/>
      <c r="FP14" s="123"/>
      <c r="FQ14" s="123"/>
      <c r="FR14" s="123"/>
      <c r="FS14" s="123"/>
      <c r="FT14" s="123"/>
      <c r="FU14" s="123"/>
      <c r="FV14" s="123"/>
      <c r="FW14" s="123"/>
      <c r="FX14" s="123"/>
      <c r="FY14" s="123"/>
      <c r="FZ14" s="123"/>
      <c r="GA14" s="123"/>
      <c r="GB14" s="123"/>
      <c r="GC14" s="123"/>
      <c r="GD14" s="123"/>
      <c r="GE14" s="123"/>
      <c r="GF14" s="123"/>
      <c r="GG14" s="123"/>
      <c r="GH14" s="123"/>
      <c r="GI14" s="123"/>
      <c r="GJ14" s="123"/>
      <c r="GK14" s="123"/>
      <c r="GL14" s="123"/>
      <c r="GM14" s="123"/>
      <c r="GN14" s="123"/>
      <c r="GO14" s="123"/>
      <c r="GP14" s="123"/>
      <c r="GQ14" s="123"/>
      <c r="GR14" s="123"/>
      <c r="GS14" s="123"/>
      <c r="GT14" s="123"/>
      <c r="GU14" s="123"/>
      <c r="GV14" s="123"/>
      <c r="GW14" s="123"/>
      <c r="GX14" s="123"/>
      <c r="GY14" s="123"/>
      <c r="GZ14" s="123"/>
      <c r="HA14" s="123"/>
      <c r="HB14" s="123"/>
      <c r="HC14" s="123"/>
      <c r="HD14" s="123"/>
      <c r="HE14" s="123"/>
      <c r="HF14" s="123"/>
      <c r="HG14" s="123"/>
      <c r="HH14" s="123"/>
      <c r="HI14" s="123"/>
      <c r="HJ14" s="123"/>
      <c r="HK14" s="123"/>
      <c r="HL14" s="123"/>
      <c r="HM14" s="123"/>
      <c r="HN14" s="123"/>
      <c r="HO14" s="123"/>
      <c r="HP14" s="123"/>
      <c r="HQ14" s="123"/>
      <c r="HR14" s="123"/>
      <c r="HS14" s="123"/>
      <c r="HT14" s="123"/>
      <c r="HU14" s="123"/>
      <c r="HV14" s="123"/>
      <c r="HW14" s="123"/>
      <c r="HX14" s="123"/>
      <c r="HY14" s="123"/>
      <c r="HZ14" s="123"/>
      <c r="IA14" s="123"/>
      <c r="IB14" s="123"/>
      <c r="IC14" s="123"/>
      <c r="ID14" s="123"/>
      <c r="IE14" s="123"/>
      <c r="IF14" s="123"/>
      <c r="IG14" s="123"/>
      <c r="IH14" s="123"/>
      <c r="II14" s="123"/>
      <c r="IJ14" s="123"/>
      <c r="IK14" s="123"/>
      <c r="IL14" s="123"/>
      <c r="IM14" s="123"/>
      <c r="IN14" s="123"/>
      <c r="IO14" s="123"/>
      <c r="IP14" s="123"/>
      <c r="IQ14" s="123"/>
      <c r="IR14" s="123"/>
      <c r="IS14" s="123"/>
      <c r="IT14" s="123"/>
      <c r="IU14" s="123"/>
      <c r="IV14" s="123"/>
      <c r="IW14" s="123"/>
    </row>
    <row r="17" customFormat="false" ht="15.75" hidden="false" customHeight="true" outlineLevel="0" collapsed="false">
      <c r="L17" s="185"/>
      <c r="M17" s="185"/>
    </row>
    <row r="18" customFormat="false" ht="18" hidden="false" customHeight="false" outlineLevel="0" collapsed="false">
      <c r="A18" s="186"/>
      <c r="B18" s="186"/>
      <c r="C18" s="186" t="s">
        <v>105</v>
      </c>
      <c r="D18" s="187" t="n">
        <v>1</v>
      </c>
      <c r="E18" s="186" t="s">
        <v>106</v>
      </c>
      <c r="F18" s="186"/>
      <c r="G18" s="186"/>
      <c r="H18" s="186"/>
      <c r="I18" s="186"/>
      <c r="J18" s="186"/>
      <c r="K18" s="186"/>
      <c r="L18" s="185"/>
      <c r="M18" s="185"/>
      <c r="P18" s="186"/>
      <c r="Q18" s="186"/>
      <c r="R18" s="186"/>
      <c r="S18" s="186"/>
      <c r="T18" s="186"/>
      <c r="U18" s="186"/>
      <c r="V18" s="186"/>
      <c r="W18" s="186"/>
      <c r="X18" s="186"/>
      <c r="Y18" s="186"/>
      <c r="Z18" s="186"/>
      <c r="AA18" s="186"/>
      <c r="AB18" s="186"/>
      <c r="AC18" s="186"/>
      <c r="AD18" s="186"/>
      <c r="AE18" s="186"/>
      <c r="AF18" s="186"/>
      <c r="AG18" s="186"/>
      <c r="AH18" s="186"/>
      <c r="AI18" s="186"/>
      <c r="AJ18" s="186"/>
      <c r="AK18" s="186"/>
      <c r="AL18" s="186"/>
      <c r="AM18" s="186"/>
      <c r="AN18" s="186"/>
      <c r="AO18" s="186"/>
      <c r="AP18" s="186"/>
      <c r="AQ18" s="186"/>
      <c r="AR18" s="186"/>
      <c r="AS18" s="186"/>
      <c r="AT18" s="186"/>
      <c r="AU18" s="186"/>
      <c r="AV18" s="186"/>
      <c r="AW18" s="186"/>
      <c r="AX18" s="186"/>
      <c r="AY18" s="186"/>
      <c r="AZ18" s="186"/>
      <c r="BA18" s="186"/>
      <c r="BB18" s="186"/>
      <c r="BC18" s="186"/>
      <c r="BD18" s="186"/>
      <c r="BE18" s="186"/>
      <c r="BF18" s="186"/>
      <c r="BG18" s="186"/>
      <c r="BH18" s="186"/>
      <c r="BI18" s="186"/>
      <c r="BJ18" s="186"/>
      <c r="BK18" s="186"/>
      <c r="BL18" s="186"/>
      <c r="BM18" s="186"/>
      <c r="BN18" s="186"/>
      <c r="BO18" s="186"/>
      <c r="BP18" s="186"/>
      <c r="BQ18" s="186"/>
      <c r="BR18" s="186"/>
      <c r="BS18" s="186"/>
      <c r="BT18" s="186"/>
      <c r="BU18" s="186"/>
      <c r="BV18" s="186"/>
      <c r="BW18" s="186"/>
      <c r="BX18" s="186"/>
      <c r="BY18" s="186"/>
      <c r="BZ18" s="186"/>
      <c r="CA18" s="186"/>
      <c r="CB18" s="186"/>
      <c r="CC18" s="186"/>
      <c r="CD18" s="186"/>
      <c r="CE18" s="186"/>
      <c r="CF18" s="186"/>
      <c r="CG18" s="186"/>
      <c r="CH18" s="186"/>
      <c r="CI18" s="186"/>
      <c r="CJ18" s="186"/>
      <c r="CK18" s="186"/>
      <c r="CL18" s="186"/>
      <c r="CM18" s="186"/>
      <c r="CN18" s="186"/>
      <c r="CO18" s="186"/>
      <c r="CP18" s="186"/>
      <c r="CQ18" s="186"/>
      <c r="CR18" s="186"/>
      <c r="CS18" s="186"/>
      <c r="CT18" s="186"/>
      <c r="CU18" s="186"/>
      <c r="CV18" s="186"/>
      <c r="CW18" s="186"/>
      <c r="CX18" s="186"/>
      <c r="CY18" s="186"/>
      <c r="CZ18" s="186"/>
      <c r="DA18" s="186"/>
      <c r="DB18" s="186"/>
      <c r="DC18" s="186"/>
      <c r="DD18" s="186"/>
      <c r="DE18" s="186"/>
      <c r="DF18" s="186"/>
      <c r="DG18" s="186"/>
      <c r="DH18" s="186"/>
      <c r="DI18" s="186"/>
      <c r="DJ18" s="186"/>
      <c r="DK18" s="186"/>
      <c r="DL18" s="186"/>
      <c r="DM18" s="186"/>
      <c r="DN18" s="186"/>
      <c r="DO18" s="186"/>
      <c r="DP18" s="186"/>
      <c r="DQ18" s="186"/>
      <c r="DR18" s="186"/>
      <c r="DS18" s="186"/>
      <c r="DT18" s="186"/>
      <c r="DU18" s="186"/>
      <c r="DV18" s="186"/>
      <c r="DW18" s="186"/>
      <c r="DX18" s="186"/>
      <c r="DY18" s="186"/>
      <c r="DZ18" s="186"/>
      <c r="EA18" s="186"/>
      <c r="EB18" s="186"/>
      <c r="EC18" s="186"/>
      <c r="ED18" s="186"/>
      <c r="EE18" s="186"/>
      <c r="EF18" s="186"/>
      <c r="EG18" s="186"/>
      <c r="EH18" s="186"/>
      <c r="EI18" s="186"/>
      <c r="EJ18" s="186"/>
      <c r="EK18" s="186"/>
      <c r="EL18" s="186"/>
      <c r="EM18" s="186"/>
      <c r="EN18" s="186"/>
      <c r="EO18" s="186"/>
      <c r="EP18" s="186"/>
      <c r="EQ18" s="186"/>
      <c r="ER18" s="186"/>
      <c r="ES18" s="186"/>
      <c r="ET18" s="186"/>
      <c r="EU18" s="186"/>
      <c r="EV18" s="186"/>
      <c r="EW18" s="186"/>
      <c r="EX18" s="186"/>
      <c r="EY18" s="186"/>
      <c r="EZ18" s="186"/>
      <c r="FA18" s="186"/>
      <c r="FB18" s="186"/>
      <c r="FC18" s="186"/>
      <c r="FD18" s="186"/>
      <c r="FE18" s="186"/>
      <c r="FF18" s="186"/>
      <c r="FG18" s="186"/>
      <c r="FH18" s="186"/>
      <c r="FI18" s="186"/>
      <c r="FJ18" s="186"/>
      <c r="FK18" s="186"/>
      <c r="FL18" s="186"/>
      <c r="FM18" s="186"/>
      <c r="FN18" s="186"/>
      <c r="FO18" s="186"/>
      <c r="FP18" s="186"/>
      <c r="FQ18" s="186"/>
      <c r="FR18" s="186"/>
      <c r="FS18" s="186"/>
      <c r="FT18" s="186"/>
      <c r="FU18" s="186"/>
      <c r="FV18" s="186"/>
      <c r="FW18" s="186"/>
      <c r="FX18" s="186"/>
      <c r="FY18" s="186"/>
      <c r="FZ18" s="186"/>
      <c r="GA18" s="186"/>
      <c r="GB18" s="186"/>
      <c r="GC18" s="186"/>
      <c r="GD18" s="186"/>
      <c r="GE18" s="186"/>
      <c r="GF18" s="186"/>
      <c r="GG18" s="186"/>
      <c r="GH18" s="186"/>
      <c r="GI18" s="186"/>
      <c r="GJ18" s="186"/>
      <c r="GK18" s="186"/>
      <c r="GL18" s="186"/>
      <c r="GM18" s="186"/>
      <c r="GN18" s="186"/>
      <c r="GO18" s="186"/>
      <c r="GP18" s="186"/>
      <c r="GQ18" s="186"/>
      <c r="GR18" s="186"/>
      <c r="GS18" s="186"/>
      <c r="GT18" s="186"/>
      <c r="GU18" s="186"/>
      <c r="GV18" s="186"/>
      <c r="GW18" s="186"/>
      <c r="GX18" s="186"/>
      <c r="GY18" s="186"/>
      <c r="GZ18" s="186"/>
      <c r="HA18" s="186"/>
      <c r="HB18" s="186"/>
      <c r="HC18" s="186"/>
      <c r="HD18" s="186"/>
      <c r="HE18" s="186"/>
      <c r="HF18" s="186"/>
      <c r="HG18" s="186"/>
      <c r="HH18" s="186"/>
      <c r="HI18" s="186"/>
      <c r="HJ18" s="186"/>
      <c r="HK18" s="186"/>
      <c r="HL18" s="186"/>
      <c r="HM18" s="186"/>
      <c r="HN18" s="186"/>
      <c r="HO18" s="186"/>
      <c r="HP18" s="186"/>
      <c r="HQ18" s="186"/>
      <c r="HR18" s="186"/>
      <c r="HS18" s="186"/>
      <c r="HT18" s="186"/>
      <c r="HU18" s="186"/>
      <c r="HV18" s="186"/>
      <c r="HW18" s="186"/>
      <c r="HX18" s="186"/>
      <c r="HY18" s="186"/>
      <c r="HZ18" s="186"/>
      <c r="IA18" s="186"/>
      <c r="IB18" s="186"/>
      <c r="IC18" s="186"/>
      <c r="ID18" s="186"/>
      <c r="IE18" s="186"/>
      <c r="IF18" s="186"/>
      <c r="IG18" s="186"/>
      <c r="IH18" s="186"/>
      <c r="II18" s="186"/>
      <c r="IJ18" s="186"/>
      <c r="IK18" s="186"/>
      <c r="IL18" s="186"/>
      <c r="IM18" s="186"/>
      <c r="IN18" s="186"/>
      <c r="IO18" s="186"/>
      <c r="IP18" s="186"/>
      <c r="IQ18" s="186"/>
      <c r="IR18" s="186"/>
      <c r="IS18" s="186"/>
      <c r="IT18" s="186"/>
      <c r="IU18" s="186"/>
      <c r="IV18" s="186"/>
      <c r="IW18" s="186"/>
    </row>
    <row r="19" customFormat="false" ht="18" hidden="false" customHeight="false" outlineLevel="0" collapsed="false">
      <c r="A19" s="186"/>
      <c r="B19" s="186"/>
      <c r="C19" s="186" t="s">
        <v>92</v>
      </c>
      <c r="D19" s="188" t="n">
        <v>12</v>
      </c>
      <c r="E19" s="186"/>
      <c r="F19" s="186"/>
      <c r="G19" s="186"/>
      <c r="H19" s="186"/>
      <c r="I19" s="186"/>
      <c r="J19" s="186"/>
      <c r="K19" s="186"/>
      <c r="L19" s="185"/>
      <c r="M19" s="185"/>
      <c r="P19" s="186"/>
      <c r="Q19" s="186"/>
      <c r="R19" s="186"/>
      <c r="S19" s="186"/>
      <c r="T19" s="186"/>
      <c r="U19" s="186"/>
      <c r="V19" s="186"/>
      <c r="W19" s="186"/>
      <c r="X19" s="186"/>
      <c r="Y19" s="186"/>
      <c r="Z19" s="186"/>
      <c r="AA19" s="186"/>
      <c r="AB19" s="186"/>
      <c r="AC19" s="186"/>
      <c r="AD19" s="186"/>
      <c r="AE19" s="186"/>
      <c r="AF19" s="186"/>
      <c r="AG19" s="186"/>
      <c r="AH19" s="186"/>
      <c r="AI19" s="186"/>
      <c r="AJ19" s="186"/>
      <c r="AK19" s="186"/>
      <c r="AL19" s="186"/>
      <c r="AM19" s="186"/>
      <c r="AN19" s="186"/>
      <c r="AO19" s="186"/>
      <c r="AP19" s="186"/>
      <c r="AQ19" s="186"/>
      <c r="AR19" s="186"/>
      <c r="AS19" s="186"/>
      <c r="AT19" s="186"/>
      <c r="AU19" s="186"/>
      <c r="AV19" s="186"/>
      <c r="AW19" s="186"/>
      <c r="AX19" s="186"/>
      <c r="AY19" s="186"/>
      <c r="AZ19" s="186"/>
      <c r="BA19" s="186"/>
      <c r="BB19" s="186"/>
      <c r="BC19" s="186"/>
      <c r="BD19" s="186"/>
      <c r="BE19" s="186"/>
      <c r="BF19" s="186"/>
      <c r="BG19" s="186"/>
      <c r="BH19" s="186"/>
      <c r="BI19" s="186"/>
      <c r="BJ19" s="186"/>
      <c r="BK19" s="186"/>
      <c r="BL19" s="186"/>
      <c r="BM19" s="186"/>
      <c r="BN19" s="186"/>
      <c r="BO19" s="186"/>
      <c r="BP19" s="186"/>
      <c r="BQ19" s="186"/>
      <c r="BR19" s="186"/>
      <c r="BS19" s="186"/>
      <c r="BT19" s="186"/>
      <c r="BU19" s="186"/>
      <c r="BV19" s="186"/>
      <c r="BW19" s="186"/>
      <c r="BX19" s="186"/>
      <c r="BY19" s="186"/>
      <c r="BZ19" s="186"/>
      <c r="CA19" s="186"/>
      <c r="CB19" s="186"/>
      <c r="CC19" s="186"/>
      <c r="CD19" s="186"/>
      <c r="CE19" s="186"/>
      <c r="CF19" s="186"/>
      <c r="CG19" s="186"/>
      <c r="CH19" s="186"/>
      <c r="CI19" s="186"/>
      <c r="CJ19" s="186"/>
      <c r="CK19" s="186"/>
      <c r="CL19" s="186"/>
      <c r="CM19" s="186"/>
      <c r="CN19" s="186"/>
      <c r="CO19" s="186"/>
      <c r="CP19" s="186"/>
      <c r="CQ19" s="186"/>
      <c r="CR19" s="186"/>
      <c r="CS19" s="186"/>
      <c r="CT19" s="186"/>
      <c r="CU19" s="186"/>
      <c r="CV19" s="186"/>
      <c r="CW19" s="186"/>
      <c r="CX19" s="186"/>
      <c r="CY19" s="186"/>
      <c r="CZ19" s="186"/>
      <c r="DA19" s="186"/>
      <c r="DB19" s="186"/>
      <c r="DC19" s="186"/>
      <c r="DD19" s="186"/>
      <c r="DE19" s="186"/>
      <c r="DF19" s="186"/>
      <c r="DG19" s="186"/>
      <c r="DH19" s="186"/>
      <c r="DI19" s="186"/>
      <c r="DJ19" s="186"/>
      <c r="DK19" s="186"/>
      <c r="DL19" s="186"/>
      <c r="DM19" s="186"/>
      <c r="DN19" s="186"/>
      <c r="DO19" s="186"/>
      <c r="DP19" s="186"/>
      <c r="DQ19" s="186"/>
      <c r="DR19" s="186"/>
      <c r="DS19" s="186"/>
      <c r="DT19" s="186"/>
      <c r="DU19" s="186"/>
      <c r="DV19" s="186"/>
      <c r="DW19" s="186"/>
      <c r="DX19" s="186"/>
      <c r="DY19" s="186"/>
      <c r="DZ19" s="186"/>
      <c r="EA19" s="186"/>
      <c r="EB19" s="186"/>
      <c r="EC19" s="186"/>
      <c r="ED19" s="186"/>
      <c r="EE19" s="186"/>
      <c r="EF19" s="186"/>
      <c r="EG19" s="186"/>
      <c r="EH19" s="186"/>
      <c r="EI19" s="186"/>
      <c r="EJ19" s="186"/>
      <c r="EK19" s="186"/>
      <c r="EL19" s="186"/>
      <c r="EM19" s="186"/>
      <c r="EN19" s="186"/>
      <c r="EO19" s="186"/>
      <c r="EP19" s="186"/>
      <c r="EQ19" s="186"/>
      <c r="ER19" s="186"/>
      <c r="ES19" s="186"/>
      <c r="ET19" s="186"/>
      <c r="EU19" s="186"/>
      <c r="EV19" s="186"/>
      <c r="EW19" s="186"/>
      <c r="EX19" s="186"/>
      <c r="EY19" s="186"/>
      <c r="EZ19" s="186"/>
      <c r="FA19" s="186"/>
      <c r="FB19" s="186"/>
      <c r="FC19" s="186"/>
      <c r="FD19" s="186"/>
      <c r="FE19" s="186"/>
      <c r="FF19" s="186"/>
      <c r="FG19" s="186"/>
      <c r="FH19" s="186"/>
      <c r="FI19" s="186"/>
      <c r="FJ19" s="186"/>
      <c r="FK19" s="186"/>
      <c r="FL19" s="186"/>
      <c r="FM19" s="186"/>
      <c r="FN19" s="186"/>
      <c r="FO19" s="186"/>
      <c r="FP19" s="186"/>
      <c r="FQ19" s="186"/>
      <c r="FR19" s="186"/>
      <c r="FS19" s="186"/>
      <c r="FT19" s="186"/>
      <c r="FU19" s="186"/>
      <c r="FV19" s="186"/>
      <c r="FW19" s="186"/>
      <c r="FX19" s="186"/>
      <c r="FY19" s="186"/>
      <c r="FZ19" s="186"/>
      <c r="GA19" s="186"/>
      <c r="GB19" s="186"/>
      <c r="GC19" s="186"/>
      <c r="GD19" s="186"/>
      <c r="GE19" s="186"/>
      <c r="GF19" s="186"/>
      <c r="GG19" s="186"/>
      <c r="GH19" s="186"/>
      <c r="GI19" s="186"/>
      <c r="GJ19" s="186"/>
      <c r="GK19" s="186"/>
      <c r="GL19" s="186"/>
      <c r="GM19" s="186"/>
      <c r="GN19" s="186"/>
      <c r="GO19" s="186"/>
      <c r="GP19" s="186"/>
      <c r="GQ19" s="186"/>
      <c r="GR19" s="186"/>
      <c r="GS19" s="186"/>
      <c r="GT19" s="186"/>
      <c r="GU19" s="186"/>
      <c r="GV19" s="186"/>
      <c r="GW19" s="186"/>
      <c r="GX19" s="186"/>
      <c r="GY19" s="186"/>
      <c r="GZ19" s="186"/>
      <c r="HA19" s="186"/>
      <c r="HB19" s="186"/>
      <c r="HC19" s="186"/>
      <c r="HD19" s="186"/>
      <c r="HE19" s="186"/>
      <c r="HF19" s="186"/>
      <c r="HG19" s="186"/>
      <c r="HH19" s="186"/>
      <c r="HI19" s="186"/>
      <c r="HJ19" s="186"/>
      <c r="HK19" s="186"/>
      <c r="HL19" s="186"/>
      <c r="HM19" s="186"/>
      <c r="HN19" s="186"/>
      <c r="HO19" s="186"/>
      <c r="HP19" s="186"/>
      <c r="HQ19" s="186"/>
      <c r="HR19" s="186"/>
      <c r="HS19" s="186"/>
      <c r="HT19" s="186"/>
      <c r="HU19" s="186"/>
      <c r="HV19" s="186"/>
      <c r="HW19" s="186"/>
      <c r="HX19" s="186"/>
      <c r="HY19" s="186"/>
      <c r="HZ19" s="186"/>
      <c r="IA19" s="186"/>
      <c r="IB19" s="186"/>
      <c r="IC19" s="186"/>
      <c r="ID19" s="186"/>
      <c r="IE19" s="186"/>
      <c r="IF19" s="186"/>
      <c r="IG19" s="186"/>
      <c r="IH19" s="186"/>
      <c r="II19" s="186"/>
      <c r="IJ19" s="186"/>
      <c r="IK19" s="186"/>
      <c r="IL19" s="186"/>
      <c r="IM19" s="186"/>
      <c r="IN19" s="186"/>
      <c r="IO19" s="186"/>
      <c r="IP19" s="186"/>
      <c r="IQ19" s="186"/>
      <c r="IR19" s="186"/>
      <c r="IS19" s="186"/>
      <c r="IT19" s="186"/>
      <c r="IU19" s="186"/>
      <c r="IV19" s="186"/>
      <c r="IW19" s="186"/>
    </row>
    <row r="20" customFormat="false" ht="18" hidden="false" customHeight="false" outlineLevel="0" collapsed="false">
      <c r="A20" s="186"/>
      <c r="B20" s="186"/>
      <c r="C20" s="186" t="s">
        <v>60</v>
      </c>
      <c r="D20" s="189" t="n">
        <v>12</v>
      </c>
      <c r="E20" s="186"/>
      <c r="F20" s="186"/>
      <c r="G20" s="186"/>
      <c r="H20" s="186"/>
      <c r="I20" s="186"/>
      <c r="J20" s="186"/>
      <c r="K20" s="186"/>
      <c r="L20" s="185"/>
      <c r="M20" s="185"/>
      <c r="P20" s="186"/>
      <c r="Q20" s="186"/>
      <c r="R20" s="186"/>
      <c r="S20" s="186"/>
      <c r="T20" s="186"/>
      <c r="U20" s="186"/>
      <c r="V20" s="186"/>
      <c r="W20" s="186"/>
      <c r="X20" s="186"/>
      <c r="Y20" s="186"/>
      <c r="Z20" s="186"/>
      <c r="AA20" s="186"/>
      <c r="AB20" s="186"/>
      <c r="AC20" s="186"/>
      <c r="AD20" s="186"/>
      <c r="AE20" s="186"/>
      <c r="AF20" s="186"/>
      <c r="AG20" s="186"/>
      <c r="AH20" s="186"/>
      <c r="AI20" s="186"/>
      <c r="AJ20" s="186"/>
      <c r="AK20" s="186"/>
      <c r="AL20" s="186"/>
      <c r="AM20" s="186"/>
      <c r="AN20" s="186"/>
      <c r="AO20" s="186"/>
      <c r="AP20" s="186"/>
      <c r="AQ20" s="186"/>
      <c r="AR20" s="186"/>
      <c r="AS20" s="186"/>
      <c r="AT20" s="186"/>
      <c r="AU20" s="186"/>
      <c r="AV20" s="186"/>
      <c r="AW20" s="186"/>
      <c r="AX20" s="186"/>
      <c r="AY20" s="186"/>
      <c r="AZ20" s="186"/>
      <c r="BA20" s="186"/>
      <c r="BB20" s="186"/>
      <c r="BC20" s="186"/>
      <c r="BD20" s="186"/>
      <c r="BE20" s="186"/>
      <c r="BF20" s="186"/>
      <c r="BG20" s="186"/>
      <c r="BH20" s="186"/>
      <c r="BI20" s="186"/>
      <c r="BJ20" s="186"/>
      <c r="BK20" s="186"/>
      <c r="BL20" s="186"/>
      <c r="BM20" s="186"/>
      <c r="BN20" s="186"/>
      <c r="BO20" s="186"/>
      <c r="BP20" s="186"/>
      <c r="BQ20" s="186"/>
      <c r="BR20" s="186"/>
      <c r="BS20" s="186"/>
      <c r="BT20" s="186"/>
      <c r="BU20" s="186"/>
      <c r="BV20" s="186"/>
      <c r="BW20" s="186"/>
      <c r="BX20" s="186"/>
      <c r="BY20" s="186"/>
      <c r="BZ20" s="186"/>
      <c r="CA20" s="186"/>
      <c r="CB20" s="186"/>
      <c r="CC20" s="186"/>
      <c r="CD20" s="186"/>
      <c r="CE20" s="186"/>
      <c r="CF20" s="186"/>
      <c r="CG20" s="186"/>
      <c r="CH20" s="186"/>
      <c r="CI20" s="186"/>
      <c r="CJ20" s="186"/>
      <c r="CK20" s="186"/>
      <c r="CL20" s="186"/>
      <c r="CM20" s="186"/>
      <c r="CN20" s="186"/>
      <c r="CO20" s="186"/>
      <c r="CP20" s="186"/>
      <c r="CQ20" s="186"/>
      <c r="CR20" s="186"/>
      <c r="CS20" s="186"/>
      <c r="CT20" s="186"/>
      <c r="CU20" s="186"/>
      <c r="CV20" s="186"/>
      <c r="CW20" s="186"/>
      <c r="CX20" s="186"/>
      <c r="CY20" s="186"/>
      <c r="CZ20" s="186"/>
      <c r="DA20" s="186"/>
      <c r="DB20" s="186"/>
      <c r="DC20" s="186"/>
      <c r="DD20" s="186"/>
      <c r="DE20" s="186"/>
      <c r="DF20" s="186"/>
      <c r="DG20" s="186"/>
      <c r="DH20" s="186"/>
      <c r="DI20" s="186"/>
      <c r="DJ20" s="186"/>
      <c r="DK20" s="186"/>
      <c r="DL20" s="186"/>
      <c r="DM20" s="186"/>
      <c r="DN20" s="186"/>
      <c r="DO20" s="186"/>
      <c r="DP20" s="186"/>
      <c r="DQ20" s="186"/>
      <c r="DR20" s="186"/>
      <c r="DS20" s="186"/>
      <c r="DT20" s="186"/>
      <c r="DU20" s="186"/>
      <c r="DV20" s="186"/>
      <c r="DW20" s="186"/>
      <c r="DX20" s="186"/>
      <c r="DY20" s="186"/>
      <c r="DZ20" s="186"/>
      <c r="EA20" s="186"/>
      <c r="EB20" s="186"/>
      <c r="EC20" s="186"/>
      <c r="ED20" s="186"/>
      <c r="EE20" s="186"/>
      <c r="EF20" s="186"/>
      <c r="EG20" s="186"/>
      <c r="EH20" s="186"/>
      <c r="EI20" s="186"/>
      <c r="EJ20" s="186"/>
      <c r="EK20" s="186"/>
      <c r="EL20" s="186"/>
      <c r="EM20" s="186"/>
      <c r="EN20" s="186"/>
      <c r="EO20" s="186"/>
      <c r="EP20" s="186"/>
      <c r="EQ20" s="186"/>
      <c r="ER20" s="186"/>
      <c r="ES20" s="186"/>
      <c r="ET20" s="186"/>
      <c r="EU20" s="186"/>
      <c r="EV20" s="186"/>
      <c r="EW20" s="186"/>
      <c r="EX20" s="186"/>
      <c r="EY20" s="186"/>
      <c r="EZ20" s="186"/>
      <c r="FA20" s="186"/>
      <c r="FB20" s="186"/>
      <c r="FC20" s="186"/>
      <c r="FD20" s="186"/>
      <c r="FE20" s="186"/>
      <c r="FF20" s="186"/>
      <c r="FG20" s="186"/>
      <c r="FH20" s="186"/>
      <c r="FI20" s="186"/>
      <c r="FJ20" s="186"/>
      <c r="FK20" s="186"/>
      <c r="FL20" s="186"/>
      <c r="FM20" s="186"/>
      <c r="FN20" s="186"/>
      <c r="FO20" s="186"/>
      <c r="FP20" s="186"/>
      <c r="FQ20" s="186"/>
      <c r="FR20" s="186"/>
      <c r="FS20" s="186"/>
      <c r="FT20" s="186"/>
      <c r="FU20" s="186"/>
      <c r="FV20" s="186"/>
      <c r="FW20" s="186"/>
      <c r="FX20" s="186"/>
      <c r="FY20" s="186"/>
      <c r="FZ20" s="186"/>
      <c r="GA20" s="186"/>
      <c r="GB20" s="186"/>
      <c r="GC20" s="186"/>
      <c r="GD20" s="186"/>
      <c r="GE20" s="186"/>
      <c r="GF20" s="186"/>
      <c r="GG20" s="186"/>
      <c r="GH20" s="186"/>
      <c r="GI20" s="186"/>
      <c r="GJ20" s="186"/>
      <c r="GK20" s="186"/>
      <c r="GL20" s="186"/>
      <c r="GM20" s="186"/>
      <c r="GN20" s="186"/>
      <c r="GO20" s="186"/>
      <c r="GP20" s="186"/>
      <c r="GQ20" s="186"/>
      <c r="GR20" s="186"/>
      <c r="GS20" s="186"/>
      <c r="GT20" s="186"/>
      <c r="GU20" s="186"/>
      <c r="GV20" s="186"/>
      <c r="GW20" s="186"/>
      <c r="GX20" s="186"/>
      <c r="GY20" s="186"/>
      <c r="GZ20" s="186"/>
      <c r="HA20" s="186"/>
      <c r="HB20" s="186"/>
      <c r="HC20" s="186"/>
      <c r="HD20" s="186"/>
      <c r="HE20" s="186"/>
      <c r="HF20" s="186"/>
      <c r="HG20" s="186"/>
      <c r="HH20" s="186"/>
      <c r="HI20" s="186"/>
      <c r="HJ20" s="186"/>
      <c r="HK20" s="186"/>
      <c r="HL20" s="186"/>
      <c r="HM20" s="186"/>
      <c r="HN20" s="186"/>
      <c r="HO20" s="186"/>
      <c r="HP20" s="186"/>
      <c r="HQ20" s="186"/>
      <c r="HR20" s="186"/>
      <c r="HS20" s="186"/>
      <c r="HT20" s="186"/>
      <c r="HU20" s="186"/>
      <c r="HV20" s="186"/>
      <c r="HW20" s="186"/>
      <c r="HX20" s="186"/>
      <c r="HY20" s="186"/>
      <c r="HZ20" s="186"/>
      <c r="IA20" s="186"/>
      <c r="IB20" s="186"/>
      <c r="IC20" s="186"/>
      <c r="ID20" s="186"/>
      <c r="IE20" s="186"/>
      <c r="IF20" s="186"/>
      <c r="IG20" s="186"/>
      <c r="IH20" s="186"/>
      <c r="II20" s="186"/>
      <c r="IJ20" s="186"/>
      <c r="IK20" s="186"/>
      <c r="IL20" s="186"/>
      <c r="IM20" s="186"/>
      <c r="IN20" s="186"/>
      <c r="IO20" s="186"/>
      <c r="IP20" s="186"/>
      <c r="IQ20" s="186"/>
      <c r="IR20" s="186"/>
      <c r="IS20" s="186"/>
      <c r="IT20" s="186"/>
      <c r="IU20" s="186"/>
      <c r="IV20" s="186"/>
      <c r="IW20" s="186"/>
    </row>
    <row r="21" customFormat="false" ht="12.75" hidden="false" customHeight="false" outlineLevel="0" collapsed="false">
      <c r="D21" s="97" t="s">
        <v>107</v>
      </c>
      <c r="L21" s="185"/>
      <c r="M21" s="185"/>
    </row>
    <row r="23" customFormat="false" ht="12.75" hidden="false" customHeight="false" outlineLevel="0" collapsed="false">
      <c r="N23" s="190"/>
      <c r="Q23" s="190"/>
      <c r="T23" s="185"/>
    </row>
  </sheetData>
  <mergeCells count="6">
    <mergeCell ref="D4:H4"/>
    <mergeCell ref="I4:K4"/>
    <mergeCell ref="L4:M4"/>
    <mergeCell ref="O4:Q4"/>
    <mergeCell ref="R4:S4"/>
    <mergeCell ref="X4:AA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1">
              <controlPr defaultSize="0" print="false" autoFill="0" autoPict="0" macro="Module1.ModelSummerBreakeven">
                <anchor moveWithCells="true" sizeWithCells="false">
                  <from>
                    <xdr:col>7</xdr:col>
                    <xdr:colOff>191520</xdr:colOff>
                    <xdr:row>16</xdr:row>
                    <xdr:rowOff>190440</xdr:rowOff>
                  </from>
                  <to>
                    <xdr:col>8</xdr:col>
                    <xdr:colOff>795600</xdr:colOff>
                    <xdr:row>20</xdr:row>
                    <xdr:rowOff>104760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3"/>
  <sheetViews>
    <sheetView showFormulas="false" showGridLines="true" showRowColHeaders="true" showZeros="true" rightToLeft="false" tabSelected="false" showOutlineSymbols="true" defaultGridColor="true" view="normal" topLeftCell="E1" colorId="64" zoomScale="75" zoomScaleNormal="75" zoomScalePageLayoutView="100" workbookViewId="0">
      <selection pane="topLeft" activeCell="I29" activeCellId="0" sqref="I29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97" width="13.99"/>
    <col collapsed="false" customWidth="true" hidden="false" outlineLevel="0" max="2" min="2" style="97" width="11.28"/>
    <col collapsed="false" customWidth="true" hidden="false" outlineLevel="0" max="3" min="3" style="97" width="19.56"/>
    <col collapsed="false" customWidth="true" hidden="false" outlineLevel="0" max="5" min="4" style="97" width="15.85"/>
    <col collapsed="false" customWidth="true" hidden="false" outlineLevel="0" max="7" min="6" style="97" width="14.56"/>
    <col collapsed="false" customWidth="true" hidden="false" outlineLevel="0" max="8" min="8" style="97" width="14.41"/>
    <col collapsed="false" customWidth="true" hidden="false" outlineLevel="0" max="10" min="9" style="97" width="14.56"/>
    <col collapsed="false" customWidth="true" hidden="false" outlineLevel="0" max="11" min="11" style="97" width="13.14"/>
    <col collapsed="false" customWidth="true" hidden="false" outlineLevel="0" max="12" min="12" style="97" width="14.56"/>
    <col collapsed="false" customWidth="true" hidden="false" outlineLevel="0" max="13" min="13" style="97" width="17.99"/>
    <col collapsed="false" customWidth="true" hidden="false" outlineLevel="0" max="14" min="14" style="97" width="10.28"/>
    <col collapsed="false" customWidth="true" hidden="false" outlineLevel="0" max="15" min="15" style="97" width="11.7"/>
    <col collapsed="false" customWidth="true" hidden="false" outlineLevel="0" max="16" min="16" style="97" width="9.85"/>
    <col collapsed="false" customWidth="true" hidden="false" outlineLevel="0" max="17" min="17" style="97" width="12.85"/>
    <col collapsed="false" customWidth="true" hidden="false" outlineLevel="0" max="18" min="18" style="97" width="15.41"/>
    <col collapsed="false" customWidth="true" hidden="false" outlineLevel="0" max="19" min="19" style="97" width="14.7"/>
    <col collapsed="false" customWidth="false" hidden="false" outlineLevel="0" max="20" min="20" style="97" width="9.14"/>
    <col collapsed="false" customWidth="true" hidden="false" outlineLevel="0" max="21" min="21" style="97" width="10.41"/>
    <col collapsed="false" customWidth="false" hidden="false" outlineLevel="0" max="22" min="22" style="97" width="9.14"/>
    <col collapsed="false" customWidth="true" hidden="false" outlineLevel="0" max="23" min="23" style="97" width="10.85"/>
    <col collapsed="false" customWidth="false" hidden="false" outlineLevel="0" max="257" min="24" style="97" width="9.14"/>
  </cols>
  <sheetData>
    <row r="1" customFormat="false" ht="12.75" hidden="false" customHeight="false" outlineLevel="0" collapsed="false">
      <c r="A1" s="98" t="s">
        <v>78</v>
      </c>
      <c r="B1" s="99" t="n">
        <f aca="true">TODAY()</f>
        <v>45926</v>
      </c>
      <c r="D1" s="100" t="s">
        <v>79</v>
      </c>
      <c r="E1" s="101" t="n">
        <v>0</v>
      </c>
      <c r="F1" s="102" t="s">
        <v>80</v>
      </c>
      <c r="G1" s="101" t="n">
        <v>0.112</v>
      </c>
      <c r="H1" s="191"/>
      <c r="I1" s="102" t="s">
        <v>81</v>
      </c>
      <c r="J1" s="104" t="n">
        <v>0.047</v>
      </c>
      <c r="K1" s="104" t="n">
        <v>0.065</v>
      </c>
    </row>
    <row r="2" customFormat="false" ht="12.75" hidden="false" customHeight="false" outlineLevel="0" collapsed="false">
      <c r="F2" s="106"/>
      <c r="G2" s="106"/>
      <c r="H2" s="106"/>
      <c r="I2" s="106"/>
      <c r="J2" s="105"/>
    </row>
    <row r="3" customFormat="false" ht="12.75" hidden="false" customHeight="false" outlineLevel="0" collapsed="false">
      <c r="F3" s="106"/>
      <c r="G3" s="106"/>
      <c r="H3" s="106"/>
      <c r="I3" s="106"/>
      <c r="J3" s="105"/>
    </row>
    <row r="4" customFormat="false" ht="25.5" hidden="false" customHeight="false" outlineLevel="0" collapsed="false">
      <c r="A4" s="192" t="s">
        <v>1</v>
      </c>
      <c r="B4" s="193" t="s">
        <v>90</v>
      </c>
      <c r="C4" s="194" t="s">
        <v>91</v>
      </c>
      <c r="D4" s="193" t="s">
        <v>108</v>
      </c>
      <c r="E4" s="195" t="s">
        <v>109</v>
      </c>
      <c r="F4" s="192" t="s">
        <v>110</v>
      </c>
      <c r="G4" s="192" t="s">
        <v>111</v>
      </c>
      <c r="H4" s="192" t="s">
        <v>95</v>
      </c>
      <c r="I4" s="195" t="s">
        <v>112</v>
      </c>
      <c r="J4" s="192" t="s">
        <v>101</v>
      </c>
      <c r="K4" s="195" t="s">
        <v>102</v>
      </c>
      <c r="L4" s="192" t="s">
        <v>98</v>
      </c>
      <c r="M4" s="196" t="s">
        <v>99</v>
      </c>
      <c r="N4" s="197"/>
      <c r="O4" s="120" t="s">
        <v>100</v>
      </c>
      <c r="P4" s="121" t="s">
        <v>101</v>
      </c>
      <c r="Q4" s="121" t="s">
        <v>102</v>
      </c>
      <c r="R4" s="122" t="s">
        <v>103</v>
      </c>
      <c r="S4" s="197"/>
      <c r="T4" s="197"/>
      <c r="U4" s="197"/>
      <c r="V4" s="197"/>
      <c r="W4" s="197"/>
      <c r="X4" s="197"/>
      <c r="Y4" s="197"/>
      <c r="Z4" s="197"/>
      <c r="AA4" s="197"/>
      <c r="AB4" s="197"/>
      <c r="AC4" s="197"/>
      <c r="AD4" s="197"/>
      <c r="AE4" s="197"/>
      <c r="AF4" s="197"/>
      <c r="AG4" s="197"/>
      <c r="AH4" s="197"/>
      <c r="AI4" s="197"/>
      <c r="AJ4" s="197"/>
      <c r="AK4" s="197"/>
      <c r="AL4" s="197"/>
      <c r="AM4" s="197"/>
      <c r="AN4" s="197"/>
      <c r="AO4" s="197"/>
      <c r="AP4" s="197"/>
      <c r="AQ4" s="197"/>
      <c r="AR4" s="197"/>
      <c r="AS4" s="197"/>
      <c r="AT4" s="197"/>
      <c r="AU4" s="197"/>
      <c r="AV4" s="197"/>
      <c r="AW4" s="197"/>
      <c r="AX4" s="197"/>
      <c r="AY4" s="197"/>
      <c r="AZ4" s="197"/>
      <c r="BA4" s="197"/>
      <c r="BB4" s="197"/>
      <c r="BC4" s="197"/>
      <c r="BD4" s="197"/>
      <c r="BE4" s="197"/>
      <c r="BF4" s="197"/>
      <c r="BG4" s="197"/>
      <c r="BH4" s="197"/>
      <c r="BI4" s="197"/>
      <c r="BJ4" s="197"/>
      <c r="BK4" s="197"/>
      <c r="BL4" s="197"/>
      <c r="BM4" s="197"/>
      <c r="BN4" s="197"/>
      <c r="BO4" s="197"/>
      <c r="BP4" s="197"/>
      <c r="BQ4" s="197"/>
      <c r="BR4" s="197"/>
      <c r="BS4" s="197"/>
      <c r="BT4" s="197"/>
      <c r="BU4" s="197"/>
      <c r="BV4" s="197"/>
      <c r="BW4" s="197"/>
      <c r="BX4" s="197"/>
      <c r="BY4" s="197"/>
      <c r="BZ4" s="197"/>
      <c r="CA4" s="197"/>
      <c r="CB4" s="197"/>
      <c r="CC4" s="197"/>
      <c r="CD4" s="197"/>
      <c r="CE4" s="197"/>
      <c r="CF4" s="197"/>
      <c r="CG4" s="197"/>
      <c r="CH4" s="197"/>
      <c r="CI4" s="197"/>
      <c r="CJ4" s="197"/>
      <c r="CK4" s="197"/>
      <c r="CL4" s="197"/>
      <c r="CM4" s="197"/>
      <c r="CN4" s="197"/>
      <c r="CO4" s="197"/>
      <c r="CP4" s="197"/>
      <c r="CQ4" s="197"/>
      <c r="CR4" s="197"/>
      <c r="CS4" s="197"/>
      <c r="CT4" s="197"/>
      <c r="CU4" s="197"/>
      <c r="CV4" s="197"/>
      <c r="CW4" s="197"/>
      <c r="CX4" s="197"/>
      <c r="CY4" s="197"/>
      <c r="CZ4" s="197"/>
      <c r="DA4" s="197"/>
      <c r="DB4" s="197"/>
      <c r="DC4" s="197"/>
      <c r="DD4" s="197"/>
      <c r="DE4" s="197"/>
      <c r="DF4" s="197"/>
      <c r="DG4" s="197"/>
      <c r="DH4" s="197"/>
      <c r="DI4" s="197"/>
      <c r="DJ4" s="197"/>
      <c r="DK4" s="197"/>
      <c r="DL4" s="197"/>
      <c r="DM4" s="197"/>
      <c r="DN4" s="197"/>
      <c r="DO4" s="197"/>
      <c r="DP4" s="197"/>
      <c r="DQ4" s="197"/>
      <c r="DR4" s="197"/>
      <c r="DS4" s="197"/>
      <c r="DT4" s="197"/>
      <c r="DU4" s="197"/>
      <c r="DV4" s="197"/>
      <c r="DW4" s="197"/>
      <c r="DX4" s="197"/>
      <c r="DY4" s="197"/>
      <c r="DZ4" s="197"/>
      <c r="EA4" s="197"/>
      <c r="EB4" s="197"/>
      <c r="EC4" s="197"/>
      <c r="ED4" s="197"/>
      <c r="EE4" s="197"/>
      <c r="EF4" s="197"/>
      <c r="EG4" s="197"/>
      <c r="EH4" s="197"/>
      <c r="EI4" s="197"/>
      <c r="EJ4" s="197"/>
      <c r="EK4" s="197"/>
      <c r="EL4" s="197"/>
      <c r="EM4" s="197"/>
      <c r="EN4" s="197"/>
      <c r="EO4" s="197"/>
      <c r="EP4" s="197"/>
      <c r="EQ4" s="197"/>
      <c r="ER4" s="197"/>
      <c r="ES4" s="197"/>
      <c r="ET4" s="197"/>
      <c r="EU4" s="197"/>
      <c r="EV4" s="197"/>
      <c r="EW4" s="197"/>
      <c r="EX4" s="197"/>
      <c r="EY4" s="197"/>
      <c r="EZ4" s="197"/>
      <c r="FA4" s="197"/>
      <c r="FB4" s="197"/>
      <c r="FC4" s="197"/>
      <c r="FD4" s="197"/>
      <c r="FE4" s="197"/>
      <c r="FF4" s="197"/>
      <c r="FG4" s="197"/>
      <c r="FH4" s="197"/>
      <c r="FI4" s="197"/>
      <c r="FJ4" s="197"/>
      <c r="FK4" s="197"/>
      <c r="FL4" s="197"/>
      <c r="FM4" s="197"/>
      <c r="FN4" s="197"/>
      <c r="FO4" s="197"/>
      <c r="FP4" s="197"/>
      <c r="FQ4" s="197"/>
      <c r="FR4" s="197"/>
      <c r="FS4" s="197"/>
      <c r="FT4" s="197"/>
      <c r="FU4" s="197"/>
      <c r="FV4" s="197"/>
      <c r="FW4" s="197"/>
      <c r="FX4" s="197"/>
      <c r="FY4" s="197"/>
      <c r="FZ4" s="197"/>
      <c r="GA4" s="197"/>
      <c r="GB4" s="197"/>
      <c r="GC4" s="197"/>
      <c r="GD4" s="197"/>
      <c r="GE4" s="197"/>
      <c r="GF4" s="197"/>
      <c r="GG4" s="197"/>
      <c r="GH4" s="197"/>
      <c r="GI4" s="197"/>
      <c r="GJ4" s="197"/>
      <c r="GK4" s="197"/>
      <c r="GL4" s="197"/>
      <c r="GM4" s="197"/>
      <c r="GN4" s="197"/>
      <c r="GO4" s="197"/>
      <c r="GP4" s="197"/>
      <c r="GQ4" s="197"/>
      <c r="GR4" s="197"/>
      <c r="GS4" s="197"/>
      <c r="GT4" s="197"/>
      <c r="GU4" s="197"/>
      <c r="GV4" s="197"/>
      <c r="GW4" s="197"/>
      <c r="GX4" s="197"/>
      <c r="GY4" s="197"/>
      <c r="GZ4" s="197"/>
      <c r="HA4" s="197"/>
      <c r="HB4" s="197"/>
      <c r="HC4" s="197"/>
      <c r="HD4" s="197"/>
      <c r="HE4" s="197"/>
      <c r="HF4" s="197"/>
      <c r="HG4" s="197"/>
      <c r="HH4" s="197"/>
      <c r="HI4" s="197"/>
      <c r="HJ4" s="197"/>
      <c r="HK4" s="197"/>
      <c r="HL4" s="197"/>
      <c r="HM4" s="197"/>
      <c r="HN4" s="197"/>
      <c r="HO4" s="197"/>
      <c r="HP4" s="197"/>
      <c r="HQ4" s="197"/>
      <c r="HR4" s="197"/>
      <c r="HS4" s="197"/>
      <c r="HT4" s="197"/>
      <c r="HU4" s="197"/>
      <c r="HV4" s="197"/>
      <c r="HW4" s="197"/>
      <c r="HX4" s="197"/>
      <c r="HY4" s="197"/>
      <c r="HZ4" s="197"/>
      <c r="IA4" s="197"/>
      <c r="IB4" s="197"/>
      <c r="IC4" s="197"/>
      <c r="ID4" s="197"/>
      <c r="IE4" s="197"/>
      <c r="IF4" s="197"/>
      <c r="IG4" s="197"/>
      <c r="IH4" s="197"/>
      <c r="II4" s="197"/>
      <c r="IJ4" s="197"/>
      <c r="IK4" s="197"/>
      <c r="IL4" s="197"/>
      <c r="IM4" s="197"/>
      <c r="IN4" s="197"/>
      <c r="IO4" s="197"/>
      <c r="IP4" s="197"/>
      <c r="IQ4" s="197"/>
      <c r="IR4" s="197"/>
      <c r="IS4" s="197"/>
      <c r="IT4" s="197"/>
      <c r="IU4" s="197"/>
      <c r="IV4" s="197"/>
      <c r="IW4" s="197"/>
    </row>
    <row r="5" customFormat="false" ht="12.75" hidden="false" customHeight="false" outlineLevel="0" collapsed="false">
      <c r="A5" s="123"/>
      <c r="B5" s="123"/>
      <c r="H5" s="124"/>
      <c r="O5" s="198" t="n">
        <f aca="false">+$R$5-SUM($P$5:Q5)</f>
        <v>0</v>
      </c>
      <c r="P5" s="199" t="n">
        <f aca="false">-J13</f>
        <v>0.047</v>
      </c>
      <c r="Q5" s="199" t="n">
        <f aca="false">+$K$1</f>
        <v>0.065</v>
      </c>
      <c r="R5" s="128" t="n">
        <f aca="false">+$G$1</f>
        <v>0.112</v>
      </c>
    </row>
    <row r="6" customFormat="false" ht="15" hidden="false" customHeight="false" outlineLevel="0" collapsed="false">
      <c r="A6" s="129" t="n">
        <v>36647</v>
      </c>
      <c r="B6" s="130" t="n">
        <f aca="false">+'GD Options'!M5</f>
        <v>0.061485649559373</v>
      </c>
      <c r="C6" s="131" t="n">
        <f aca="false">1/((1+B6/2)^(2*(A6-$B$1)/365.25))</f>
        <v>4.65752378601407</v>
      </c>
      <c r="D6" s="132" t="n">
        <f aca="false">+$D$17</f>
        <v>-50000</v>
      </c>
      <c r="E6" s="133" t="n">
        <f aca="false">+D6*'Deal Volumes'!B22</f>
        <v>-1550000</v>
      </c>
      <c r="F6" s="133" t="n">
        <f aca="false">+C6*E6</f>
        <v>-7219161.86832181</v>
      </c>
      <c r="G6" s="136" t="n">
        <f aca="false">+Curves!C2</f>
        <v>-0.005</v>
      </c>
      <c r="H6" s="138" t="n">
        <f aca="false">+F6*(G6-$G$1)</f>
        <v>844641.938593652</v>
      </c>
      <c r="I6" s="140" t="n">
        <f aca="false">-F6*(G6-$E$1)</f>
        <v>-36095.8093416091</v>
      </c>
      <c r="J6" s="200" t="n">
        <f aca="false">+$J$1*F6</f>
        <v>-339300.607811125</v>
      </c>
      <c r="K6" s="132" t="n">
        <f aca="false">+$K$1*F6</f>
        <v>-469245.521440918</v>
      </c>
      <c r="L6" s="143" t="n">
        <f aca="false">+K6+J6+I6</f>
        <v>-844641.938593652</v>
      </c>
      <c r="M6" s="144" t="n">
        <f aca="false">+H6+L6</f>
        <v>0</v>
      </c>
      <c r="N6" s="123"/>
      <c r="O6" s="123"/>
      <c r="P6" s="123"/>
      <c r="Q6" s="123"/>
      <c r="R6" s="123"/>
      <c r="S6" s="123"/>
      <c r="T6" s="123"/>
      <c r="U6" s="123"/>
      <c r="V6" s="123"/>
      <c r="W6" s="123"/>
      <c r="X6" s="123"/>
      <c r="Y6" s="123"/>
      <c r="Z6" s="123"/>
      <c r="AA6" s="123"/>
      <c r="AB6" s="123"/>
      <c r="AC6" s="123"/>
      <c r="AD6" s="123"/>
      <c r="AE6" s="123"/>
      <c r="AF6" s="123"/>
      <c r="AG6" s="123"/>
      <c r="AH6" s="123"/>
      <c r="AI6" s="123"/>
      <c r="AJ6" s="123"/>
      <c r="AK6" s="123"/>
      <c r="AL6" s="123"/>
      <c r="AM6" s="123"/>
      <c r="AN6" s="123"/>
      <c r="AO6" s="123"/>
      <c r="AP6" s="123"/>
      <c r="AQ6" s="123"/>
      <c r="AR6" s="123"/>
      <c r="AS6" s="123"/>
      <c r="AT6" s="123"/>
      <c r="AU6" s="123"/>
      <c r="AV6" s="123"/>
      <c r="AW6" s="123"/>
      <c r="AX6" s="123"/>
      <c r="AY6" s="123"/>
      <c r="AZ6" s="123"/>
      <c r="BA6" s="123"/>
      <c r="BB6" s="123"/>
      <c r="BC6" s="123"/>
      <c r="BD6" s="123"/>
      <c r="BE6" s="123"/>
      <c r="BF6" s="123"/>
      <c r="BG6" s="123"/>
      <c r="BH6" s="123"/>
      <c r="BI6" s="123"/>
      <c r="BJ6" s="123"/>
      <c r="BK6" s="123"/>
      <c r="BL6" s="123"/>
      <c r="BM6" s="123"/>
      <c r="BN6" s="123"/>
      <c r="BO6" s="123"/>
      <c r="BP6" s="123"/>
      <c r="BQ6" s="123"/>
      <c r="BR6" s="123"/>
      <c r="BS6" s="123"/>
      <c r="BT6" s="123"/>
      <c r="BU6" s="123"/>
      <c r="BV6" s="123"/>
      <c r="BW6" s="123"/>
      <c r="BX6" s="123"/>
      <c r="BY6" s="123"/>
      <c r="BZ6" s="123"/>
      <c r="CA6" s="123"/>
      <c r="CB6" s="123"/>
      <c r="CC6" s="123"/>
      <c r="CD6" s="123"/>
      <c r="CE6" s="123"/>
      <c r="CF6" s="123"/>
      <c r="CG6" s="123"/>
      <c r="CH6" s="123"/>
      <c r="CI6" s="123"/>
      <c r="CJ6" s="123"/>
      <c r="CK6" s="123"/>
      <c r="CL6" s="123"/>
      <c r="CM6" s="123"/>
      <c r="CN6" s="123"/>
      <c r="CO6" s="123"/>
      <c r="CP6" s="123"/>
      <c r="CQ6" s="123"/>
      <c r="CR6" s="123"/>
      <c r="CS6" s="123"/>
      <c r="CT6" s="123"/>
      <c r="CU6" s="123"/>
      <c r="CV6" s="123"/>
      <c r="CW6" s="123"/>
      <c r="CX6" s="123"/>
      <c r="CY6" s="123"/>
      <c r="CZ6" s="123"/>
      <c r="DA6" s="123"/>
      <c r="DB6" s="123"/>
      <c r="DC6" s="123"/>
      <c r="DD6" s="123"/>
      <c r="DE6" s="123"/>
      <c r="DF6" s="123"/>
      <c r="DG6" s="123"/>
      <c r="DH6" s="123"/>
      <c r="DI6" s="123"/>
      <c r="DJ6" s="123"/>
      <c r="DK6" s="123"/>
      <c r="DL6" s="123"/>
      <c r="DM6" s="123"/>
      <c r="DN6" s="123"/>
      <c r="DO6" s="123"/>
      <c r="DP6" s="123"/>
      <c r="DQ6" s="123"/>
      <c r="DR6" s="123"/>
      <c r="DS6" s="123"/>
      <c r="DT6" s="123"/>
      <c r="DU6" s="123"/>
      <c r="DV6" s="123"/>
      <c r="DW6" s="123"/>
      <c r="DX6" s="123"/>
      <c r="DY6" s="123"/>
      <c r="DZ6" s="123"/>
      <c r="EA6" s="123"/>
      <c r="EB6" s="123"/>
      <c r="EC6" s="123"/>
      <c r="ED6" s="123"/>
      <c r="EE6" s="123"/>
      <c r="EF6" s="123"/>
      <c r="EG6" s="123"/>
      <c r="EH6" s="123"/>
      <c r="EI6" s="123"/>
      <c r="EJ6" s="123"/>
      <c r="EK6" s="123"/>
      <c r="EL6" s="123"/>
      <c r="EM6" s="123"/>
      <c r="EN6" s="123"/>
      <c r="EO6" s="123"/>
      <c r="EP6" s="123"/>
      <c r="EQ6" s="123"/>
      <c r="ER6" s="123"/>
      <c r="ES6" s="123"/>
      <c r="ET6" s="123"/>
      <c r="EU6" s="123"/>
      <c r="EV6" s="123"/>
      <c r="EW6" s="123"/>
      <c r="EX6" s="123"/>
      <c r="EY6" s="123"/>
      <c r="EZ6" s="123"/>
      <c r="FA6" s="123"/>
      <c r="FB6" s="123"/>
      <c r="FC6" s="123"/>
      <c r="FD6" s="123"/>
      <c r="FE6" s="123"/>
      <c r="FF6" s="123"/>
      <c r="FG6" s="123"/>
      <c r="FH6" s="123"/>
      <c r="FI6" s="123"/>
      <c r="FJ6" s="123"/>
      <c r="FK6" s="123"/>
      <c r="FL6" s="123"/>
      <c r="FM6" s="123"/>
      <c r="FN6" s="123"/>
      <c r="FO6" s="123"/>
      <c r="FP6" s="123"/>
      <c r="FQ6" s="123"/>
      <c r="FR6" s="123"/>
      <c r="FS6" s="123"/>
      <c r="FT6" s="123"/>
      <c r="FU6" s="123"/>
      <c r="FV6" s="123"/>
      <c r="FW6" s="123"/>
      <c r="FX6" s="123"/>
      <c r="FY6" s="123"/>
      <c r="FZ6" s="123"/>
      <c r="GA6" s="123"/>
      <c r="GB6" s="123"/>
      <c r="GC6" s="123"/>
      <c r="GD6" s="123"/>
      <c r="GE6" s="123"/>
      <c r="GF6" s="123"/>
      <c r="GG6" s="123"/>
      <c r="GH6" s="123"/>
      <c r="GI6" s="123"/>
      <c r="GJ6" s="123"/>
      <c r="GK6" s="123"/>
      <c r="GL6" s="123"/>
      <c r="GM6" s="123"/>
      <c r="GN6" s="123"/>
      <c r="GO6" s="123"/>
      <c r="GP6" s="123"/>
      <c r="GQ6" s="123"/>
      <c r="GR6" s="123"/>
      <c r="GS6" s="123"/>
      <c r="GT6" s="123"/>
      <c r="GU6" s="123"/>
      <c r="GV6" s="123"/>
      <c r="GW6" s="123"/>
      <c r="GX6" s="123"/>
      <c r="GY6" s="123"/>
      <c r="GZ6" s="123"/>
      <c r="HA6" s="123"/>
      <c r="HB6" s="123"/>
      <c r="HC6" s="123"/>
      <c r="HD6" s="123"/>
      <c r="HE6" s="123"/>
      <c r="HF6" s="123"/>
      <c r="HG6" s="123"/>
      <c r="HH6" s="123"/>
      <c r="HI6" s="123"/>
      <c r="HJ6" s="123"/>
      <c r="HK6" s="123"/>
      <c r="HL6" s="123"/>
      <c r="HM6" s="123"/>
      <c r="HN6" s="123"/>
      <c r="HO6" s="123"/>
      <c r="HP6" s="123"/>
      <c r="HQ6" s="123"/>
      <c r="HR6" s="123"/>
      <c r="HS6" s="123"/>
      <c r="HT6" s="123"/>
      <c r="HU6" s="123"/>
      <c r="HV6" s="123"/>
      <c r="HW6" s="123"/>
      <c r="HX6" s="123"/>
      <c r="HY6" s="123"/>
      <c r="HZ6" s="123"/>
      <c r="IA6" s="123"/>
      <c r="IB6" s="123"/>
      <c r="IC6" s="123"/>
      <c r="ID6" s="123"/>
      <c r="IE6" s="123"/>
      <c r="IF6" s="123"/>
      <c r="IG6" s="123"/>
      <c r="IH6" s="123"/>
      <c r="II6" s="123"/>
      <c r="IJ6" s="123"/>
      <c r="IK6" s="123"/>
      <c r="IL6" s="123"/>
      <c r="IM6" s="123"/>
      <c r="IN6" s="123"/>
      <c r="IO6" s="123"/>
      <c r="IP6" s="123"/>
      <c r="IQ6" s="123"/>
      <c r="IR6" s="123"/>
      <c r="IS6" s="123"/>
      <c r="IT6" s="123"/>
      <c r="IU6" s="123"/>
      <c r="IV6" s="123"/>
      <c r="IW6" s="123"/>
    </row>
    <row r="7" customFormat="false" ht="15" hidden="false" customHeight="false" outlineLevel="0" collapsed="false">
      <c r="A7" s="129" t="n">
        <v>36678</v>
      </c>
      <c r="B7" s="145" t="n">
        <f aca="false">+'GD Options'!M6</f>
        <v>0.06240361356018</v>
      </c>
      <c r="C7" s="146" t="n">
        <f aca="false">1/((1+B7/2)^(2*(A7-$B$1)/365.25))</f>
        <v>4.73929465820219</v>
      </c>
      <c r="D7" s="147" t="n">
        <f aca="false">+$D$17</f>
        <v>-50000</v>
      </c>
      <c r="E7" s="148" t="n">
        <f aca="false">+D7*'Deal Volumes'!B23</f>
        <v>-1500000</v>
      </c>
      <c r="F7" s="148" t="n">
        <f aca="false">+C7*E7</f>
        <v>-7108941.98730328</v>
      </c>
      <c r="G7" s="151" t="n">
        <f aca="false">+Curves!C3</f>
        <v>-0.005</v>
      </c>
      <c r="H7" s="153" t="n">
        <f aca="false">+F7*(G7-$G$1)</f>
        <v>831746.212514484</v>
      </c>
      <c r="I7" s="155" t="n">
        <f aca="false">-F7*(G7-$E$1)</f>
        <v>-35544.7099365164</v>
      </c>
      <c r="J7" s="201" t="n">
        <f aca="false">+$J$1*F7</f>
        <v>-334120.273403254</v>
      </c>
      <c r="K7" s="147" t="n">
        <f aca="false">+$K$1*F7</f>
        <v>-462081.229174713</v>
      </c>
      <c r="L7" s="158" t="n">
        <f aca="false">+K7+J7+I7</f>
        <v>-831746.212514484</v>
      </c>
      <c r="M7" s="159" t="n">
        <f aca="false">+H7+L7</f>
        <v>0</v>
      </c>
      <c r="N7" s="123"/>
      <c r="O7" s="123"/>
      <c r="P7" s="123"/>
      <c r="Q7" s="123"/>
      <c r="R7" s="123"/>
      <c r="S7" s="123"/>
      <c r="T7" s="123"/>
      <c r="U7" s="123"/>
      <c r="V7" s="123"/>
      <c r="W7" s="123"/>
      <c r="X7" s="123"/>
      <c r="Y7" s="123"/>
      <c r="Z7" s="123"/>
      <c r="AA7" s="123"/>
      <c r="AB7" s="123"/>
      <c r="AC7" s="123"/>
      <c r="AD7" s="123"/>
      <c r="AE7" s="123"/>
      <c r="AF7" s="123"/>
      <c r="AG7" s="123"/>
      <c r="AH7" s="123"/>
      <c r="AI7" s="123"/>
      <c r="AJ7" s="123"/>
      <c r="AK7" s="123"/>
      <c r="AL7" s="123"/>
      <c r="AM7" s="123"/>
      <c r="AN7" s="123"/>
      <c r="AO7" s="123"/>
      <c r="AP7" s="123"/>
      <c r="AQ7" s="123"/>
      <c r="AR7" s="123"/>
      <c r="AS7" s="123"/>
      <c r="AT7" s="123"/>
      <c r="AU7" s="123"/>
      <c r="AV7" s="123"/>
      <c r="AW7" s="123"/>
      <c r="AX7" s="123"/>
      <c r="AY7" s="123"/>
      <c r="AZ7" s="123"/>
      <c r="BA7" s="123"/>
      <c r="BB7" s="123"/>
      <c r="BC7" s="123"/>
      <c r="BD7" s="123"/>
      <c r="BE7" s="123"/>
      <c r="BF7" s="123"/>
      <c r="BG7" s="123"/>
      <c r="BH7" s="123"/>
      <c r="BI7" s="123"/>
      <c r="BJ7" s="123"/>
      <c r="BK7" s="123"/>
      <c r="BL7" s="123"/>
      <c r="BM7" s="123"/>
      <c r="BN7" s="123"/>
      <c r="BO7" s="123"/>
      <c r="BP7" s="123"/>
      <c r="BQ7" s="123"/>
      <c r="BR7" s="123"/>
      <c r="BS7" s="123"/>
      <c r="BT7" s="123"/>
      <c r="BU7" s="123"/>
      <c r="BV7" s="123"/>
      <c r="BW7" s="123"/>
      <c r="BX7" s="123"/>
      <c r="BY7" s="123"/>
      <c r="BZ7" s="123"/>
      <c r="CA7" s="123"/>
      <c r="CB7" s="123"/>
      <c r="CC7" s="123"/>
      <c r="CD7" s="123"/>
      <c r="CE7" s="123"/>
      <c r="CF7" s="123"/>
      <c r="CG7" s="123"/>
      <c r="CH7" s="123"/>
      <c r="CI7" s="123"/>
      <c r="CJ7" s="123"/>
      <c r="CK7" s="123"/>
      <c r="CL7" s="123"/>
      <c r="CM7" s="123"/>
      <c r="CN7" s="123"/>
      <c r="CO7" s="123"/>
      <c r="CP7" s="123"/>
      <c r="CQ7" s="123"/>
      <c r="CR7" s="123"/>
      <c r="CS7" s="123"/>
      <c r="CT7" s="123"/>
      <c r="CU7" s="123"/>
      <c r="CV7" s="123"/>
      <c r="CW7" s="123"/>
      <c r="CX7" s="123"/>
      <c r="CY7" s="123"/>
      <c r="CZ7" s="123"/>
      <c r="DA7" s="123"/>
      <c r="DB7" s="123"/>
      <c r="DC7" s="123"/>
      <c r="DD7" s="123"/>
      <c r="DE7" s="123"/>
      <c r="DF7" s="123"/>
      <c r="DG7" s="123"/>
      <c r="DH7" s="123"/>
      <c r="DI7" s="123"/>
      <c r="DJ7" s="123"/>
      <c r="DK7" s="123"/>
      <c r="DL7" s="123"/>
      <c r="DM7" s="123"/>
      <c r="DN7" s="123"/>
      <c r="DO7" s="123"/>
      <c r="DP7" s="123"/>
      <c r="DQ7" s="123"/>
      <c r="DR7" s="123"/>
      <c r="DS7" s="123"/>
      <c r="DT7" s="123"/>
      <c r="DU7" s="123"/>
      <c r="DV7" s="123"/>
      <c r="DW7" s="123"/>
      <c r="DX7" s="123"/>
      <c r="DY7" s="123"/>
      <c r="DZ7" s="123"/>
      <c r="EA7" s="123"/>
      <c r="EB7" s="123"/>
      <c r="EC7" s="123"/>
      <c r="ED7" s="123"/>
      <c r="EE7" s="123"/>
      <c r="EF7" s="123"/>
      <c r="EG7" s="123"/>
      <c r="EH7" s="123"/>
      <c r="EI7" s="123"/>
      <c r="EJ7" s="123"/>
      <c r="EK7" s="123"/>
      <c r="EL7" s="123"/>
      <c r="EM7" s="123"/>
      <c r="EN7" s="123"/>
      <c r="EO7" s="123"/>
      <c r="EP7" s="123"/>
      <c r="EQ7" s="123"/>
      <c r="ER7" s="123"/>
      <c r="ES7" s="123"/>
      <c r="ET7" s="123"/>
      <c r="EU7" s="123"/>
      <c r="EV7" s="123"/>
      <c r="EW7" s="123"/>
      <c r="EX7" s="123"/>
      <c r="EY7" s="123"/>
      <c r="EZ7" s="123"/>
      <c r="FA7" s="123"/>
      <c r="FB7" s="123"/>
      <c r="FC7" s="123"/>
      <c r="FD7" s="123"/>
      <c r="FE7" s="123"/>
      <c r="FF7" s="123"/>
      <c r="FG7" s="123"/>
      <c r="FH7" s="123"/>
      <c r="FI7" s="123"/>
      <c r="FJ7" s="123"/>
      <c r="FK7" s="123"/>
      <c r="FL7" s="123"/>
      <c r="FM7" s="123"/>
      <c r="FN7" s="123"/>
      <c r="FO7" s="123"/>
      <c r="FP7" s="123"/>
      <c r="FQ7" s="123"/>
      <c r="FR7" s="123"/>
      <c r="FS7" s="123"/>
      <c r="FT7" s="123"/>
      <c r="FU7" s="123"/>
      <c r="FV7" s="123"/>
      <c r="FW7" s="123"/>
      <c r="FX7" s="123"/>
      <c r="FY7" s="123"/>
      <c r="FZ7" s="123"/>
      <c r="GA7" s="123"/>
      <c r="GB7" s="123"/>
      <c r="GC7" s="123"/>
      <c r="GD7" s="123"/>
      <c r="GE7" s="123"/>
      <c r="GF7" s="123"/>
      <c r="GG7" s="123"/>
      <c r="GH7" s="123"/>
      <c r="GI7" s="123"/>
      <c r="GJ7" s="123"/>
      <c r="GK7" s="123"/>
      <c r="GL7" s="123"/>
      <c r="GM7" s="123"/>
      <c r="GN7" s="123"/>
      <c r="GO7" s="123"/>
      <c r="GP7" s="123"/>
      <c r="GQ7" s="123"/>
      <c r="GR7" s="123"/>
      <c r="GS7" s="123"/>
      <c r="GT7" s="123"/>
      <c r="GU7" s="123"/>
      <c r="GV7" s="123"/>
      <c r="GW7" s="123"/>
      <c r="GX7" s="123"/>
      <c r="GY7" s="123"/>
      <c r="GZ7" s="123"/>
      <c r="HA7" s="123"/>
      <c r="HB7" s="123"/>
      <c r="HC7" s="123"/>
      <c r="HD7" s="123"/>
      <c r="HE7" s="123"/>
      <c r="HF7" s="123"/>
      <c r="HG7" s="123"/>
      <c r="HH7" s="123"/>
      <c r="HI7" s="123"/>
      <c r="HJ7" s="123"/>
      <c r="HK7" s="123"/>
      <c r="HL7" s="123"/>
      <c r="HM7" s="123"/>
      <c r="HN7" s="123"/>
      <c r="HO7" s="123"/>
      <c r="HP7" s="123"/>
      <c r="HQ7" s="123"/>
      <c r="HR7" s="123"/>
      <c r="HS7" s="123"/>
      <c r="HT7" s="123"/>
      <c r="HU7" s="123"/>
      <c r="HV7" s="123"/>
      <c r="HW7" s="123"/>
      <c r="HX7" s="123"/>
      <c r="HY7" s="123"/>
      <c r="HZ7" s="123"/>
      <c r="IA7" s="123"/>
      <c r="IB7" s="123"/>
      <c r="IC7" s="123"/>
      <c r="ID7" s="123"/>
      <c r="IE7" s="123"/>
      <c r="IF7" s="123"/>
      <c r="IG7" s="123"/>
      <c r="IH7" s="123"/>
      <c r="II7" s="123"/>
      <c r="IJ7" s="123"/>
      <c r="IK7" s="123"/>
      <c r="IL7" s="123"/>
      <c r="IM7" s="123"/>
      <c r="IN7" s="123"/>
      <c r="IO7" s="123"/>
      <c r="IP7" s="123"/>
      <c r="IQ7" s="123"/>
      <c r="IR7" s="123"/>
      <c r="IS7" s="123"/>
      <c r="IT7" s="123"/>
      <c r="IU7" s="123"/>
      <c r="IV7" s="123"/>
      <c r="IW7" s="123"/>
    </row>
    <row r="8" customFormat="false" ht="15" hidden="false" customHeight="false" outlineLevel="0" collapsed="false">
      <c r="A8" s="129" t="n">
        <v>36708</v>
      </c>
      <c r="B8" s="145" t="n">
        <f aca="false">+'GD Options'!M7</f>
        <v>0.063184628319211</v>
      </c>
      <c r="C8" s="146" t="n">
        <f aca="false">1/((1+B8/2)^(2*(A8-$B$1)/365.25))</f>
        <v>4.80641721776679</v>
      </c>
      <c r="D8" s="147" t="n">
        <f aca="false">+$D$17</f>
        <v>-50000</v>
      </c>
      <c r="E8" s="148" t="n">
        <f aca="false">+D8*'Deal Volumes'!B24</f>
        <v>-1550000</v>
      </c>
      <c r="F8" s="148" t="n">
        <f aca="false">+C8*E8</f>
        <v>-7449946.68753852</v>
      </c>
      <c r="G8" s="151" t="n">
        <f aca="false">+Curves!C4</f>
        <v>0</v>
      </c>
      <c r="H8" s="153" t="n">
        <f aca="false">+F8*(G8-$G$1)</f>
        <v>834394.029004314</v>
      </c>
      <c r="I8" s="155" t="n">
        <f aca="false">-F8*(G8-$E$1)</f>
        <v>0</v>
      </c>
      <c r="J8" s="201" t="n">
        <f aca="false">+$J$1*F8</f>
        <v>-350147.49431431</v>
      </c>
      <c r="K8" s="147" t="n">
        <f aca="false">+$K$1*F8</f>
        <v>-484246.534690004</v>
      </c>
      <c r="L8" s="158" t="n">
        <f aca="false">+K8+J8+I8</f>
        <v>-834394.029004314</v>
      </c>
      <c r="M8" s="159" t="n">
        <f aca="false">+H8+L8</f>
        <v>0</v>
      </c>
      <c r="N8" s="123"/>
      <c r="O8" s="123"/>
      <c r="P8" s="123"/>
      <c r="Q8" s="123"/>
      <c r="R8" s="123"/>
      <c r="S8" s="123"/>
      <c r="T8" s="123"/>
      <c r="U8" s="123"/>
      <c r="V8" s="123"/>
      <c r="W8" s="123"/>
      <c r="X8" s="123"/>
      <c r="Y8" s="123"/>
      <c r="Z8" s="123"/>
      <c r="AA8" s="123"/>
      <c r="AB8" s="123"/>
      <c r="AC8" s="123"/>
      <c r="AD8" s="123"/>
      <c r="AE8" s="123"/>
      <c r="AF8" s="123"/>
      <c r="AG8" s="123"/>
      <c r="AH8" s="123"/>
      <c r="AI8" s="123"/>
      <c r="AJ8" s="123"/>
      <c r="AK8" s="123"/>
      <c r="AL8" s="123"/>
      <c r="AM8" s="123"/>
      <c r="AN8" s="123"/>
      <c r="AO8" s="123"/>
      <c r="AP8" s="123"/>
      <c r="AQ8" s="123"/>
      <c r="AR8" s="123"/>
      <c r="AS8" s="123"/>
      <c r="AT8" s="123"/>
      <c r="AU8" s="123"/>
      <c r="AV8" s="123"/>
      <c r="AW8" s="123"/>
      <c r="AX8" s="123"/>
      <c r="AY8" s="123"/>
      <c r="AZ8" s="123"/>
      <c r="BA8" s="123"/>
      <c r="BB8" s="123"/>
      <c r="BC8" s="123"/>
      <c r="BD8" s="123"/>
      <c r="BE8" s="123"/>
      <c r="BF8" s="123"/>
      <c r="BG8" s="123"/>
      <c r="BH8" s="123"/>
      <c r="BI8" s="123"/>
      <c r="BJ8" s="123"/>
      <c r="BK8" s="123"/>
      <c r="BL8" s="123"/>
      <c r="BM8" s="123"/>
      <c r="BN8" s="123"/>
      <c r="BO8" s="123"/>
      <c r="BP8" s="123"/>
      <c r="BQ8" s="123"/>
      <c r="BR8" s="123"/>
      <c r="BS8" s="123"/>
      <c r="BT8" s="123"/>
      <c r="BU8" s="123"/>
      <c r="BV8" s="123"/>
      <c r="BW8" s="123"/>
      <c r="BX8" s="123"/>
      <c r="BY8" s="123"/>
      <c r="BZ8" s="123"/>
      <c r="CA8" s="123"/>
      <c r="CB8" s="123"/>
      <c r="CC8" s="123"/>
      <c r="CD8" s="123"/>
      <c r="CE8" s="123"/>
      <c r="CF8" s="123"/>
      <c r="CG8" s="123"/>
      <c r="CH8" s="123"/>
      <c r="CI8" s="123"/>
      <c r="CJ8" s="123"/>
      <c r="CK8" s="123"/>
      <c r="CL8" s="123"/>
      <c r="CM8" s="123"/>
      <c r="CN8" s="123"/>
      <c r="CO8" s="123"/>
      <c r="CP8" s="123"/>
      <c r="CQ8" s="123"/>
      <c r="CR8" s="123"/>
      <c r="CS8" s="123"/>
      <c r="CT8" s="123"/>
      <c r="CU8" s="123"/>
      <c r="CV8" s="123"/>
      <c r="CW8" s="123"/>
      <c r="CX8" s="123"/>
      <c r="CY8" s="123"/>
      <c r="CZ8" s="123"/>
      <c r="DA8" s="123"/>
      <c r="DB8" s="123"/>
      <c r="DC8" s="123"/>
      <c r="DD8" s="123"/>
      <c r="DE8" s="123"/>
      <c r="DF8" s="123"/>
      <c r="DG8" s="123"/>
      <c r="DH8" s="123"/>
      <c r="DI8" s="123"/>
      <c r="DJ8" s="123"/>
      <c r="DK8" s="123"/>
      <c r="DL8" s="123"/>
      <c r="DM8" s="123"/>
      <c r="DN8" s="123"/>
      <c r="DO8" s="123"/>
      <c r="DP8" s="123"/>
      <c r="DQ8" s="123"/>
      <c r="DR8" s="123"/>
      <c r="DS8" s="123"/>
      <c r="DT8" s="123"/>
      <c r="DU8" s="123"/>
      <c r="DV8" s="123"/>
      <c r="DW8" s="123"/>
      <c r="DX8" s="123"/>
      <c r="DY8" s="123"/>
      <c r="DZ8" s="123"/>
      <c r="EA8" s="123"/>
      <c r="EB8" s="123"/>
      <c r="EC8" s="123"/>
      <c r="ED8" s="123"/>
      <c r="EE8" s="123"/>
      <c r="EF8" s="123"/>
      <c r="EG8" s="123"/>
      <c r="EH8" s="123"/>
      <c r="EI8" s="123"/>
      <c r="EJ8" s="123"/>
      <c r="EK8" s="123"/>
      <c r="EL8" s="123"/>
      <c r="EM8" s="123"/>
      <c r="EN8" s="123"/>
      <c r="EO8" s="123"/>
      <c r="EP8" s="123"/>
      <c r="EQ8" s="123"/>
      <c r="ER8" s="123"/>
      <c r="ES8" s="123"/>
      <c r="ET8" s="123"/>
      <c r="EU8" s="123"/>
      <c r="EV8" s="123"/>
      <c r="EW8" s="123"/>
      <c r="EX8" s="123"/>
      <c r="EY8" s="123"/>
      <c r="EZ8" s="123"/>
      <c r="FA8" s="123"/>
      <c r="FB8" s="123"/>
      <c r="FC8" s="123"/>
      <c r="FD8" s="123"/>
      <c r="FE8" s="123"/>
      <c r="FF8" s="123"/>
      <c r="FG8" s="123"/>
      <c r="FH8" s="123"/>
      <c r="FI8" s="123"/>
      <c r="FJ8" s="123"/>
      <c r="FK8" s="123"/>
      <c r="FL8" s="123"/>
      <c r="FM8" s="123"/>
      <c r="FN8" s="123"/>
      <c r="FO8" s="123"/>
      <c r="FP8" s="123"/>
      <c r="FQ8" s="123"/>
      <c r="FR8" s="123"/>
      <c r="FS8" s="123"/>
      <c r="FT8" s="123"/>
      <c r="FU8" s="123"/>
      <c r="FV8" s="123"/>
      <c r="FW8" s="123"/>
      <c r="FX8" s="123"/>
      <c r="FY8" s="123"/>
      <c r="FZ8" s="123"/>
      <c r="GA8" s="123"/>
      <c r="GB8" s="123"/>
      <c r="GC8" s="123"/>
      <c r="GD8" s="123"/>
      <c r="GE8" s="123"/>
      <c r="GF8" s="123"/>
      <c r="GG8" s="123"/>
      <c r="GH8" s="123"/>
      <c r="GI8" s="123"/>
      <c r="GJ8" s="123"/>
      <c r="GK8" s="123"/>
      <c r="GL8" s="123"/>
      <c r="GM8" s="123"/>
      <c r="GN8" s="123"/>
      <c r="GO8" s="123"/>
      <c r="GP8" s="123"/>
      <c r="GQ8" s="123"/>
      <c r="GR8" s="123"/>
      <c r="GS8" s="123"/>
      <c r="GT8" s="123"/>
      <c r="GU8" s="123"/>
      <c r="GV8" s="123"/>
      <c r="GW8" s="123"/>
      <c r="GX8" s="123"/>
      <c r="GY8" s="123"/>
      <c r="GZ8" s="123"/>
      <c r="HA8" s="123"/>
      <c r="HB8" s="123"/>
      <c r="HC8" s="123"/>
      <c r="HD8" s="123"/>
      <c r="HE8" s="123"/>
      <c r="HF8" s="123"/>
      <c r="HG8" s="123"/>
      <c r="HH8" s="123"/>
      <c r="HI8" s="123"/>
      <c r="HJ8" s="123"/>
      <c r="HK8" s="123"/>
      <c r="HL8" s="123"/>
      <c r="HM8" s="123"/>
      <c r="HN8" s="123"/>
      <c r="HO8" s="123"/>
      <c r="HP8" s="123"/>
      <c r="HQ8" s="123"/>
      <c r="HR8" s="123"/>
      <c r="HS8" s="123"/>
      <c r="HT8" s="123"/>
      <c r="HU8" s="123"/>
      <c r="HV8" s="123"/>
      <c r="HW8" s="123"/>
      <c r="HX8" s="123"/>
      <c r="HY8" s="123"/>
      <c r="HZ8" s="123"/>
      <c r="IA8" s="123"/>
      <c r="IB8" s="123"/>
      <c r="IC8" s="123"/>
      <c r="ID8" s="123"/>
      <c r="IE8" s="123"/>
      <c r="IF8" s="123"/>
      <c r="IG8" s="123"/>
      <c r="IH8" s="123"/>
      <c r="II8" s="123"/>
      <c r="IJ8" s="123"/>
      <c r="IK8" s="123"/>
      <c r="IL8" s="123"/>
      <c r="IM8" s="123"/>
      <c r="IN8" s="123"/>
      <c r="IO8" s="123"/>
      <c r="IP8" s="123"/>
      <c r="IQ8" s="123"/>
      <c r="IR8" s="123"/>
      <c r="IS8" s="123"/>
      <c r="IT8" s="123"/>
      <c r="IU8" s="123"/>
      <c r="IV8" s="123"/>
      <c r="IW8" s="123"/>
    </row>
    <row r="9" customFormat="false" ht="15" hidden="false" customHeight="false" outlineLevel="0" collapsed="false">
      <c r="A9" s="129" t="n">
        <v>36739</v>
      </c>
      <c r="B9" s="145" t="n">
        <f aca="false">+'GD Options'!M8</f>
        <v>0.063820029255873</v>
      </c>
      <c r="C9" s="146" t="n">
        <f aca="false">1/((1+B9/2)^(2*(A9-$B$1)/365.25))</f>
        <v>4.85574430433071</v>
      </c>
      <c r="D9" s="147" t="n">
        <f aca="false">+$D$17</f>
        <v>-50000</v>
      </c>
      <c r="E9" s="148" t="n">
        <f aca="false">+D9*'Deal Volumes'!B25</f>
        <v>-1550000</v>
      </c>
      <c r="F9" s="148" t="n">
        <f aca="false">+C9*E9</f>
        <v>-7526403.6717126</v>
      </c>
      <c r="G9" s="151" t="n">
        <f aca="false">+Curves!C5</f>
        <v>0</v>
      </c>
      <c r="H9" s="153" t="n">
        <f aca="false">+F9*(G9-$G$1)</f>
        <v>842957.211231811</v>
      </c>
      <c r="I9" s="155" t="n">
        <f aca="false">-F9*(G9-$E$1)</f>
        <v>0</v>
      </c>
      <c r="J9" s="201" t="n">
        <f aca="false">+$J$1*F9</f>
        <v>-353740.972570492</v>
      </c>
      <c r="K9" s="147" t="n">
        <f aca="false">+$K$1*F9</f>
        <v>-489216.238661319</v>
      </c>
      <c r="L9" s="158" t="n">
        <f aca="false">+K9+J9+I9</f>
        <v>-842957.211231811</v>
      </c>
      <c r="M9" s="159" t="n">
        <f aca="false">+H9+L9</f>
        <v>0</v>
      </c>
      <c r="N9" s="123"/>
      <c r="O9" s="123"/>
      <c r="P9" s="123"/>
      <c r="Q9" s="123"/>
      <c r="R9" s="123"/>
      <c r="S9" s="123"/>
      <c r="T9" s="123"/>
      <c r="U9" s="123"/>
      <c r="V9" s="123"/>
      <c r="W9" s="123"/>
      <c r="X9" s="123"/>
      <c r="Y9" s="123"/>
      <c r="Z9" s="123"/>
      <c r="AA9" s="123"/>
      <c r="AB9" s="123"/>
      <c r="AC9" s="123"/>
      <c r="AD9" s="123"/>
      <c r="AE9" s="123"/>
      <c r="AF9" s="123"/>
      <c r="AG9" s="123"/>
      <c r="AH9" s="123"/>
      <c r="AI9" s="123"/>
      <c r="AJ9" s="123"/>
      <c r="AK9" s="123"/>
      <c r="AL9" s="123"/>
      <c r="AM9" s="123"/>
      <c r="AN9" s="123"/>
      <c r="AO9" s="123"/>
      <c r="AP9" s="123"/>
      <c r="AQ9" s="123"/>
      <c r="AR9" s="123"/>
      <c r="AS9" s="123"/>
      <c r="AT9" s="123"/>
      <c r="AU9" s="123"/>
      <c r="AV9" s="123"/>
      <c r="AW9" s="123"/>
      <c r="AX9" s="123"/>
      <c r="AY9" s="123"/>
      <c r="AZ9" s="123"/>
      <c r="BA9" s="123"/>
      <c r="BB9" s="123"/>
      <c r="BC9" s="123"/>
      <c r="BD9" s="123"/>
      <c r="BE9" s="123"/>
      <c r="BF9" s="123"/>
      <c r="BG9" s="123"/>
      <c r="BH9" s="123"/>
      <c r="BI9" s="123"/>
      <c r="BJ9" s="123"/>
      <c r="BK9" s="123"/>
      <c r="BL9" s="123"/>
      <c r="BM9" s="123"/>
      <c r="BN9" s="123"/>
      <c r="BO9" s="123"/>
      <c r="BP9" s="123"/>
      <c r="BQ9" s="123"/>
      <c r="BR9" s="123"/>
      <c r="BS9" s="123"/>
      <c r="BT9" s="123"/>
      <c r="BU9" s="123"/>
      <c r="BV9" s="123"/>
      <c r="BW9" s="123"/>
      <c r="BX9" s="123"/>
      <c r="BY9" s="123"/>
      <c r="BZ9" s="123"/>
      <c r="CA9" s="123"/>
      <c r="CB9" s="123"/>
      <c r="CC9" s="123"/>
      <c r="CD9" s="123"/>
      <c r="CE9" s="123"/>
      <c r="CF9" s="123"/>
      <c r="CG9" s="123"/>
      <c r="CH9" s="123"/>
      <c r="CI9" s="123"/>
      <c r="CJ9" s="123"/>
      <c r="CK9" s="123"/>
      <c r="CL9" s="123"/>
      <c r="CM9" s="123"/>
      <c r="CN9" s="123"/>
      <c r="CO9" s="123"/>
      <c r="CP9" s="123"/>
      <c r="CQ9" s="123"/>
      <c r="CR9" s="123"/>
      <c r="CS9" s="123"/>
      <c r="CT9" s="123"/>
      <c r="CU9" s="123"/>
      <c r="CV9" s="123"/>
      <c r="CW9" s="123"/>
      <c r="CX9" s="123"/>
      <c r="CY9" s="123"/>
      <c r="CZ9" s="123"/>
      <c r="DA9" s="123"/>
      <c r="DB9" s="123"/>
      <c r="DC9" s="123"/>
      <c r="DD9" s="123"/>
      <c r="DE9" s="123"/>
      <c r="DF9" s="123"/>
      <c r="DG9" s="123"/>
      <c r="DH9" s="123"/>
      <c r="DI9" s="123"/>
      <c r="DJ9" s="123"/>
      <c r="DK9" s="123"/>
      <c r="DL9" s="123"/>
      <c r="DM9" s="123"/>
      <c r="DN9" s="123"/>
      <c r="DO9" s="123"/>
      <c r="DP9" s="123"/>
      <c r="DQ9" s="123"/>
      <c r="DR9" s="123"/>
      <c r="DS9" s="123"/>
      <c r="DT9" s="123"/>
      <c r="DU9" s="123"/>
      <c r="DV9" s="123"/>
      <c r="DW9" s="123"/>
      <c r="DX9" s="123"/>
      <c r="DY9" s="123"/>
      <c r="DZ9" s="123"/>
      <c r="EA9" s="123"/>
      <c r="EB9" s="123"/>
      <c r="EC9" s="123"/>
      <c r="ED9" s="123"/>
      <c r="EE9" s="123"/>
      <c r="EF9" s="123"/>
      <c r="EG9" s="123"/>
      <c r="EH9" s="123"/>
      <c r="EI9" s="123"/>
      <c r="EJ9" s="123"/>
      <c r="EK9" s="123"/>
      <c r="EL9" s="123"/>
      <c r="EM9" s="123"/>
      <c r="EN9" s="123"/>
      <c r="EO9" s="123"/>
      <c r="EP9" s="123"/>
      <c r="EQ9" s="123"/>
      <c r="ER9" s="123"/>
      <c r="ES9" s="123"/>
      <c r="ET9" s="123"/>
      <c r="EU9" s="123"/>
      <c r="EV9" s="123"/>
      <c r="EW9" s="123"/>
      <c r="EX9" s="123"/>
      <c r="EY9" s="123"/>
      <c r="EZ9" s="123"/>
      <c r="FA9" s="123"/>
      <c r="FB9" s="123"/>
      <c r="FC9" s="123"/>
      <c r="FD9" s="123"/>
      <c r="FE9" s="123"/>
      <c r="FF9" s="123"/>
      <c r="FG9" s="123"/>
      <c r="FH9" s="123"/>
      <c r="FI9" s="123"/>
      <c r="FJ9" s="123"/>
      <c r="FK9" s="123"/>
      <c r="FL9" s="123"/>
      <c r="FM9" s="123"/>
      <c r="FN9" s="123"/>
      <c r="FO9" s="123"/>
      <c r="FP9" s="123"/>
      <c r="FQ9" s="123"/>
      <c r="FR9" s="123"/>
      <c r="FS9" s="123"/>
      <c r="FT9" s="123"/>
      <c r="FU9" s="123"/>
      <c r="FV9" s="123"/>
      <c r="FW9" s="123"/>
      <c r="FX9" s="123"/>
      <c r="FY9" s="123"/>
      <c r="FZ9" s="123"/>
      <c r="GA9" s="123"/>
      <c r="GB9" s="123"/>
      <c r="GC9" s="123"/>
      <c r="GD9" s="123"/>
      <c r="GE9" s="123"/>
      <c r="GF9" s="123"/>
      <c r="GG9" s="123"/>
      <c r="GH9" s="123"/>
      <c r="GI9" s="123"/>
      <c r="GJ9" s="123"/>
      <c r="GK9" s="123"/>
      <c r="GL9" s="123"/>
      <c r="GM9" s="123"/>
      <c r="GN9" s="123"/>
      <c r="GO9" s="123"/>
      <c r="GP9" s="123"/>
      <c r="GQ9" s="123"/>
      <c r="GR9" s="123"/>
      <c r="GS9" s="123"/>
      <c r="GT9" s="123"/>
      <c r="GU9" s="123"/>
      <c r="GV9" s="123"/>
      <c r="GW9" s="123"/>
      <c r="GX9" s="123"/>
      <c r="GY9" s="123"/>
      <c r="GZ9" s="123"/>
      <c r="HA9" s="123"/>
      <c r="HB9" s="123"/>
      <c r="HC9" s="123"/>
      <c r="HD9" s="123"/>
      <c r="HE9" s="123"/>
      <c r="HF9" s="123"/>
      <c r="HG9" s="123"/>
      <c r="HH9" s="123"/>
      <c r="HI9" s="123"/>
      <c r="HJ9" s="123"/>
      <c r="HK9" s="123"/>
      <c r="HL9" s="123"/>
      <c r="HM9" s="123"/>
      <c r="HN9" s="123"/>
      <c r="HO9" s="123"/>
      <c r="HP9" s="123"/>
      <c r="HQ9" s="123"/>
      <c r="HR9" s="123"/>
      <c r="HS9" s="123"/>
      <c r="HT9" s="123"/>
      <c r="HU9" s="123"/>
      <c r="HV9" s="123"/>
      <c r="HW9" s="123"/>
      <c r="HX9" s="123"/>
      <c r="HY9" s="123"/>
      <c r="HZ9" s="123"/>
      <c r="IA9" s="123"/>
      <c r="IB9" s="123"/>
      <c r="IC9" s="123"/>
      <c r="ID9" s="123"/>
      <c r="IE9" s="123"/>
      <c r="IF9" s="123"/>
      <c r="IG9" s="123"/>
      <c r="IH9" s="123"/>
      <c r="II9" s="123"/>
      <c r="IJ9" s="123"/>
      <c r="IK9" s="123"/>
      <c r="IL9" s="123"/>
      <c r="IM9" s="123"/>
      <c r="IN9" s="123"/>
      <c r="IO9" s="123"/>
      <c r="IP9" s="123"/>
      <c r="IQ9" s="123"/>
      <c r="IR9" s="123"/>
      <c r="IS9" s="123"/>
      <c r="IT9" s="123"/>
      <c r="IU9" s="123"/>
      <c r="IV9" s="123"/>
      <c r="IW9" s="123"/>
    </row>
    <row r="10" customFormat="false" ht="15" hidden="false" customHeight="false" outlineLevel="0" collapsed="false">
      <c r="A10" s="129" t="n">
        <v>36770</v>
      </c>
      <c r="B10" s="160" t="n">
        <f aca="false">+'GD Options'!M9</f>
        <v>0.064455430326432</v>
      </c>
      <c r="C10" s="161" t="n">
        <f aca="false">1/((1+B10/2)^(2*(A10-$B$1)/365.25))</f>
        <v>4.90504153607762</v>
      </c>
      <c r="D10" s="162" t="n">
        <f aca="false">+$D$17</f>
        <v>-50000</v>
      </c>
      <c r="E10" s="163" t="n">
        <f aca="false">+D10*'Deal Volumes'!B26</f>
        <v>-1500000</v>
      </c>
      <c r="F10" s="163" t="n">
        <f aca="false">+C10*E10</f>
        <v>-7357562.30411643</v>
      </c>
      <c r="G10" s="166" t="n">
        <f aca="false">+Curves!C6</f>
        <v>0</v>
      </c>
      <c r="H10" s="168" t="n">
        <f aca="false">+F10*(G10-$G$1)</f>
        <v>824046.97806104</v>
      </c>
      <c r="I10" s="170" t="n">
        <f aca="false">-F10*(G10-$E$1)</f>
        <v>0</v>
      </c>
      <c r="J10" s="202" t="n">
        <f aca="false">+$J$1*F10</f>
        <v>-345805.428293472</v>
      </c>
      <c r="K10" s="162" t="n">
        <f aca="false">+$K$1*F10</f>
        <v>-478241.549767568</v>
      </c>
      <c r="L10" s="173" t="n">
        <f aca="false">+K10+J10+I10</f>
        <v>-824046.97806104</v>
      </c>
      <c r="M10" s="174" t="n">
        <f aca="false">+H10+L10</f>
        <v>0</v>
      </c>
      <c r="N10" s="123"/>
      <c r="O10" s="123"/>
      <c r="P10" s="123"/>
      <c r="Q10" s="123"/>
      <c r="R10" s="123"/>
      <c r="S10" s="123"/>
      <c r="T10" s="123"/>
      <c r="U10" s="123"/>
      <c r="V10" s="123"/>
      <c r="W10" s="123"/>
      <c r="X10" s="123"/>
      <c r="Y10" s="123"/>
      <c r="Z10" s="123"/>
      <c r="AA10" s="123"/>
      <c r="AB10" s="123"/>
      <c r="AC10" s="123"/>
      <c r="AD10" s="123"/>
      <c r="AE10" s="123"/>
      <c r="AF10" s="123"/>
      <c r="AG10" s="123"/>
      <c r="AH10" s="123"/>
      <c r="AI10" s="123"/>
      <c r="AJ10" s="123"/>
      <c r="AK10" s="123"/>
      <c r="AL10" s="123"/>
      <c r="AM10" s="123"/>
      <c r="AN10" s="123"/>
      <c r="AO10" s="123"/>
      <c r="AP10" s="123"/>
      <c r="AQ10" s="123"/>
      <c r="AR10" s="123"/>
      <c r="AS10" s="123"/>
      <c r="AT10" s="123"/>
      <c r="AU10" s="123"/>
      <c r="AV10" s="123"/>
      <c r="AW10" s="123"/>
      <c r="AX10" s="123"/>
      <c r="AY10" s="123"/>
      <c r="AZ10" s="123"/>
      <c r="BA10" s="123"/>
      <c r="BB10" s="123"/>
      <c r="BC10" s="123"/>
      <c r="BD10" s="123"/>
      <c r="BE10" s="123"/>
      <c r="BF10" s="123"/>
      <c r="BG10" s="123"/>
      <c r="BH10" s="123"/>
      <c r="BI10" s="123"/>
      <c r="BJ10" s="123"/>
      <c r="BK10" s="123"/>
      <c r="BL10" s="123"/>
      <c r="BM10" s="123"/>
      <c r="BN10" s="123"/>
      <c r="BO10" s="123"/>
      <c r="BP10" s="123"/>
      <c r="BQ10" s="123"/>
      <c r="BR10" s="123"/>
      <c r="BS10" s="123"/>
      <c r="BT10" s="123"/>
      <c r="BU10" s="123"/>
      <c r="BV10" s="123"/>
      <c r="BW10" s="123"/>
      <c r="BX10" s="123"/>
      <c r="BY10" s="123"/>
      <c r="BZ10" s="123"/>
      <c r="CA10" s="123"/>
      <c r="CB10" s="123"/>
      <c r="CC10" s="123"/>
      <c r="CD10" s="123"/>
      <c r="CE10" s="123"/>
      <c r="CF10" s="123"/>
      <c r="CG10" s="123"/>
      <c r="CH10" s="123"/>
      <c r="CI10" s="123"/>
      <c r="CJ10" s="123"/>
      <c r="CK10" s="123"/>
      <c r="CL10" s="123"/>
      <c r="CM10" s="123"/>
      <c r="CN10" s="123"/>
      <c r="CO10" s="123"/>
      <c r="CP10" s="123"/>
      <c r="CQ10" s="123"/>
      <c r="CR10" s="123"/>
      <c r="CS10" s="123"/>
      <c r="CT10" s="123"/>
      <c r="CU10" s="123"/>
      <c r="CV10" s="123"/>
      <c r="CW10" s="123"/>
      <c r="CX10" s="123"/>
      <c r="CY10" s="123"/>
      <c r="CZ10" s="123"/>
      <c r="DA10" s="123"/>
      <c r="DB10" s="123"/>
      <c r="DC10" s="123"/>
      <c r="DD10" s="123"/>
      <c r="DE10" s="123"/>
      <c r="DF10" s="123"/>
      <c r="DG10" s="123"/>
      <c r="DH10" s="123"/>
      <c r="DI10" s="123"/>
      <c r="DJ10" s="123"/>
      <c r="DK10" s="123"/>
      <c r="DL10" s="123"/>
      <c r="DM10" s="123"/>
      <c r="DN10" s="123"/>
      <c r="DO10" s="123"/>
      <c r="DP10" s="123"/>
      <c r="DQ10" s="123"/>
      <c r="DR10" s="123"/>
      <c r="DS10" s="123"/>
      <c r="DT10" s="123"/>
      <c r="DU10" s="123"/>
      <c r="DV10" s="123"/>
      <c r="DW10" s="123"/>
      <c r="DX10" s="123"/>
      <c r="DY10" s="123"/>
      <c r="DZ10" s="123"/>
      <c r="EA10" s="123"/>
      <c r="EB10" s="123"/>
      <c r="EC10" s="123"/>
      <c r="ED10" s="123"/>
      <c r="EE10" s="123"/>
      <c r="EF10" s="123"/>
      <c r="EG10" s="123"/>
      <c r="EH10" s="123"/>
      <c r="EI10" s="123"/>
      <c r="EJ10" s="123"/>
      <c r="EK10" s="123"/>
      <c r="EL10" s="123"/>
      <c r="EM10" s="123"/>
      <c r="EN10" s="123"/>
      <c r="EO10" s="123"/>
      <c r="EP10" s="123"/>
      <c r="EQ10" s="123"/>
      <c r="ER10" s="123"/>
      <c r="ES10" s="123"/>
      <c r="ET10" s="123"/>
      <c r="EU10" s="123"/>
      <c r="EV10" s="123"/>
      <c r="EW10" s="123"/>
      <c r="EX10" s="123"/>
      <c r="EY10" s="123"/>
      <c r="EZ10" s="123"/>
      <c r="FA10" s="123"/>
      <c r="FB10" s="123"/>
      <c r="FC10" s="123"/>
      <c r="FD10" s="123"/>
      <c r="FE10" s="123"/>
      <c r="FF10" s="123"/>
      <c r="FG10" s="123"/>
      <c r="FH10" s="123"/>
      <c r="FI10" s="123"/>
      <c r="FJ10" s="123"/>
      <c r="FK10" s="123"/>
      <c r="FL10" s="123"/>
      <c r="FM10" s="123"/>
      <c r="FN10" s="123"/>
      <c r="FO10" s="123"/>
      <c r="FP10" s="123"/>
      <c r="FQ10" s="123"/>
      <c r="FR10" s="123"/>
      <c r="FS10" s="123"/>
      <c r="FT10" s="123"/>
      <c r="FU10" s="123"/>
      <c r="FV10" s="123"/>
      <c r="FW10" s="123"/>
      <c r="FX10" s="123"/>
      <c r="FY10" s="123"/>
      <c r="FZ10" s="123"/>
      <c r="GA10" s="123"/>
      <c r="GB10" s="123"/>
      <c r="GC10" s="123"/>
      <c r="GD10" s="123"/>
      <c r="GE10" s="123"/>
      <c r="GF10" s="123"/>
      <c r="GG10" s="123"/>
      <c r="GH10" s="123"/>
      <c r="GI10" s="123"/>
      <c r="GJ10" s="123"/>
      <c r="GK10" s="123"/>
      <c r="GL10" s="123"/>
      <c r="GM10" s="123"/>
      <c r="GN10" s="123"/>
      <c r="GO10" s="123"/>
      <c r="GP10" s="123"/>
      <c r="GQ10" s="123"/>
      <c r="GR10" s="123"/>
      <c r="GS10" s="123"/>
      <c r="GT10" s="123"/>
      <c r="GU10" s="123"/>
      <c r="GV10" s="123"/>
      <c r="GW10" s="123"/>
      <c r="GX10" s="123"/>
      <c r="GY10" s="123"/>
      <c r="GZ10" s="123"/>
      <c r="HA10" s="123"/>
      <c r="HB10" s="123"/>
      <c r="HC10" s="123"/>
      <c r="HD10" s="123"/>
      <c r="HE10" s="123"/>
      <c r="HF10" s="123"/>
      <c r="HG10" s="123"/>
      <c r="HH10" s="123"/>
      <c r="HI10" s="123"/>
      <c r="HJ10" s="123"/>
      <c r="HK10" s="123"/>
      <c r="HL10" s="123"/>
      <c r="HM10" s="123"/>
      <c r="HN10" s="123"/>
      <c r="HO10" s="123"/>
      <c r="HP10" s="123"/>
      <c r="HQ10" s="123"/>
      <c r="HR10" s="123"/>
      <c r="HS10" s="123"/>
      <c r="HT10" s="123"/>
      <c r="HU10" s="123"/>
      <c r="HV10" s="123"/>
      <c r="HW10" s="123"/>
      <c r="HX10" s="123"/>
      <c r="HY10" s="123"/>
      <c r="HZ10" s="123"/>
      <c r="IA10" s="123"/>
      <c r="IB10" s="123"/>
      <c r="IC10" s="123"/>
      <c r="ID10" s="123"/>
      <c r="IE10" s="123"/>
      <c r="IF10" s="123"/>
      <c r="IG10" s="123"/>
      <c r="IH10" s="123"/>
      <c r="II10" s="123"/>
      <c r="IJ10" s="123"/>
      <c r="IK10" s="123"/>
      <c r="IL10" s="123"/>
      <c r="IM10" s="123"/>
      <c r="IN10" s="123"/>
      <c r="IO10" s="123"/>
      <c r="IP10" s="123"/>
      <c r="IQ10" s="123"/>
      <c r="IR10" s="123"/>
      <c r="IS10" s="123"/>
      <c r="IT10" s="123"/>
      <c r="IU10" s="123"/>
      <c r="IV10" s="123"/>
      <c r="IW10" s="123"/>
    </row>
    <row r="11" customFormat="false" ht="12.75" hidden="false" customHeight="false" outlineLevel="0" collapsed="false">
      <c r="A11" s="123"/>
      <c r="B11" s="123"/>
      <c r="C11" s="123"/>
      <c r="D11" s="123"/>
      <c r="E11" s="123"/>
      <c r="F11" s="123"/>
      <c r="G11" s="123"/>
      <c r="H11" s="123"/>
      <c r="I11" s="123"/>
      <c r="J11" s="123"/>
      <c r="K11" s="123"/>
      <c r="L11" s="123"/>
      <c r="M11" s="123"/>
      <c r="N11" s="123"/>
      <c r="O11" s="123"/>
      <c r="P11" s="123"/>
      <c r="Q11" s="123"/>
      <c r="R11" s="123"/>
      <c r="S11" s="123"/>
      <c r="T11" s="123"/>
      <c r="U11" s="123"/>
      <c r="V11" s="123"/>
      <c r="W11" s="123"/>
      <c r="X11" s="123"/>
      <c r="Y11" s="123"/>
      <c r="Z11" s="123"/>
      <c r="AA11" s="123"/>
      <c r="AB11" s="123"/>
      <c r="AC11" s="123"/>
      <c r="AD11" s="123"/>
      <c r="AE11" s="123"/>
      <c r="AF11" s="123"/>
      <c r="AG11" s="123"/>
      <c r="AH11" s="123"/>
      <c r="AI11" s="123"/>
      <c r="AJ11" s="123"/>
      <c r="AK11" s="123"/>
      <c r="AL11" s="123"/>
      <c r="AM11" s="123"/>
      <c r="AN11" s="123"/>
      <c r="AO11" s="123"/>
      <c r="AP11" s="123"/>
      <c r="AQ11" s="123"/>
      <c r="AR11" s="123"/>
      <c r="AS11" s="123"/>
      <c r="AT11" s="123"/>
      <c r="AU11" s="123"/>
      <c r="AV11" s="123"/>
      <c r="AW11" s="123"/>
      <c r="AX11" s="123"/>
      <c r="AY11" s="123"/>
      <c r="AZ11" s="123"/>
      <c r="BA11" s="123"/>
      <c r="BB11" s="123"/>
      <c r="BC11" s="123"/>
      <c r="BD11" s="123"/>
      <c r="BE11" s="123"/>
      <c r="BF11" s="123"/>
      <c r="BG11" s="123"/>
      <c r="BH11" s="123"/>
      <c r="BI11" s="123"/>
      <c r="BJ11" s="123"/>
      <c r="BK11" s="123"/>
      <c r="BL11" s="123"/>
      <c r="BM11" s="123"/>
      <c r="BN11" s="123"/>
      <c r="BO11" s="123"/>
      <c r="BP11" s="123"/>
      <c r="BQ11" s="123"/>
      <c r="BR11" s="123"/>
      <c r="BS11" s="123"/>
      <c r="BT11" s="123"/>
      <c r="BU11" s="123"/>
      <c r="BV11" s="123"/>
      <c r="BW11" s="123"/>
      <c r="BX11" s="123"/>
      <c r="BY11" s="123"/>
      <c r="BZ11" s="123"/>
      <c r="CA11" s="123"/>
      <c r="CB11" s="123"/>
      <c r="CC11" s="123"/>
      <c r="CD11" s="123"/>
      <c r="CE11" s="123"/>
      <c r="CF11" s="123"/>
      <c r="CG11" s="123"/>
      <c r="CH11" s="123"/>
      <c r="CI11" s="123"/>
      <c r="CJ11" s="123"/>
      <c r="CK11" s="123"/>
      <c r="CL11" s="123"/>
      <c r="CM11" s="123"/>
      <c r="CN11" s="123"/>
      <c r="CO11" s="123"/>
      <c r="CP11" s="123"/>
      <c r="CQ11" s="123"/>
      <c r="CR11" s="123"/>
      <c r="CS11" s="123"/>
      <c r="CT11" s="123"/>
      <c r="CU11" s="123"/>
      <c r="CV11" s="123"/>
      <c r="CW11" s="123"/>
      <c r="CX11" s="123"/>
      <c r="CY11" s="123"/>
      <c r="CZ11" s="123"/>
      <c r="DA11" s="123"/>
      <c r="DB11" s="123"/>
      <c r="DC11" s="123"/>
      <c r="DD11" s="123"/>
      <c r="DE11" s="123"/>
      <c r="DF11" s="123"/>
      <c r="DG11" s="123"/>
      <c r="DH11" s="123"/>
      <c r="DI11" s="123"/>
      <c r="DJ11" s="123"/>
      <c r="DK11" s="123"/>
      <c r="DL11" s="123"/>
      <c r="DM11" s="123"/>
      <c r="DN11" s="123"/>
      <c r="DO11" s="123"/>
      <c r="DP11" s="123"/>
      <c r="DQ11" s="123"/>
      <c r="DR11" s="123"/>
      <c r="DS11" s="123"/>
      <c r="DT11" s="123"/>
      <c r="DU11" s="123"/>
      <c r="DV11" s="123"/>
      <c r="DW11" s="123"/>
      <c r="DX11" s="123"/>
      <c r="DY11" s="123"/>
      <c r="DZ11" s="123"/>
      <c r="EA11" s="123"/>
      <c r="EB11" s="123"/>
      <c r="EC11" s="123"/>
      <c r="ED11" s="123"/>
      <c r="EE11" s="123"/>
      <c r="EF11" s="123"/>
      <c r="EG11" s="123"/>
      <c r="EH11" s="123"/>
      <c r="EI11" s="123"/>
      <c r="EJ11" s="123"/>
      <c r="EK11" s="123"/>
      <c r="EL11" s="123"/>
      <c r="EM11" s="123"/>
      <c r="EN11" s="123"/>
      <c r="EO11" s="123"/>
      <c r="EP11" s="123"/>
      <c r="EQ11" s="123"/>
      <c r="ER11" s="123"/>
      <c r="ES11" s="123"/>
      <c r="ET11" s="123"/>
      <c r="EU11" s="123"/>
      <c r="EV11" s="123"/>
      <c r="EW11" s="123"/>
      <c r="EX11" s="123"/>
      <c r="EY11" s="123"/>
      <c r="EZ11" s="123"/>
      <c r="FA11" s="123"/>
      <c r="FB11" s="123"/>
      <c r="FC11" s="123"/>
      <c r="FD11" s="123"/>
      <c r="FE11" s="123"/>
      <c r="FF11" s="123"/>
      <c r="FG11" s="123"/>
      <c r="FH11" s="123"/>
      <c r="FI11" s="123"/>
      <c r="FJ11" s="123"/>
      <c r="FK11" s="123"/>
      <c r="FL11" s="123"/>
      <c r="FM11" s="123"/>
      <c r="FN11" s="123"/>
      <c r="FO11" s="123"/>
      <c r="FP11" s="123"/>
      <c r="FQ11" s="123"/>
      <c r="FR11" s="123"/>
      <c r="FS11" s="123"/>
      <c r="FT11" s="123"/>
      <c r="FU11" s="123"/>
      <c r="FV11" s="123"/>
      <c r="FW11" s="123"/>
      <c r="FX11" s="123"/>
      <c r="FY11" s="123"/>
      <c r="FZ11" s="123"/>
      <c r="GA11" s="123"/>
      <c r="GB11" s="123"/>
      <c r="GC11" s="123"/>
      <c r="GD11" s="123"/>
      <c r="GE11" s="123"/>
      <c r="GF11" s="123"/>
      <c r="GG11" s="123"/>
      <c r="GH11" s="123"/>
      <c r="GI11" s="123"/>
      <c r="GJ11" s="123"/>
      <c r="GK11" s="123"/>
      <c r="GL11" s="123"/>
      <c r="GM11" s="123"/>
      <c r="GN11" s="123"/>
      <c r="GO11" s="123"/>
      <c r="GP11" s="123"/>
      <c r="GQ11" s="123"/>
      <c r="GR11" s="123"/>
      <c r="GS11" s="123"/>
      <c r="GT11" s="123"/>
      <c r="GU11" s="123"/>
      <c r="GV11" s="123"/>
      <c r="GW11" s="123"/>
      <c r="GX11" s="123"/>
      <c r="GY11" s="123"/>
      <c r="GZ11" s="123"/>
      <c r="HA11" s="123"/>
      <c r="HB11" s="123"/>
      <c r="HC11" s="123"/>
      <c r="HD11" s="123"/>
      <c r="HE11" s="123"/>
      <c r="HF11" s="123"/>
      <c r="HG11" s="123"/>
      <c r="HH11" s="123"/>
      <c r="HI11" s="123"/>
      <c r="HJ11" s="123"/>
      <c r="HK11" s="123"/>
      <c r="HL11" s="123"/>
      <c r="HM11" s="123"/>
      <c r="HN11" s="123"/>
      <c r="HO11" s="123"/>
      <c r="HP11" s="123"/>
      <c r="HQ11" s="123"/>
      <c r="HR11" s="123"/>
      <c r="HS11" s="123"/>
      <c r="HT11" s="123"/>
      <c r="HU11" s="123"/>
      <c r="HV11" s="123"/>
      <c r="HW11" s="123"/>
      <c r="HX11" s="123"/>
      <c r="HY11" s="123"/>
      <c r="HZ11" s="123"/>
      <c r="IA11" s="123"/>
      <c r="IB11" s="123"/>
      <c r="IC11" s="123"/>
      <c r="ID11" s="123"/>
      <c r="IE11" s="123"/>
      <c r="IF11" s="123"/>
      <c r="IG11" s="123"/>
      <c r="IH11" s="123"/>
      <c r="II11" s="123"/>
      <c r="IJ11" s="123"/>
      <c r="IK11" s="123"/>
      <c r="IL11" s="123"/>
      <c r="IM11" s="123"/>
      <c r="IN11" s="123"/>
      <c r="IO11" s="123"/>
      <c r="IP11" s="123"/>
      <c r="IQ11" s="123"/>
      <c r="IR11" s="123"/>
      <c r="IS11" s="123"/>
      <c r="IT11" s="123"/>
      <c r="IU11" s="123"/>
      <c r="IV11" s="123"/>
      <c r="IW11" s="123"/>
    </row>
    <row r="12" customFormat="false" ht="18" hidden="false" customHeight="false" outlineLevel="0" collapsed="false">
      <c r="A12" s="176" t="s">
        <v>21</v>
      </c>
      <c r="B12" s="177"/>
      <c r="C12" s="177"/>
      <c r="D12" s="177"/>
      <c r="E12" s="178" t="n">
        <f aca="false">SUM(E6:E10)</f>
        <v>-7650000</v>
      </c>
      <c r="F12" s="178" t="n">
        <f aca="false">SUM(F6:F10)</f>
        <v>-36662016.5189926</v>
      </c>
      <c r="G12" s="177"/>
      <c r="H12" s="179" t="n">
        <f aca="false">SUM(H6:H10)</f>
        <v>4177786.3694053</v>
      </c>
      <c r="I12" s="179" t="n">
        <f aca="false">SUM(I6:I10)</f>
        <v>-71640.5192781254</v>
      </c>
      <c r="J12" s="179" t="n">
        <f aca="false">SUM(J6:J10)</f>
        <v>-1723114.77639265</v>
      </c>
      <c r="K12" s="179" t="n">
        <f aca="false">SUM(K6:K10)</f>
        <v>-2383031.07373452</v>
      </c>
      <c r="L12" s="179" t="n">
        <f aca="false">SUM(L6:L10)</f>
        <v>-4177786.3694053</v>
      </c>
      <c r="M12" s="180" t="n">
        <f aca="false">SUM(M6:M10)</f>
        <v>0</v>
      </c>
      <c r="N12" s="181"/>
      <c r="O12" s="181"/>
      <c r="P12" s="181"/>
      <c r="Q12" s="181"/>
      <c r="R12" s="181"/>
      <c r="S12" s="181"/>
      <c r="T12" s="181"/>
      <c r="U12" s="181"/>
      <c r="V12" s="181"/>
      <c r="W12" s="181"/>
      <c r="X12" s="181"/>
      <c r="Y12" s="181"/>
      <c r="Z12" s="181"/>
      <c r="AA12" s="181"/>
      <c r="AB12" s="181"/>
      <c r="AC12" s="181"/>
      <c r="AD12" s="181"/>
      <c r="AE12" s="181"/>
      <c r="AF12" s="181"/>
      <c r="AG12" s="181"/>
      <c r="AH12" s="181"/>
      <c r="AI12" s="181"/>
      <c r="AJ12" s="181"/>
      <c r="AK12" s="181"/>
      <c r="AL12" s="181"/>
      <c r="AM12" s="181"/>
      <c r="AN12" s="181"/>
      <c r="AO12" s="181"/>
      <c r="AP12" s="181"/>
      <c r="AQ12" s="181"/>
      <c r="AR12" s="181"/>
      <c r="AS12" s="181"/>
      <c r="AT12" s="181"/>
      <c r="AU12" s="181"/>
      <c r="AV12" s="181"/>
      <c r="AW12" s="181"/>
      <c r="AX12" s="181"/>
      <c r="AY12" s="181"/>
      <c r="AZ12" s="181"/>
      <c r="BA12" s="181"/>
      <c r="BB12" s="181"/>
      <c r="BC12" s="181"/>
      <c r="BD12" s="181"/>
      <c r="BE12" s="181"/>
      <c r="BF12" s="181"/>
      <c r="BG12" s="181"/>
      <c r="BH12" s="181"/>
      <c r="BI12" s="181"/>
      <c r="BJ12" s="181"/>
      <c r="BK12" s="181"/>
      <c r="BL12" s="181"/>
      <c r="BM12" s="181"/>
      <c r="BN12" s="181"/>
      <c r="BO12" s="181"/>
      <c r="BP12" s="181"/>
      <c r="BQ12" s="181"/>
      <c r="BR12" s="181"/>
      <c r="BS12" s="181"/>
      <c r="BT12" s="181"/>
      <c r="BU12" s="181"/>
      <c r="BV12" s="181"/>
      <c r="BW12" s="181"/>
      <c r="BX12" s="181"/>
      <c r="BY12" s="181"/>
      <c r="BZ12" s="181"/>
      <c r="CA12" s="181"/>
      <c r="CB12" s="181"/>
      <c r="CC12" s="181"/>
      <c r="CD12" s="181"/>
      <c r="CE12" s="181"/>
      <c r="CF12" s="181"/>
      <c r="CG12" s="181"/>
      <c r="CH12" s="181"/>
      <c r="CI12" s="181"/>
      <c r="CJ12" s="181"/>
      <c r="CK12" s="181"/>
      <c r="CL12" s="181"/>
      <c r="CM12" s="181"/>
      <c r="CN12" s="181"/>
      <c r="CO12" s="181"/>
      <c r="CP12" s="181"/>
      <c r="CQ12" s="181"/>
      <c r="CR12" s="181"/>
      <c r="CS12" s="181"/>
      <c r="CT12" s="181"/>
      <c r="CU12" s="181"/>
      <c r="CV12" s="181"/>
      <c r="CW12" s="181"/>
      <c r="CX12" s="181"/>
      <c r="CY12" s="181"/>
      <c r="CZ12" s="181"/>
      <c r="DA12" s="181"/>
      <c r="DB12" s="181"/>
      <c r="DC12" s="181"/>
      <c r="DD12" s="181"/>
      <c r="DE12" s="181"/>
      <c r="DF12" s="181"/>
      <c r="DG12" s="181"/>
      <c r="DH12" s="181"/>
      <c r="DI12" s="181"/>
      <c r="DJ12" s="181"/>
      <c r="DK12" s="181"/>
      <c r="DL12" s="181"/>
      <c r="DM12" s="181"/>
      <c r="DN12" s="181"/>
      <c r="DO12" s="181"/>
      <c r="DP12" s="181"/>
      <c r="DQ12" s="181"/>
      <c r="DR12" s="181"/>
      <c r="DS12" s="181"/>
      <c r="DT12" s="181"/>
      <c r="DU12" s="181"/>
      <c r="DV12" s="181"/>
      <c r="DW12" s="181"/>
      <c r="DX12" s="181"/>
      <c r="DY12" s="181"/>
      <c r="DZ12" s="181"/>
      <c r="EA12" s="181"/>
      <c r="EB12" s="181"/>
      <c r="EC12" s="181"/>
      <c r="ED12" s="181"/>
      <c r="EE12" s="181"/>
      <c r="EF12" s="181"/>
      <c r="EG12" s="181"/>
      <c r="EH12" s="181"/>
      <c r="EI12" s="181"/>
      <c r="EJ12" s="181"/>
      <c r="EK12" s="181"/>
      <c r="EL12" s="181"/>
      <c r="EM12" s="181"/>
      <c r="EN12" s="181"/>
      <c r="EO12" s="181"/>
      <c r="EP12" s="181"/>
      <c r="EQ12" s="181"/>
      <c r="ER12" s="181"/>
      <c r="ES12" s="181"/>
      <c r="ET12" s="181"/>
      <c r="EU12" s="181"/>
      <c r="EV12" s="181"/>
      <c r="EW12" s="181"/>
      <c r="EX12" s="181"/>
      <c r="EY12" s="181"/>
      <c r="EZ12" s="181"/>
      <c r="FA12" s="181"/>
      <c r="FB12" s="181"/>
      <c r="FC12" s="181"/>
      <c r="FD12" s="181"/>
      <c r="FE12" s="181"/>
      <c r="FF12" s="181"/>
      <c r="FG12" s="181"/>
      <c r="FH12" s="181"/>
      <c r="FI12" s="181"/>
      <c r="FJ12" s="181"/>
      <c r="FK12" s="181"/>
      <c r="FL12" s="181"/>
      <c r="FM12" s="181"/>
      <c r="FN12" s="181"/>
      <c r="FO12" s="181"/>
      <c r="FP12" s="181"/>
      <c r="FQ12" s="181"/>
      <c r="FR12" s="181"/>
      <c r="FS12" s="181"/>
      <c r="FT12" s="181"/>
      <c r="FU12" s="181"/>
      <c r="FV12" s="181"/>
      <c r="FW12" s="181"/>
      <c r="FX12" s="181"/>
      <c r="FY12" s="181"/>
      <c r="FZ12" s="181"/>
      <c r="GA12" s="181"/>
      <c r="GB12" s="181"/>
      <c r="GC12" s="181"/>
      <c r="GD12" s="181"/>
      <c r="GE12" s="181"/>
      <c r="GF12" s="181"/>
      <c r="GG12" s="181"/>
      <c r="GH12" s="181"/>
      <c r="GI12" s="181"/>
      <c r="GJ12" s="181"/>
      <c r="GK12" s="181"/>
      <c r="GL12" s="181"/>
      <c r="GM12" s="181"/>
      <c r="GN12" s="181"/>
      <c r="GO12" s="181"/>
      <c r="GP12" s="181"/>
      <c r="GQ12" s="181"/>
      <c r="GR12" s="181"/>
      <c r="GS12" s="181"/>
      <c r="GT12" s="181"/>
      <c r="GU12" s="181"/>
      <c r="GV12" s="181"/>
      <c r="GW12" s="181"/>
      <c r="GX12" s="181"/>
      <c r="GY12" s="181"/>
      <c r="GZ12" s="181"/>
      <c r="HA12" s="181"/>
      <c r="HB12" s="181"/>
      <c r="HC12" s="181"/>
      <c r="HD12" s="181"/>
      <c r="HE12" s="181"/>
      <c r="HF12" s="181"/>
      <c r="HG12" s="181"/>
      <c r="HH12" s="181"/>
      <c r="HI12" s="181"/>
      <c r="HJ12" s="181"/>
      <c r="HK12" s="181"/>
      <c r="HL12" s="181"/>
      <c r="HM12" s="181"/>
      <c r="HN12" s="181"/>
      <c r="HO12" s="181"/>
      <c r="HP12" s="181"/>
      <c r="HQ12" s="181"/>
      <c r="HR12" s="181"/>
      <c r="HS12" s="181"/>
      <c r="HT12" s="181"/>
      <c r="HU12" s="181"/>
      <c r="HV12" s="181"/>
      <c r="HW12" s="181"/>
      <c r="HX12" s="181"/>
      <c r="HY12" s="181"/>
      <c r="HZ12" s="181"/>
      <c r="IA12" s="181"/>
      <c r="IB12" s="181"/>
      <c r="IC12" s="181"/>
      <c r="ID12" s="181"/>
      <c r="IE12" s="181"/>
      <c r="IF12" s="181"/>
      <c r="IG12" s="181"/>
      <c r="IH12" s="181"/>
      <c r="II12" s="181"/>
      <c r="IJ12" s="181"/>
      <c r="IK12" s="181"/>
      <c r="IL12" s="181"/>
      <c r="IM12" s="181"/>
      <c r="IN12" s="181"/>
      <c r="IO12" s="181"/>
      <c r="IP12" s="181"/>
      <c r="IQ12" s="181"/>
      <c r="IR12" s="181"/>
      <c r="IS12" s="181"/>
      <c r="IT12" s="181"/>
      <c r="IU12" s="181"/>
      <c r="IV12" s="181"/>
      <c r="IW12" s="181"/>
    </row>
    <row r="13" customFormat="false" ht="12.75" hidden="false" customHeight="false" outlineLevel="0" collapsed="false">
      <c r="A13" s="98" t="s">
        <v>104</v>
      </c>
      <c r="B13" s="182"/>
      <c r="C13" s="182"/>
      <c r="D13" s="182"/>
      <c r="E13" s="182"/>
      <c r="F13" s="182"/>
      <c r="G13" s="182"/>
      <c r="H13" s="183" t="n">
        <f aca="false">-H12/$F$12</f>
        <v>0.113954080164712</v>
      </c>
      <c r="I13" s="183"/>
      <c r="J13" s="183" t="n">
        <f aca="false">-J12/$F$12</f>
        <v>-0.047</v>
      </c>
      <c r="K13" s="183" t="n">
        <f aca="false">-K12/$F$12</f>
        <v>-0.065</v>
      </c>
      <c r="L13" s="183" t="n">
        <f aca="false">-L12/$F$12</f>
        <v>-0.113954080164712</v>
      </c>
      <c r="M13" s="203" t="n">
        <f aca="false">-M12/$F$12</f>
        <v>0</v>
      </c>
      <c r="N13" s="123"/>
      <c r="S13" s="123"/>
      <c r="T13" s="123"/>
      <c r="U13" s="123"/>
      <c r="V13" s="123"/>
      <c r="W13" s="123"/>
      <c r="X13" s="123"/>
      <c r="Y13" s="123"/>
      <c r="Z13" s="123"/>
      <c r="AA13" s="123"/>
      <c r="AB13" s="123"/>
      <c r="AC13" s="123"/>
      <c r="AD13" s="123"/>
      <c r="AE13" s="123"/>
      <c r="AF13" s="123"/>
      <c r="AG13" s="123"/>
      <c r="AH13" s="123"/>
      <c r="AI13" s="123"/>
      <c r="AJ13" s="123"/>
      <c r="AK13" s="123"/>
      <c r="AL13" s="123"/>
      <c r="AM13" s="123"/>
      <c r="AN13" s="123"/>
      <c r="AO13" s="123"/>
      <c r="AP13" s="123"/>
      <c r="AQ13" s="123"/>
      <c r="AR13" s="123"/>
      <c r="AS13" s="123"/>
      <c r="AT13" s="123"/>
      <c r="AU13" s="123"/>
      <c r="AV13" s="123"/>
      <c r="AW13" s="123"/>
      <c r="AX13" s="123"/>
      <c r="AY13" s="123"/>
      <c r="AZ13" s="123"/>
      <c r="BA13" s="123"/>
      <c r="BB13" s="123"/>
      <c r="BC13" s="123"/>
      <c r="BD13" s="123"/>
      <c r="BE13" s="123"/>
      <c r="BF13" s="123"/>
      <c r="BG13" s="123"/>
      <c r="BH13" s="123"/>
      <c r="BI13" s="123"/>
      <c r="BJ13" s="123"/>
      <c r="BK13" s="123"/>
      <c r="BL13" s="123"/>
      <c r="BM13" s="123"/>
      <c r="BN13" s="123"/>
      <c r="BO13" s="123"/>
      <c r="BP13" s="123"/>
      <c r="BQ13" s="123"/>
      <c r="BR13" s="123"/>
      <c r="BS13" s="123"/>
      <c r="BT13" s="123"/>
      <c r="BU13" s="123"/>
      <c r="BV13" s="123"/>
      <c r="BW13" s="123"/>
      <c r="BX13" s="123"/>
      <c r="BY13" s="123"/>
      <c r="BZ13" s="123"/>
      <c r="CA13" s="123"/>
      <c r="CB13" s="123"/>
      <c r="CC13" s="123"/>
      <c r="CD13" s="123"/>
      <c r="CE13" s="123"/>
      <c r="CF13" s="123"/>
      <c r="CG13" s="123"/>
      <c r="CH13" s="123"/>
      <c r="CI13" s="123"/>
      <c r="CJ13" s="123"/>
      <c r="CK13" s="123"/>
      <c r="CL13" s="123"/>
      <c r="CM13" s="123"/>
      <c r="CN13" s="123"/>
      <c r="CO13" s="123"/>
      <c r="CP13" s="123"/>
      <c r="CQ13" s="123"/>
      <c r="CR13" s="123"/>
      <c r="CS13" s="123"/>
      <c r="CT13" s="123"/>
      <c r="CU13" s="123"/>
      <c r="CV13" s="123"/>
      <c r="CW13" s="123"/>
      <c r="CX13" s="123"/>
      <c r="CY13" s="123"/>
      <c r="CZ13" s="123"/>
      <c r="DA13" s="123"/>
      <c r="DB13" s="123"/>
      <c r="DC13" s="123"/>
      <c r="DD13" s="123"/>
      <c r="DE13" s="123"/>
      <c r="DF13" s="123"/>
      <c r="DG13" s="123"/>
      <c r="DH13" s="123"/>
      <c r="DI13" s="123"/>
      <c r="DJ13" s="123"/>
      <c r="DK13" s="123"/>
      <c r="DL13" s="123"/>
      <c r="DM13" s="123"/>
      <c r="DN13" s="123"/>
      <c r="DO13" s="123"/>
      <c r="DP13" s="123"/>
      <c r="DQ13" s="123"/>
      <c r="DR13" s="123"/>
      <c r="DS13" s="123"/>
      <c r="DT13" s="123"/>
      <c r="DU13" s="123"/>
      <c r="DV13" s="123"/>
      <c r="DW13" s="123"/>
      <c r="DX13" s="123"/>
      <c r="DY13" s="123"/>
      <c r="DZ13" s="123"/>
      <c r="EA13" s="123"/>
      <c r="EB13" s="123"/>
      <c r="EC13" s="123"/>
      <c r="ED13" s="123"/>
      <c r="EE13" s="123"/>
      <c r="EF13" s="123"/>
      <c r="EG13" s="123"/>
      <c r="EH13" s="123"/>
      <c r="EI13" s="123"/>
      <c r="EJ13" s="123"/>
      <c r="EK13" s="123"/>
      <c r="EL13" s="123"/>
      <c r="EM13" s="123"/>
      <c r="EN13" s="123"/>
      <c r="EO13" s="123"/>
      <c r="EP13" s="123"/>
      <c r="EQ13" s="123"/>
      <c r="ER13" s="123"/>
      <c r="ES13" s="123"/>
      <c r="ET13" s="123"/>
      <c r="EU13" s="123"/>
      <c r="EV13" s="123"/>
      <c r="EW13" s="123"/>
      <c r="EX13" s="123"/>
      <c r="EY13" s="123"/>
      <c r="EZ13" s="123"/>
      <c r="FA13" s="123"/>
      <c r="FB13" s="123"/>
      <c r="FC13" s="123"/>
      <c r="FD13" s="123"/>
      <c r="FE13" s="123"/>
      <c r="FF13" s="123"/>
      <c r="FG13" s="123"/>
      <c r="FH13" s="123"/>
      <c r="FI13" s="123"/>
      <c r="FJ13" s="123"/>
      <c r="FK13" s="123"/>
      <c r="FL13" s="123"/>
      <c r="FM13" s="123"/>
      <c r="FN13" s="123"/>
      <c r="FO13" s="123"/>
      <c r="FP13" s="123"/>
      <c r="FQ13" s="123"/>
      <c r="FR13" s="123"/>
      <c r="FS13" s="123"/>
      <c r="FT13" s="123"/>
      <c r="FU13" s="123"/>
      <c r="FV13" s="123"/>
      <c r="FW13" s="123"/>
      <c r="FX13" s="123"/>
      <c r="FY13" s="123"/>
      <c r="FZ13" s="123"/>
      <c r="GA13" s="123"/>
      <c r="GB13" s="123"/>
      <c r="GC13" s="123"/>
      <c r="GD13" s="123"/>
      <c r="GE13" s="123"/>
      <c r="GF13" s="123"/>
      <c r="GG13" s="123"/>
      <c r="GH13" s="123"/>
      <c r="GI13" s="123"/>
      <c r="GJ13" s="123"/>
      <c r="GK13" s="123"/>
      <c r="GL13" s="123"/>
      <c r="GM13" s="123"/>
      <c r="GN13" s="123"/>
      <c r="GO13" s="123"/>
      <c r="GP13" s="123"/>
      <c r="GQ13" s="123"/>
      <c r="GR13" s="123"/>
      <c r="GS13" s="123"/>
      <c r="GT13" s="123"/>
      <c r="GU13" s="123"/>
      <c r="GV13" s="123"/>
      <c r="GW13" s="123"/>
      <c r="GX13" s="123"/>
      <c r="GY13" s="123"/>
      <c r="GZ13" s="123"/>
      <c r="HA13" s="123"/>
      <c r="HB13" s="123"/>
      <c r="HC13" s="123"/>
      <c r="HD13" s="123"/>
      <c r="HE13" s="123"/>
      <c r="HF13" s="123"/>
      <c r="HG13" s="123"/>
      <c r="HH13" s="123"/>
      <c r="HI13" s="123"/>
      <c r="HJ13" s="123"/>
      <c r="HK13" s="123"/>
      <c r="HL13" s="123"/>
      <c r="HM13" s="123"/>
      <c r="HN13" s="123"/>
      <c r="HO13" s="123"/>
      <c r="HP13" s="123"/>
      <c r="HQ13" s="123"/>
      <c r="HR13" s="123"/>
      <c r="HS13" s="123"/>
      <c r="HT13" s="123"/>
      <c r="HU13" s="123"/>
      <c r="HV13" s="123"/>
      <c r="HW13" s="123"/>
      <c r="HX13" s="123"/>
      <c r="HY13" s="123"/>
      <c r="HZ13" s="123"/>
      <c r="IA13" s="123"/>
      <c r="IB13" s="123"/>
      <c r="IC13" s="123"/>
      <c r="ID13" s="123"/>
      <c r="IE13" s="123"/>
      <c r="IF13" s="123"/>
      <c r="IG13" s="123"/>
      <c r="IH13" s="123"/>
      <c r="II13" s="123"/>
      <c r="IJ13" s="123"/>
      <c r="IK13" s="123"/>
      <c r="IL13" s="123"/>
      <c r="IM13" s="123"/>
      <c r="IN13" s="123"/>
      <c r="IO13" s="123"/>
      <c r="IP13" s="123"/>
      <c r="IQ13" s="123"/>
      <c r="IR13" s="123"/>
      <c r="IS13" s="123"/>
      <c r="IT13" s="123"/>
      <c r="IU13" s="123"/>
      <c r="IV13" s="123"/>
      <c r="IW13" s="123"/>
    </row>
    <row r="17" customFormat="false" ht="18" hidden="false" customHeight="false" outlineLevel="0" collapsed="false">
      <c r="C17" s="186" t="s">
        <v>108</v>
      </c>
      <c r="D17" s="188" t="n">
        <v>-50000</v>
      </c>
    </row>
    <row r="18" customFormat="false" ht="18" hidden="false" customHeight="false" outlineLevel="0" collapsed="false">
      <c r="D18" s="204"/>
    </row>
    <row r="21" customFormat="false" ht="18" hidden="false" customHeight="false" outlineLevel="0" collapsed="false">
      <c r="A21" s="205"/>
      <c r="B21" s="206"/>
      <c r="C21" s="205"/>
      <c r="D21" s="186"/>
    </row>
    <row r="22" customFormat="false" ht="18" hidden="false" customHeight="false" outlineLevel="0" collapsed="false">
      <c r="A22" s="205"/>
      <c r="B22" s="206"/>
      <c r="C22" s="205"/>
      <c r="D22" s="186"/>
    </row>
    <row r="23" customFormat="false" ht="18" hidden="false" customHeight="false" outlineLevel="0" collapsed="false">
      <c r="A23" s="205"/>
      <c r="B23" s="206"/>
      <c r="C23" s="205"/>
      <c r="D23" s="186"/>
      <c r="J23" s="19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1">
              <controlPr defaultSize="0" print="false" autoFill="0" autoPict="0" macro="Module1.PhOnlyBreakeven">
                <anchor moveWithCells="true" sizeWithCells="false">
                  <from>
                    <xdr:col>7</xdr:col>
                    <xdr:colOff>60480</xdr:colOff>
                    <xdr:row>16</xdr:row>
                    <xdr:rowOff>152640</xdr:rowOff>
                  </from>
                  <to>
                    <xdr:col>8</xdr:col>
                    <xdr:colOff>665280</xdr:colOff>
                    <xdr:row>21</xdr:row>
                    <xdr:rowOff>9720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1"/>
  <sheetViews>
    <sheetView showFormulas="false" showGridLines="true" showRowColHeaders="true" showZeros="true" rightToLeft="false" tabSelected="true" showOutlineSymbols="true" defaultGridColor="true" view="normal" topLeftCell="A1" colorId="64" zoomScale="75" zoomScaleNormal="75" zoomScalePageLayoutView="100" workbookViewId="0">
      <pane xSplit="2985" ySplit="0" topLeftCell="P1" activePane="topRight" state="split"/>
      <selection pane="topLeft" activeCell="A1" activeCellId="0" sqref="A1"/>
      <selection pane="topRight" activeCell="S17" activeCellId="0" sqref="S17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97" width="13.99"/>
    <col collapsed="false" customWidth="true" hidden="false" outlineLevel="0" max="2" min="2" style="97" width="10.71"/>
    <col collapsed="false" customWidth="true" hidden="false" outlineLevel="0" max="3" min="3" style="97" width="19.28"/>
    <col collapsed="false" customWidth="true" hidden="false" outlineLevel="0" max="4" min="4" style="97" width="14.56"/>
    <col collapsed="false" customWidth="true" hidden="false" outlineLevel="0" max="5" min="5" style="97" width="15.85"/>
    <col collapsed="false" customWidth="true" hidden="false" outlineLevel="0" max="7" min="6" style="97" width="14.56"/>
    <col collapsed="false" customWidth="true" hidden="false" outlineLevel="0" max="8" min="8" style="97" width="14.41"/>
    <col collapsed="false" customWidth="true" hidden="false" outlineLevel="0" max="11" min="9" style="97" width="14.56"/>
    <col collapsed="false" customWidth="true" hidden="false" outlineLevel="0" max="12" min="12" style="97" width="13.85"/>
    <col collapsed="false" customWidth="true" hidden="false" outlineLevel="0" max="13" min="13" style="97" width="13.7"/>
    <col collapsed="false" customWidth="true" hidden="false" outlineLevel="0" max="14" min="14" style="97" width="14.41"/>
    <col collapsed="false" customWidth="true" hidden="false" outlineLevel="0" max="15" min="15" style="97" width="12.85"/>
    <col collapsed="false" customWidth="true" hidden="false" outlineLevel="0" max="16" min="16" style="97" width="14.56"/>
    <col collapsed="false" customWidth="true" hidden="false" outlineLevel="0" max="17" min="17" style="97" width="12.85"/>
    <col collapsed="false" customWidth="true" hidden="false" outlineLevel="0" max="18" min="18" style="97" width="18.7"/>
    <col collapsed="false" customWidth="true" hidden="false" outlineLevel="0" max="19" min="19" style="97" width="14.7"/>
    <col collapsed="false" customWidth="true" hidden="false" outlineLevel="0" max="20" min="20" style="97" width="16.84"/>
    <col collapsed="false" customWidth="true" hidden="false" outlineLevel="0" max="21" min="21" style="97" width="16.13"/>
    <col collapsed="false" customWidth="true" hidden="false" outlineLevel="0" max="22" min="22" style="97" width="14.7"/>
    <col collapsed="false" customWidth="true" hidden="false" outlineLevel="0" max="23" min="23" style="97" width="9.56"/>
    <col collapsed="false" customWidth="true" hidden="false" outlineLevel="0" max="24" min="24" style="97" width="9.28"/>
    <col collapsed="false" customWidth="true" hidden="false" outlineLevel="0" max="25" min="25" style="97" width="8.85"/>
    <col collapsed="false" customWidth="true" hidden="false" outlineLevel="0" max="26" min="26" style="97" width="8.99"/>
    <col collapsed="false" customWidth="false" hidden="false" outlineLevel="0" max="257" min="27" style="97" width="9.14"/>
  </cols>
  <sheetData>
    <row r="1" customFormat="false" ht="12.75" hidden="false" customHeight="false" outlineLevel="0" collapsed="false">
      <c r="A1" s="98" t="s">
        <v>78</v>
      </c>
      <c r="B1" s="99" t="n">
        <f aca="true">TODAY()</f>
        <v>45926</v>
      </c>
      <c r="E1" s="100" t="s">
        <v>79</v>
      </c>
      <c r="F1" s="101" t="n">
        <v>-0.0025</v>
      </c>
      <c r="G1" s="102" t="s">
        <v>80</v>
      </c>
      <c r="H1" s="101" t="n">
        <v>0.0549437608797753</v>
      </c>
      <c r="J1" s="123" t="s">
        <v>113</v>
      </c>
      <c r="K1" s="123" t="n">
        <v>713964</v>
      </c>
      <c r="R1" s="103" t="s">
        <v>114</v>
      </c>
      <c r="S1" s="104" t="n">
        <v>0.04</v>
      </c>
      <c r="T1" s="104" t="n">
        <v>0.037</v>
      </c>
    </row>
    <row r="2" customFormat="false" ht="12.75" hidden="false" customHeight="false" outlineLevel="0" collapsed="false">
      <c r="E2" s="100" t="s">
        <v>82</v>
      </c>
      <c r="F2" s="101" t="n">
        <v>-0.0075</v>
      </c>
      <c r="G2" s="105"/>
      <c r="R2" s="103" t="s">
        <v>115</v>
      </c>
      <c r="S2" s="104" t="n">
        <v>0</v>
      </c>
      <c r="T2" s="104" t="n">
        <v>0.037</v>
      </c>
    </row>
    <row r="3" customFormat="false" ht="12.75" hidden="false" customHeight="false" outlineLevel="0" collapsed="false">
      <c r="F3" s="106"/>
      <c r="G3" s="106"/>
      <c r="H3" s="106"/>
      <c r="I3" s="106"/>
      <c r="J3" s="105"/>
      <c r="K3" s="105"/>
    </row>
    <row r="4" customFormat="false" ht="12.75" hidden="false" customHeight="false" outlineLevel="0" collapsed="false">
      <c r="A4" s="108"/>
      <c r="B4" s="109"/>
      <c r="C4" s="109"/>
      <c r="D4" s="110" t="s">
        <v>83</v>
      </c>
      <c r="E4" s="110"/>
      <c r="F4" s="110"/>
      <c r="G4" s="110"/>
      <c r="H4" s="110"/>
      <c r="I4" s="110" t="s">
        <v>84</v>
      </c>
      <c r="J4" s="110"/>
      <c r="K4" s="110"/>
      <c r="L4" s="110" t="s">
        <v>85</v>
      </c>
      <c r="M4" s="110"/>
      <c r="N4" s="109"/>
      <c r="O4" s="110" t="s">
        <v>86</v>
      </c>
      <c r="P4" s="110"/>
      <c r="Q4" s="110"/>
      <c r="R4" s="110" t="s">
        <v>87</v>
      </c>
      <c r="S4" s="110"/>
      <c r="T4" s="110" t="s">
        <v>88</v>
      </c>
      <c r="U4" s="111"/>
      <c r="V4" s="112"/>
      <c r="W4" s="106"/>
      <c r="X4" s="114" t="s">
        <v>89</v>
      </c>
      <c r="Y4" s="114"/>
      <c r="Z4" s="114"/>
      <c r="AA4" s="114"/>
      <c r="AB4" s="106"/>
      <c r="AC4" s="106"/>
      <c r="AD4" s="106"/>
      <c r="AE4" s="106"/>
      <c r="AF4" s="106"/>
      <c r="AG4" s="106"/>
      <c r="AH4" s="106"/>
      <c r="AI4" s="106"/>
      <c r="AJ4" s="106"/>
      <c r="AK4" s="106"/>
      <c r="AL4" s="106"/>
      <c r="AM4" s="106"/>
      <c r="AN4" s="106"/>
      <c r="AO4" s="106"/>
      <c r="AP4" s="106"/>
      <c r="AQ4" s="106"/>
      <c r="AR4" s="106"/>
      <c r="AS4" s="106"/>
      <c r="AT4" s="106"/>
      <c r="AU4" s="106"/>
      <c r="AV4" s="106"/>
      <c r="AW4" s="106"/>
      <c r="AX4" s="106"/>
      <c r="AY4" s="106"/>
      <c r="AZ4" s="106"/>
      <c r="BA4" s="106"/>
      <c r="BB4" s="106"/>
      <c r="BC4" s="106"/>
      <c r="BD4" s="106"/>
      <c r="BE4" s="106"/>
      <c r="BF4" s="106"/>
      <c r="BG4" s="106"/>
      <c r="BH4" s="106"/>
      <c r="BI4" s="106"/>
      <c r="BJ4" s="106"/>
      <c r="BK4" s="106"/>
      <c r="BL4" s="106"/>
      <c r="BM4" s="106"/>
      <c r="BN4" s="106"/>
      <c r="BO4" s="106"/>
      <c r="BP4" s="106"/>
      <c r="BQ4" s="106"/>
      <c r="BR4" s="106"/>
      <c r="BS4" s="106"/>
      <c r="BT4" s="106"/>
      <c r="BU4" s="106"/>
      <c r="BV4" s="106"/>
      <c r="BW4" s="106"/>
      <c r="BX4" s="106"/>
      <c r="BY4" s="106"/>
      <c r="BZ4" s="106"/>
      <c r="CA4" s="106"/>
      <c r="CB4" s="106"/>
      <c r="CC4" s="106"/>
      <c r="CD4" s="106"/>
      <c r="CE4" s="106"/>
      <c r="CF4" s="106"/>
      <c r="CG4" s="106"/>
      <c r="CH4" s="106"/>
      <c r="CI4" s="106"/>
      <c r="CJ4" s="106"/>
      <c r="CK4" s="106"/>
      <c r="CL4" s="106"/>
      <c r="CM4" s="106"/>
      <c r="CN4" s="106"/>
      <c r="CO4" s="106"/>
      <c r="CP4" s="106"/>
      <c r="CQ4" s="106"/>
      <c r="CR4" s="106"/>
      <c r="CS4" s="106"/>
      <c r="CT4" s="106"/>
      <c r="CU4" s="106"/>
      <c r="CV4" s="106"/>
      <c r="CW4" s="106"/>
      <c r="CX4" s="106"/>
      <c r="CY4" s="106"/>
      <c r="CZ4" s="106"/>
      <c r="DA4" s="106"/>
      <c r="DB4" s="106"/>
      <c r="DC4" s="106"/>
      <c r="DD4" s="106"/>
      <c r="DE4" s="106"/>
      <c r="DF4" s="106"/>
      <c r="DG4" s="106"/>
      <c r="DH4" s="106"/>
      <c r="DI4" s="106"/>
      <c r="DJ4" s="106"/>
      <c r="DK4" s="106"/>
      <c r="DL4" s="106"/>
      <c r="DM4" s="106"/>
      <c r="DN4" s="106"/>
      <c r="DO4" s="106"/>
      <c r="DP4" s="106"/>
      <c r="DQ4" s="106"/>
      <c r="DR4" s="106"/>
      <c r="DS4" s="106"/>
      <c r="DT4" s="106"/>
      <c r="DU4" s="106"/>
      <c r="DV4" s="106"/>
      <c r="DW4" s="106"/>
      <c r="DX4" s="106"/>
      <c r="DY4" s="106"/>
      <c r="DZ4" s="106"/>
      <c r="EA4" s="106"/>
      <c r="EB4" s="106"/>
      <c r="EC4" s="106"/>
      <c r="ED4" s="106"/>
      <c r="EE4" s="106"/>
      <c r="EF4" s="106"/>
      <c r="EG4" s="106"/>
      <c r="EH4" s="106"/>
      <c r="EI4" s="106"/>
      <c r="EJ4" s="106"/>
      <c r="EK4" s="106"/>
      <c r="EL4" s="106"/>
      <c r="EM4" s="106"/>
      <c r="EN4" s="106"/>
      <c r="EO4" s="106"/>
      <c r="EP4" s="106"/>
      <c r="EQ4" s="106"/>
      <c r="ER4" s="106"/>
      <c r="ES4" s="106"/>
      <c r="ET4" s="106"/>
      <c r="EU4" s="106"/>
      <c r="EV4" s="106"/>
      <c r="EW4" s="106"/>
      <c r="EX4" s="106"/>
      <c r="EY4" s="106"/>
      <c r="EZ4" s="106"/>
      <c r="FA4" s="106"/>
      <c r="FB4" s="106"/>
      <c r="FC4" s="106"/>
      <c r="FD4" s="106"/>
      <c r="FE4" s="106"/>
      <c r="FF4" s="106"/>
      <c r="FG4" s="106"/>
      <c r="FH4" s="106"/>
      <c r="FI4" s="106"/>
      <c r="FJ4" s="106"/>
      <c r="FK4" s="106"/>
      <c r="FL4" s="106"/>
      <c r="FM4" s="106"/>
      <c r="FN4" s="106"/>
      <c r="FO4" s="106"/>
      <c r="FP4" s="106"/>
      <c r="FQ4" s="106"/>
      <c r="FR4" s="106"/>
      <c r="FS4" s="106"/>
      <c r="FT4" s="106"/>
      <c r="FU4" s="106"/>
      <c r="FV4" s="106"/>
      <c r="FW4" s="106"/>
      <c r="FX4" s="106"/>
      <c r="FY4" s="106"/>
      <c r="FZ4" s="106"/>
      <c r="GA4" s="106"/>
      <c r="GB4" s="106"/>
      <c r="GC4" s="106"/>
      <c r="GD4" s="106"/>
      <c r="GE4" s="106"/>
      <c r="GF4" s="106"/>
      <c r="GG4" s="106"/>
      <c r="GH4" s="106"/>
      <c r="GI4" s="106"/>
      <c r="GJ4" s="106"/>
      <c r="GK4" s="106"/>
      <c r="GL4" s="106"/>
      <c r="GM4" s="106"/>
      <c r="GN4" s="106"/>
      <c r="GO4" s="106"/>
      <c r="GP4" s="106"/>
      <c r="GQ4" s="106"/>
      <c r="GR4" s="106"/>
      <c r="GS4" s="106"/>
      <c r="GT4" s="106"/>
      <c r="GU4" s="106"/>
      <c r="GV4" s="106"/>
      <c r="GW4" s="106"/>
      <c r="GX4" s="106"/>
      <c r="GY4" s="106"/>
      <c r="GZ4" s="106"/>
      <c r="HA4" s="106"/>
      <c r="HB4" s="106"/>
      <c r="HC4" s="106"/>
      <c r="HD4" s="106"/>
      <c r="HE4" s="106"/>
      <c r="HF4" s="106"/>
      <c r="HG4" s="106"/>
      <c r="HH4" s="106"/>
      <c r="HI4" s="106"/>
      <c r="HJ4" s="106"/>
      <c r="HK4" s="106"/>
      <c r="HL4" s="106"/>
      <c r="HM4" s="106"/>
      <c r="HN4" s="106"/>
      <c r="HO4" s="106"/>
      <c r="HP4" s="106"/>
      <c r="HQ4" s="106"/>
      <c r="HR4" s="106"/>
      <c r="HS4" s="106"/>
      <c r="HT4" s="106"/>
      <c r="HU4" s="106"/>
      <c r="HV4" s="106"/>
      <c r="HW4" s="106"/>
      <c r="HX4" s="106"/>
      <c r="HY4" s="106"/>
      <c r="HZ4" s="106"/>
      <c r="IA4" s="106"/>
      <c r="IB4" s="106"/>
      <c r="IC4" s="106"/>
      <c r="ID4" s="106"/>
      <c r="IE4" s="106"/>
      <c r="IF4" s="106"/>
      <c r="IG4" s="106"/>
      <c r="IH4" s="106"/>
      <c r="II4" s="106"/>
      <c r="IJ4" s="106"/>
      <c r="IK4" s="106"/>
      <c r="IL4" s="106"/>
      <c r="IM4" s="106"/>
      <c r="IN4" s="106"/>
      <c r="IO4" s="106"/>
      <c r="IP4" s="106"/>
      <c r="IQ4" s="106"/>
      <c r="IR4" s="106"/>
      <c r="IS4" s="106"/>
      <c r="IT4" s="106"/>
      <c r="IU4" s="106"/>
      <c r="IV4" s="106"/>
      <c r="IW4" s="106"/>
    </row>
    <row r="5" customFormat="false" ht="25.5" hidden="false" customHeight="true" outlineLevel="0" collapsed="false">
      <c r="A5" s="115" t="s">
        <v>1</v>
      </c>
      <c r="B5" s="116" t="s">
        <v>90</v>
      </c>
      <c r="C5" s="116" t="s">
        <v>91</v>
      </c>
      <c r="D5" s="116" t="s">
        <v>116</v>
      </c>
      <c r="E5" s="116" t="s">
        <v>60</v>
      </c>
      <c r="F5" s="116" t="s">
        <v>93</v>
      </c>
      <c r="G5" s="116" t="s">
        <v>60</v>
      </c>
      <c r="H5" s="116" t="s">
        <v>94</v>
      </c>
      <c r="I5" s="116" t="str">
        <f aca="false">+F5</f>
        <v>IF-A/S EAST OFFER</v>
      </c>
      <c r="J5" s="116" t="str">
        <f aca="false">+G5</f>
        <v>HSC</v>
      </c>
      <c r="K5" s="116" t="s">
        <v>94</v>
      </c>
      <c r="L5" s="116" t="str">
        <f aca="false">+F5</f>
        <v>IF-A/S EAST OFFER</v>
      </c>
      <c r="M5" s="116" t="str">
        <f aca="false">+G5</f>
        <v>HSC</v>
      </c>
      <c r="N5" s="116" t="s">
        <v>95</v>
      </c>
      <c r="O5" s="116" t="str">
        <f aca="false">+F5</f>
        <v>IF-A/S EAST OFFER</v>
      </c>
      <c r="P5" s="116" t="str">
        <f aca="false">+G5</f>
        <v>HSC</v>
      </c>
      <c r="Q5" s="116" t="s">
        <v>94</v>
      </c>
      <c r="R5" s="116" t="s">
        <v>96</v>
      </c>
      <c r="S5" s="116" t="s">
        <v>97</v>
      </c>
      <c r="T5" s="116" t="s">
        <v>97</v>
      </c>
      <c r="U5" s="117" t="s">
        <v>98</v>
      </c>
      <c r="V5" s="118" t="s">
        <v>99</v>
      </c>
      <c r="W5" s="197"/>
      <c r="X5" s="120" t="s">
        <v>100</v>
      </c>
      <c r="Y5" s="121" t="s">
        <v>101</v>
      </c>
      <c r="Z5" s="121" t="s">
        <v>102</v>
      </c>
      <c r="AA5" s="122" t="s">
        <v>103</v>
      </c>
      <c r="AB5" s="197"/>
      <c r="AC5" s="197"/>
      <c r="AD5" s="197"/>
      <c r="AE5" s="197"/>
      <c r="AF5" s="197"/>
      <c r="AG5" s="197"/>
      <c r="AH5" s="197"/>
      <c r="AI5" s="197"/>
      <c r="AJ5" s="197"/>
      <c r="AK5" s="197"/>
      <c r="AL5" s="197"/>
      <c r="AM5" s="197"/>
      <c r="AN5" s="197"/>
      <c r="AO5" s="197"/>
      <c r="AP5" s="197"/>
      <c r="AQ5" s="197"/>
      <c r="AR5" s="197"/>
      <c r="AS5" s="197"/>
      <c r="AT5" s="197"/>
      <c r="AU5" s="197"/>
      <c r="AV5" s="197"/>
      <c r="AW5" s="197"/>
      <c r="AX5" s="197"/>
      <c r="AY5" s="197"/>
      <c r="AZ5" s="197"/>
      <c r="BA5" s="197"/>
      <c r="BB5" s="197"/>
      <c r="BC5" s="197"/>
      <c r="BD5" s="197"/>
      <c r="BE5" s="197"/>
      <c r="BF5" s="197"/>
      <c r="BG5" s="197"/>
      <c r="BH5" s="197"/>
      <c r="BI5" s="197"/>
      <c r="BJ5" s="197"/>
      <c r="BK5" s="197"/>
      <c r="BL5" s="197"/>
      <c r="BM5" s="197"/>
      <c r="BN5" s="197"/>
      <c r="BO5" s="197"/>
      <c r="BP5" s="197"/>
      <c r="BQ5" s="197"/>
      <c r="BR5" s="197"/>
      <c r="BS5" s="197"/>
      <c r="BT5" s="197"/>
      <c r="BU5" s="197"/>
      <c r="BV5" s="197"/>
      <c r="BW5" s="197"/>
      <c r="BX5" s="197"/>
      <c r="BY5" s="197"/>
      <c r="BZ5" s="197"/>
      <c r="CA5" s="197"/>
      <c r="CB5" s="197"/>
      <c r="CC5" s="197"/>
      <c r="CD5" s="197"/>
      <c r="CE5" s="197"/>
      <c r="CF5" s="197"/>
      <c r="CG5" s="197"/>
      <c r="CH5" s="197"/>
      <c r="CI5" s="197"/>
      <c r="CJ5" s="197"/>
      <c r="CK5" s="197"/>
      <c r="CL5" s="197"/>
      <c r="CM5" s="197"/>
      <c r="CN5" s="197"/>
      <c r="CO5" s="197"/>
      <c r="CP5" s="197"/>
      <c r="CQ5" s="197"/>
      <c r="CR5" s="197"/>
      <c r="CS5" s="197"/>
      <c r="CT5" s="197"/>
      <c r="CU5" s="197"/>
      <c r="CV5" s="197"/>
      <c r="CW5" s="197"/>
      <c r="CX5" s="197"/>
      <c r="CY5" s="197"/>
      <c r="CZ5" s="197"/>
      <c r="DA5" s="197"/>
      <c r="DB5" s="197"/>
      <c r="DC5" s="197"/>
      <c r="DD5" s="197"/>
      <c r="DE5" s="197"/>
      <c r="DF5" s="197"/>
      <c r="DG5" s="197"/>
      <c r="DH5" s="197"/>
      <c r="DI5" s="197"/>
      <c r="DJ5" s="197"/>
      <c r="DK5" s="197"/>
      <c r="DL5" s="197"/>
      <c r="DM5" s="197"/>
      <c r="DN5" s="197"/>
      <c r="DO5" s="197"/>
      <c r="DP5" s="197"/>
      <c r="DQ5" s="197"/>
      <c r="DR5" s="197"/>
      <c r="DS5" s="197"/>
      <c r="DT5" s="197"/>
      <c r="DU5" s="197"/>
      <c r="DV5" s="197"/>
      <c r="DW5" s="197"/>
      <c r="DX5" s="197"/>
      <c r="DY5" s="197"/>
      <c r="DZ5" s="197"/>
      <c r="EA5" s="197"/>
      <c r="EB5" s="197"/>
      <c r="EC5" s="197"/>
      <c r="ED5" s="197"/>
      <c r="EE5" s="197"/>
      <c r="EF5" s="197"/>
      <c r="EG5" s="197"/>
      <c r="EH5" s="197"/>
      <c r="EI5" s="197"/>
      <c r="EJ5" s="197"/>
      <c r="EK5" s="197"/>
      <c r="EL5" s="197"/>
      <c r="EM5" s="197"/>
      <c r="EN5" s="197"/>
      <c r="EO5" s="197"/>
      <c r="EP5" s="197"/>
      <c r="EQ5" s="197"/>
      <c r="ER5" s="197"/>
      <c r="ES5" s="197"/>
      <c r="ET5" s="197"/>
      <c r="EU5" s="197"/>
      <c r="EV5" s="197"/>
      <c r="EW5" s="197"/>
      <c r="EX5" s="197"/>
      <c r="EY5" s="197"/>
      <c r="EZ5" s="197"/>
      <c r="FA5" s="197"/>
      <c r="FB5" s="197"/>
      <c r="FC5" s="197"/>
      <c r="FD5" s="197"/>
      <c r="FE5" s="197"/>
      <c r="FF5" s="197"/>
      <c r="FG5" s="197"/>
      <c r="FH5" s="197"/>
      <c r="FI5" s="197"/>
      <c r="FJ5" s="197"/>
      <c r="FK5" s="197"/>
      <c r="FL5" s="197"/>
      <c r="FM5" s="197"/>
      <c r="FN5" s="197"/>
      <c r="FO5" s="197"/>
      <c r="FP5" s="197"/>
      <c r="FQ5" s="197"/>
      <c r="FR5" s="197"/>
      <c r="FS5" s="197"/>
      <c r="FT5" s="197"/>
      <c r="FU5" s="197"/>
      <c r="FV5" s="197"/>
      <c r="FW5" s="197"/>
      <c r="FX5" s="197"/>
      <c r="FY5" s="197"/>
      <c r="FZ5" s="197"/>
      <c r="GA5" s="197"/>
      <c r="GB5" s="197"/>
      <c r="GC5" s="197"/>
      <c r="GD5" s="197"/>
      <c r="GE5" s="197"/>
      <c r="GF5" s="197"/>
      <c r="GG5" s="197"/>
      <c r="GH5" s="197"/>
      <c r="GI5" s="197"/>
      <c r="GJ5" s="197"/>
      <c r="GK5" s="197"/>
      <c r="GL5" s="197"/>
      <c r="GM5" s="197"/>
      <c r="GN5" s="197"/>
      <c r="GO5" s="197"/>
      <c r="GP5" s="197"/>
      <c r="GQ5" s="197"/>
      <c r="GR5" s="197"/>
      <c r="GS5" s="197"/>
      <c r="GT5" s="197"/>
      <c r="GU5" s="197"/>
      <c r="GV5" s="197"/>
      <c r="GW5" s="197"/>
      <c r="GX5" s="197"/>
      <c r="GY5" s="197"/>
      <c r="GZ5" s="197"/>
      <c r="HA5" s="197"/>
      <c r="HB5" s="197"/>
      <c r="HC5" s="197"/>
      <c r="HD5" s="197"/>
      <c r="HE5" s="197"/>
      <c r="HF5" s="197"/>
      <c r="HG5" s="197"/>
      <c r="HH5" s="197"/>
      <c r="HI5" s="197"/>
      <c r="HJ5" s="197"/>
      <c r="HK5" s="197"/>
      <c r="HL5" s="197"/>
      <c r="HM5" s="197"/>
      <c r="HN5" s="197"/>
      <c r="HO5" s="197"/>
      <c r="HP5" s="197"/>
      <c r="HQ5" s="197"/>
      <c r="HR5" s="197"/>
      <c r="HS5" s="197"/>
      <c r="HT5" s="197"/>
      <c r="HU5" s="197"/>
      <c r="HV5" s="197"/>
      <c r="HW5" s="197"/>
      <c r="HX5" s="197"/>
      <c r="HY5" s="197"/>
      <c r="HZ5" s="197"/>
      <c r="IA5" s="197"/>
      <c r="IB5" s="197"/>
      <c r="IC5" s="197"/>
      <c r="ID5" s="197"/>
      <c r="IE5" s="197"/>
      <c r="IF5" s="197"/>
      <c r="IG5" s="197"/>
      <c r="IH5" s="197"/>
      <c r="II5" s="197"/>
      <c r="IJ5" s="197"/>
      <c r="IK5" s="197"/>
      <c r="IL5" s="197"/>
      <c r="IM5" s="197"/>
      <c r="IN5" s="197"/>
      <c r="IO5" s="197"/>
      <c r="IP5" s="197"/>
      <c r="IQ5" s="197"/>
      <c r="IR5" s="197"/>
      <c r="IS5" s="197"/>
      <c r="IT5" s="197"/>
      <c r="IU5" s="197"/>
      <c r="IV5" s="197"/>
      <c r="IW5" s="197"/>
    </row>
    <row r="6" customFormat="false" ht="12.75" hidden="false" customHeight="false" outlineLevel="0" collapsed="false">
      <c r="A6" s="123"/>
      <c r="B6" s="123"/>
      <c r="N6" s="124"/>
      <c r="R6" s="125"/>
      <c r="X6" s="198" t="n">
        <f aca="false">+AA6-SUM(Y6:Z6)</f>
        <v>-0.00239805866998133</v>
      </c>
      <c r="Y6" s="199" t="n">
        <f aca="false">+$S$20/$K$20</f>
        <v>0.0203418195497566</v>
      </c>
      <c r="Z6" s="199" t="n">
        <f aca="false">+$T$1</f>
        <v>0.037</v>
      </c>
      <c r="AA6" s="128" t="n">
        <f aca="false">+H1</f>
        <v>0.0549437608797753</v>
      </c>
    </row>
    <row r="7" customFormat="false" ht="15" hidden="false" customHeight="false" outlineLevel="0" collapsed="false">
      <c r="A7" s="129" t="n">
        <v>36647</v>
      </c>
      <c r="B7" s="130" t="n">
        <f aca="false">+'GD Options'!M5</f>
        <v>0.061485649559373</v>
      </c>
      <c r="C7" s="131" t="n">
        <f aca="false">1/((1+B7/2)^(2*(A7-$B$1)/365.25))</f>
        <v>4.65752378601407</v>
      </c>
      <c r="D7" s="132" t="n">
        <f aca="false">IF($D$24,-'Deal Volumes'!D22-'Deal Volumes'!H22,'Model - Term'!$D$25)</f>
        <v>-65914.0850236965</v>
      </c>
      <c r="E7" s="133" t="n">
        <f aca="false">IF($D$24=1,-'Deal Volumes'!F22-'Deal Volumes'!J22-'Deal Volumes'!L22,'Model - Term'!$D$26)</f>
        <v>-9085.9149763035</v>
      </c>
      <c r="F7" s="134" t="n">
        <f aca="false">+(D7)*'Deal Volumes'!B22</f>
        <v>-2043336.63573459</v>
      </c>
      <c r="G7" s="133" t="n">
        <f aca="false">+E7*'Deal Volumes'!B22</f>
        <v>-281663.364265408</v>
      </c>
      <c r="H7" s="133" t="n">
        <f aca="false">+F7+G7</f>
        <v>-2325000</v>
      </c>
      <c r="I7" s="132" t="n">
        <f aca="false">+F7*$C7</f>
        <v>-9516888.98376783</v>
      </c>
      <c r="J7" s="134" t="n">
        <f aca="false">+G7*$C7</f>
        <v>-1311853.81871489</v>
      </c>
      <c r="K7" s="135" t="n">
        <f aca="false">SUM(I7:J7)</f>
        <v>-10828742.8024827</v>
      </c>
      <c r="L7" s="136" t="n">
        <f aca="false">+Curves!C2</f>
        <v>-0.005</v>
      </c>
      <c r="M7" s="137" t="n">
        <f aca="false">+Curves!E2</f>
        <v>-0.005</v>
      </c>
      <c r="N7" s="138" t="n">
        <f aca="false">+I7*(L7-$H$1)+J7*(M7-$H$1)</f>
        <v>649115.569180612</v>
      </c>
      <c r="O7" s="139" t="n">
        <f aca="false">-I7*(L7-$F$1)</f>
        <v>-23792.2224594196</v>
      </c>
      <c r="P7" s="140" t="n">
        <f aca="false">-J7*(M7-$F$2)</f>
        <v>3279.63454678721</v>
      </c>
      <c r="Q7" s="139" t="n">
        <f aca="false">SUM(O7:P7)</f>
        <v>-20512.5879126324</v>
      </c>
      <c r="R7" s="141" t="n">
        <f aca="false">+I7</f>
        <v>-9516888.98376783</v>
      </c>
      <c r="S7" s="207" t="n">
        <f aca="false">+R7*$S$1</f>
        <v>-380675.559350713</v>
      </c>
      <c r="T7" s="208" t="n">
        <f aca="false">+$T$1*K7</f>
        <v>-400663.48369186</v>
      </c>
      <c r="U7" s="209" t="n">
        <f aca="false">+Q7+T7+S7</f>
        <v>-801851.630955206</v>
      </c>
      <c r="V7" s="144" t="n">
        <f aca="false">+N7+U7</f>
        <v>-152736.061774594</v>
      </c>
      <c r="W7" s="123"/>
      <c r="X7" s="123"/>
      <c r="Y7" s="123"/>
      <c r="Z7" s="123"/>
      <c r="AA7" s="123"/>
      <c r="AB7" s="123"/>
      <c r="AC7" s="123"/>
      <c r="AD7" s="123"/>
      <c r="AE7" s="123"/>
      <c r="AF7" s="123"/>
      <c r="AG7" s="123"/>
      <c r="AH7" s="123"/>
      <c r="AI7" s="123"/>
      <c r="AJ7" s="123"/>
      <c r="AK7" s="123"/>
      <c r="AL7" s="123"/>
      <c r="AM7" s="123"/>
      <c r="AN7" s="123"/>
      <c r="AO7" s="123"/>
      <c r="AP7" s="123"/>
      <c r="AQ7" s="123"/>
      <c r="AR7" s="123"/>
      <c r="AS7" s="123"/>
      <c r="AT7" s="123"/>
      <c r="AU7" s="123"/>
      <c r="AV7" s="123"/>
      <c r="AW7" s="123"/>
      <c r="AX7" s="123"/>
      <c r="AY7" s="123"/>
      <c r="AZ7" s="123"/>
      <c r="BA7" s="123"/>
      <c r="BB7" s="123"/>
      <c r="BC7" s="123"/>
      <c r="BD7" s="123"/>
      <c r="BE7" s="123"/>
      <c r="BF7" s="123"/>
      <c r="BG7" s="123"/>
      <c r="BH7" s="123"/>
      <c r="BI7" s="123"/>
      <c r="BJ7" s="123"/>
      <c r="BK7" s="123"/>
      <c r="BL7" s="123"/>
      <c r="BM7" s="123"/>
      <c r="BN7" s="123"/>
      <c r="BO7" s="123"/>
      <c r="BP7" s="123"/>
      <c r="BQ7" s="123"/>
      <c r="BR7" s="123"/>
      <c r="BS7" s="123"/>
      <c r="BT7" s="123"/>
      <c r="BU7" s="123"/>
      <c r="BV7" s="123"/>
      <c r="BW7" s="123"/>
      <c r="BX7" s="123"/>
      <c r="BY7" s="123"/>
      <c r="BZ7" s="123"/>
      <c r="CA7" s="123"/>
      <c r="CB7" s="123"/>
      <c r="CC7" s="123"/>
      <c r="CD7" s="123"/>
      <c r="CE7" s="123"/>
      <c r="CF7" s="123"/>
      <c r="CG7" s="123"/>
      <c r="CH7" s="123"/>
      <c r="CI7" s="123"/>
      <c r="CJ7" s="123"/>
      <c r="CK7" s="123"/>
      <c r="CL7" s="123"/>
      <c r="CM7" s="123"/>
      <c r="CN7" s="123"/>
      <c r="CO7" s="123"/>
      <c r="CP7" s="123"/>
      <c r="CQ7" s="123"/>
      <c r="CR7" s="123"/>
      <c r="CS7" s="123"/>
      <c r="CT7" s="123"/>
      <c r="CU7" s="123"/>
      <c r="CV7" s="123"/>
      <c r="CW7" s="123"/>
      <c r="CX7" s="123"/>
      <c r="CY7" s="123"/>
      <c r="CZ7" s="123"/>
      <c r="DA7" s="123"/>
      <c r="DB7" s="123"/>
      <c r="DC7" s="123"/>
      <c r="DD7" s="123"/>
      <c r="DE7" s="123"/>
      <c r="DF7" s="123"/>
      <c r="DG7" s="123"/>
      <c r="DH7" s="123"/>
      <c r="DI7" s="123"/>
      <c r="DJ7" s="123"/>
      <c r="DK7" s="123"/>
      <c r="DL7" s="123"/>
      <c r="DM7" s="123"/>
      <c r="DN7" s="123"/>
      <c r="DO7" s="123"/>
      <c r="DP7" s="123"/>
      <c r="DQ7" s="123"/>
      <c r="DR7" s="123"/>
      <c r="DS7" s="123"/>
      <c r="DT7" s="123"/>
      <c r="DU7" s="123"/>
      <c r="DV7" s="123"/>
      <c r="DW7" s="123"/>
      <c r="DX7" s="123"/>
      <c r="DY7" s="123"/>
      <c r="DZ7" s="123"/>
      <c r="EA7" s="123"/>
      <c r="EB7" s="123"/>
      <c r="EC7" s="123"/>
      <c r="ED7" s="123"/>
      <c r="EE7" s="123"/>
      <c r="EF7" s="123"/>
      <c r="EG7" s="123"/>
      <c r="EH7" s="123"/>
      <c r="EI7" s="123"/>
      <c r="EJ7" s="123"/>
      <c r="EK7" s="123"/>
      <c r="EL7" s="123"/>
      <c r="EM7" s="123"/>
      <c r="EN7" s="123"/>
      <c r="EO7" s="123"/>
      <c r="EP7" s="123"/>
      <c r="EQ7" s="123"/>
      <c r="ER7" s="123"/>
      <c r="ES7" s="123"/>
      <c r="ET7" s="123"/>
      <c r="EU7" s="123"/>
      <c r="EV7" s="123"/>
      <c r="EW7" s="123"/>
      <c r="EX7" s="123"/>
      <c r="EY7" s="123"/>
      <c r="EZ7" s="123"/>
      <c r="FA7" s="123"/>
      <c r="FB7" s="123"/>
      <c r="FC7" s="123"/>
      <c r="FD7" s="123"/>
      <c r="FE7" s="123"/>
      <c r="FF7" s="123"/>
      <c r="FG7" s="123"/>
      <c r="FH7" s="123"/>
      <c r="FI7" s="123"/>
      <c r="FJ7" s="123"/>
      <c r="FK7" s="123"/>
      <c r="FL7" s="123"/>
      <c r="FM7" s="123"/>
      <c r="FN7" s="123"/>
      <c r="FO7" s="123"/>
      <c r="FP7" s="123"/>
      <c r="FQ7" s="123"/>
      <c r="FR7" s="123"/>
      <c r="FS7" s="123"/>
      <c r="FT7" s="123"/>
      <c r="FU7" s="123"/>
      <c r="FV7" s="123"/>
      <c r="FW7" s="123"/>
      <c r="FX7" s="123"/>
      <c r="FY7" s="123"/>
      <c r="FZ7" s="123"/>
      <c r="GA7" s="123"/>
      <c r="GB7" s="123"/>
      <c r="GC7" s="123"/>
      <c r="GD7" s="123"/>
      <c r="GE7" s="123"/>
      <c r="GF7" s="123"/>
      <c r="GG7" s="123"/>
      <c r="GH7" s="123"/>
      <c r="GI7" s="123"/>
      <c r="GJ7" s="123"/>
      <c r="GK7" s="123"/>
      <c r="GL7" s="123"/>
      <c r="GM7" s="123"/>
      <c r="GN7" s="123"/>
      <c r="GO7" s="123"/>
      <c r="GP7" s="123"/>
      <c r="GQ7" s="123"/>
      <c r="GR7" s="123"/>
      <c r="GS7" s="123"/>
      <c r="GT7" s="123"/>
      <c r="GU7" s="123"/>
      <c r="GV7" s="123"/>
      <c r="GW7" s="123"/>
      <c r="GX7" s="123"/>
      <c r="GY7" s="123"/>
      <c r="GZ7" s="123"/>
      <c r="HA7" s="123"/>
      <c r="HB7" s="123"/>
      <c r="HC7" s="123"/>
      <c r="HD7" s="123"/>
      <c r="HE7" s="123"/>
      <c r="HF7" s="123"/>
      <c r="HG7" s="123"/>
      <c r="HH7" s="123"/>
      <c r="HI7" s="123"/>
      <c r="HJ7" s="123"/>
      <c r="HK7" s="123"/>
      <c r="HL7" s="123"/>
      <c r="HM7" s="123"/>
      <c r="HN7" s="123"/>
      <c r="HO7" s="123"/>
      <c r="HP7" s="123"/>
      <c r="HQ7" s="123"/>
      <c r="HR7" s="123"/>
      <c r="HS7" s="123"/>
      <c r="HT7" s="123"/>
      <c r="HU7" s="123"/>
      <c r="HV7" s="123"/>
      <c r="HW7" s="123"/>
      <c r="HX7" s="123"/>
      <c r="HY7" s="123"/>
      <c r="HZ7" s="123"/>
      <c r="IA7" s="123"/>
      <c r="IB7" s="123"/>
      <c r="IC7" s="123"/>
      <c r="ID7" s="123"/>
      <c r="IE7" s="123"/>
      <c r="IF7" s="123"/>
      <c r="IG7" s="123"/>
      <c r="IH7" s="123"/>
      <c r="II7" s="123"/>
      <c r="IJ7" s="123"/>
      <c r="IK7" s="123"/>
      <c r="IL7" s="123"/>
      <c r="IM7" s="123"/>
      <c r="IN7" s="123"/>
      <c r="IO7" s="123"/>
      <c r="IP7" s="123"/>
      <c r="IQ7" s="123"/>
      <c r="IR7" s="123"/>
      <c r="IS7" s="123"/>
      <c r="IT7" s="123"/>
      <c r="IU7" s="123"/>
      <c r="IV7" s="123"/>
      <c r="IW7" s="123"/>
    </row>
    <row r="8" customFormat="false" ht="15" hidden="false" customHeight="false" outlineLevel="0" collapsed="false">
      <c r="A8" s="129" t="n">
        <v>36678</v>
      </c>
      <c r="B8" s="145" t="n">
        <f aca="false">+'GD Options'!M6</f>
        <v>0.06240361356018</v>
      </c>
      <c r="C8" s="146" t="n">
        <f aca="false">1/((1+B8/2)^(2*(A8-$B$1)/365.25))</f>
        <v>4.73929465820219</v>
      </c>
      <c r="D8" s="147" t="n">
        <f aca="false">IF($D$24,-'Deal Volumes'!D23-'Deal Volumes'!H23,'Model - Term'!$D$25)</f>
        <v>-65914.0850236965</v>
      </c>
      <c r="E8" s="148" t="n">
        <f aca="false">IF($D$24=1,-'Deal Volumes'!F23-'Deal Volumes'!J23-'Deal Volumes'!L23,'Model - Term'!$D$26)</f>
        <v>-9085.91497630349</v>
      </c>
      <c r="F8" s="149" t="n">
        <f aca="false">+(D8)*'Deal Volumes'!B23</f>
        <v>-1977422.5507109</v>
      </c>
      <c r="G8" s="148" t="n">
        <f aca="false">+E8*'Deal Volumes'!B23</f>
        <v>-272577.449289105</v>
      </c>
      <c r="H8" s="148" t="n">
        <f aca="false">+F8+G8</f>
        <v>-2250000</v>
      </c>
      <c r="I8" s="147" t="n">
        <f aca="false">+F8*$C8</f>
        <v>-9371588.13159269</v>
      </c>
      <c r="J8" s="149" t="n">
        <f aca="false">+G8*$C8</f>
        <v>-1291824.84936223</v>
      </c>
      <c r="K8" s="150" t="n">
        <f aca="false">SUM(I8:J8)</f>
        <v>-10663412.9809549</v>
      </c>
      <c r="L8" s="151" t="n">
        <f aca="false">+Curves!C3</f>
        <v>-0.005</v>
      </c>
      <c r="M8" s="152" t="n">
        <f aca="false">+Curves!E3</f>
        <v>-0.005</v>
      </c>
      <c r="N8" s="153" t="n">
        <f aca="false">+I8*(L8-$H$1)+J8*(M8-$H$1)</f>
        <v>639205.077892653</v>
      </c>
      <c r="O8" s="154" t="n">
        <f aca="false">-I8*(L8-$F$1)</f>
        <v>-23428.9703289817</v>
      </c>
      <c r="P8" s="155" t="n">
        <f aca="false">-J8*(M8-$F$2)</f>
        <v>3229.56212340558</v>
      </c>
      <c r="Q8" s="154" t="n">
        <f aca="false">SUM(O8:P8)</f>
        <v>-20199.4082055761</v>
      </c>
      <c r="R8" s="156" t="n">
        <f aca="false">+I8</f>
        <v>-9371588.13159269</v>
      </c>
      <c r="S8" s="210" t="n">
        <f aca="false">+R8*$S$1</f>
        <v>-374863.525263707</v>
      </c>
      <c r="T8" s="211" t="n">
        <f aca="false">+$T$1*K8</f>
        <v>-394546.280295332</v>
      </c>
      <c r="U8" s="212" t="n">
        <f aca="false">+Q8+T8+S8</f>
        <v>-789609.213764616</v>
      </c>
      <c r="V8" s="159" t="n">
        <f aca="false">+N8+U8</f>
        <v>-150404.135871962</v>
      </c>
      <c r="W8" s="123"/>
      <c r="AC8" s="123"/>
      <c r="AD8" s="123"/>
      <c r="AE8" s="123"/>
      <c r="AF8" s="123"/>
      <c r="AG8" s="123"/>
      <c r="AH8" s="123"/>
      <c r="AI8" s="123"/>
      <c r="AJ8" s="123"/>
      <c r="AK8" s="123"/>
      <c r="AL8" s="123"/>
      <c r="AM8" s="123"/>
      <c r="AN8" s="123"/>
      <c r="AO8" s="123"/>
      <c r="AP8" s="123"/>
      <c r="AQ8" s="123"/>
      <c r="AR8" s="123"/>
      <c r="AS8" s="123"/>
      <c r="AT8" s="123"/>
      <c r="AU8" s="123"/>
      <c r="AV8" s="123"/>
      <c r="AW8" s="123"/>
      <c r="AX8" s="123"/>
      <c r="AY8" s="123"/>
      <c r="AZ8" s="123"/>
      <c r="BA8" s="123"/>
      <c r="BB8" s="123"/>
      <c r="BC8" s="123"/>
      <c r="BD8" s="123"/>
      <c r="BE8" s="123"/>
      <c r="BF8" s="123"/>
      <c r="BG8" s="123"/>
      <c r="BH8" s="123"/>
      <c r="BI8" s="123"/>
      <c r="BJ8" s="123"/>
      <c r="BK8" s="123"/>
      <c r="BL8" s="123"/>
      <c r="BM8" s="123"/>
      <c r="BN8" s="123"/>
      <c r="BO8" s="123"/>
      <c r="BP8" s="123"/>
      <c r="BQ8" s="123"/>
      <c r="BR8" s="123"/>
      <c r="BS8" s="123"/>
      <c r="BT8" s="123"/>
      <c r="BU8" s="123"/>
      <c r="BV8" s="123"/>
      <c r="BW8" s="123"/>
      <c r="BX8" s="123"/>
      <c r="BY8" s="123"/>
      <c r="BZ8" s="123"/>
      <c r="CA8" s="123"/>
      <c r="CB8" s="123"/>
      <c r="CC8" s="123"/>
      <c r="CD8" s="123"/>
      <c r="CE8" s="123"/>
      <c r="CF8" s="123"/>
      <c r="CG8" s="123"/>
      <c r="CH8" s="123"/>
      <c r="CI8" s="123"/>
      <c r="CJ8" s="123"/>
      <c r="CK8" s="123"/>
      <c r="CL8" s="123"/>
      <c r="CM8" s="123"/>
      <c r="CN8" s="123"/>
      <c r="CO8" s="123"/>
      <c r="CP8" s="123"/>
      <c r="CQ8" s="123"/>
      <c r="CR8" s="123"/>
      <c r="CS8" s="123"/>
      <c r="CT8" s="123"/>
      <c r="CU8" s="123"/>
      <c r="CV8" s="123"/>
      <c r="CW8" s="123"/>
      <c r="CX8" s="123"/>
      <c r="CY8" s="123"/>
      <c r="CZ8" s="123"/>
      <c r="DA8" s="123"/>
      <c r="DB8" s="123"/>
      <c r="DC8" s="123"/>
      <c r="DD8" s="123"/>
      <c r="DE8" s="123"/>
      <c r="DF8" s="123"/>
      <c r="DG8" s="123"/>
      <c r="DH8" s="123"/>
      <c r="DI8" s="123"/>
      <c r="DJ8" s="123"/>
      <c r="DK8" s="123"/>
      <c r="DL8" s="123"/>
      <c r="DM8" s="123"/>
      <c r="DN8" s="123"/>
      <c r="DO8" s="123"/>
      <c r="DP8" s="123"/>
      <c r="DQ8" s="123"/>
      <c r="DR8" s="123"/>
      <c r="DS8" s="123"/>
      <c r="DT8" s="123"/>
      <c r="DU8" s="123"/>
      <c r="DV8" s="123"/>
      <c r="DW8" s="123"/>
      <c r="DX8" s="123"/>
      <c r="DY8" s="123"/>
      <c r="DZ8" s="123"/>
      <c r="EA8" s="123"/>
      <c r="EB8" s="123"/>
      <c r="EC8" s="123"/>
      <c r="ED8" s="123"/>
      <c r="EE8" s="123"/>
      <c r="EF8" s="123"/>
      <c r="EG8" s="123"/>
      <c r="EH8" s="123"/>
      <c r="EI8" s="123"/>
      <c r="EJ8" s="123"/>
      <c r="EK8" s="123"/>
      <c r="EL8" s="123"/>
      <c r="EM8" s="123"/>
      <c r="EN8" s="123"/>
      <c r="EO8" s="123"/>
      <c r="EP8" s="123"/>
      <c r="EQ8" s="123"/>
      <c r="ER8" s="123"/>
      <c r="ES8" s="123"/>
      <c r="ET8" s="123"/>
      <c r="EU8" s="123"/>
      <c r="EV8" s="123"/>
      <c r="EW8" s="123"/>
      <c r="EX8" s="123"/>
      <c r="EY8" s="123"/>
      <c r="EZ8" s="123"/>
      <c r="FA8" s="123"/>
      <c r="FB8" s="123"/>
      <c r="FC8" s="123"/>
      <c r="FD8" s="123"/>
      <c r="FE8" s="123"/>
      <c r="FF8" s="123"/>
      <c r="FG8" s="123"/>
      <c r="FH8" s="123"/>
      <c r="FI8" s="123"/>
      <c r="FJ8" s="123"/>
      <c r="FK8" s="123"/>
      <c r="FL8" s="123"/>
      <c r="FM8" s="123"/>
      <c r="FN8" s="123"/>
      <c r="FO8" s="123"/>
      <c r="FP8" s="123"/>
      <c r="FQ8" s="123"/>
      <c r="FR8" s="123"/>
      <c r="FS8" s="123"/>
      <c r="FT8" s="123"/>
      <c r="FU8" s="123"/>
      <c r="FV8" s="123"/>
      <c r="FW8" s="123"/>
      <c r="FX8" s="123"/>
      <c r="FY8" s="123"/>
      <c r="FZ8" s="123"/>
      <c r="GA8" s="123"/>
      <c r="GB8" s="123"/>
      <c r="GC8" s="123"/>
      <c r="GD8" s="123"/>
      <c r="GE8" s="123"/>
      <c r="GF8" s="123"/>
      <c r="GG8" s="123"/>
      <c r="GH8" s="123"/>
      <c r="GI8" s="123"/>
      <c r="GJ8" s="123"/>
      <c r="GK8" s="123"/>
      <c r="GL8" s="123"/>
      <c r="GM8" s="123"/>
      <c r="GN8" s="123"/>
      <c r="GO8" s="123"/>
      <c r="GP8" s="123"/>
      <c r="GQ8" s="123"/>
      <c r="GR8" s="123"/>
      <c r="GS8" s="123"/>
      <c r="GT8" s="123"/>
      <c r="GU8" s="123"/>
      <c r="GV8" s="123"/>
      <c r="GW8" s="123"/>
      <c r="GX8" s="123"/>
      <c r="GY8" s="123"/>
      <c r="GZ8" s="123"/>
      <c r="HA8" s="123"/>
      <c r="HB8" s="123"/>
      <c r="HC8" s="123"/>
      <c r="HD8" s="123"/>
      <c r="HE8" s="123"/>
      <c r="HF8" s="123"/>
      <c r="HG8" s="123"/>
      <c r="HH8" s="123"/>
      <c r="HI8" s="123"/>
      <c r="HJ8" s="123"/>
      <c r="HK8" s="123"/>
      <c r="HL8" s="123"/>
      <c r="HM8" s="123"/>
      <c r="HN8" s="123"/>
      <c r="HO8" s="123"/>
      <c r="HP8" s="123"/>
      <c r="HQ8" s="123"/>
      <c r="HR8" s="123"/>
      <c r="HS8" s="123"/>
      <c r="HT8" s="123"/>
      <c r="HU8" s="123"/>
      <c r="HV8" s="123"/>
      <c r="HW8" s="123"/>
      <c r="HX8" s="123"/>
      <c r="HY8" s="123"/>
      <c r="HZ8" s="123"/>
      <c r="IA8" s="123"/>
      <c r="IB8" s="123"/>
      <c r="IC8" s="123"/>
      <c r="ID8" s="123"/>
      <c r="IE8" s="123"/>
      <c r="IF8" s="123"/>
      <c r="IG8" s="123"/>
      <c r="IH8" s="123"/>
      <c r="II8" s="123"/>
      <c r="IJ8" s="123"/>
      <c r="IK8" s="123"/>
      <c r="IL8" s="123"/>
      <c r="IM8" s="123"/>
      <c r="IN8" s="123"/>
      <c r="IO8" s="123"/>
      <c r="IP8" s="123"/>
      <c r="IQ8" s="123"/>
      <c r="IR8" s="123"/>
      <c r="IS8" s="123"/>
      <c r="IT8" s="123"/>
      <c r="IU8" s="123"/>
      <c r="IV8" s="123"/>
      <c r="IW8" s="123"/>
    </row>
    <row r="9" customFormat="false" ht="15" hidden="false" customHeight="false" outlineLevel="0" collapsed="false">
      <c r="A9" s="129" t="n">
        <v>36708</v>
      </c>
      <c r="B9" s="145" t="n">
        <f aca="false">+'GD Options'!M7</f>
        <v>0.063184628319211</v>
      </c>
      <c r="C9" s="146" t="n">
        <f aca="false">1/((1+B9/2)^(2*(A9-$B$1)/365.25))</f>
        <v>4.80641721776679</v>
      </c>
      <c r="D9" s="147" t="n">
        <f aca="false">IF($D$24,-'Deal Volumes'!D24-'Deal Volumes'!H24,'Model - Term'!$D$25)</f>
        <v>-87885.446698262</v>
      </c>
      <c r="E9" s="148" t="n">
        <f aca="false">IF($D$24=1,-'Deal Volumes'!F24-'Deal Volumes'!J24-'Deal Volumes'!L24,'Model - Term'!$D$26)</f>
        <v>-12114.553301738</v>
      </c>
      <c r="F9" s="149" t="n">
        <f aca="false">+(D9)*'Deal Volumes'!B24</f>
        <v>-2724448.84764612</v>
      </c>
      <c r="G9" s="148" t="n">
        <f aca="false">+E9*'Deal Volumes'!B24</f>
        <v>-375551.152353878</v>
      </c>
      <c r="H9" s="148" t="n">
        <f aca="false">+F9+G9</f>
        <v>-3100000</v>
      </c>
      <c r="I9" s="147" t="n">
        <f aca="false">+F9*$C9</f>
        <v>-13094837.8502512</v>
      </c>
      <c r="J9" s="149" t="n">
        <f aca="false">+G9*$C9</f>
        <v>-1805055.52482584</v>
      </c>
      <c r="K9" s="150" t="n">
        <f aca="false">SUM(I9:J9)</f>
        <v>-14899893.375077</v>
      </c>
      <c r="L9" s="151" t="n">
        <f aca="false">+Curves!C4</f>
        <v>0</v>
      </c>
      <c r="M9" s="152" t="n">
        <f aca="false">+Curves!E4</f>
        <v>-0.005</v>
      </c>
      <c r="N9" s="153" t="n">
        <f aca="false">+I9*(L9-$H$1)+J9*(M9-$H$1)</f>
        <v>827681.45635851</v>
      </c>
      <c r="O9" s="154" t="n">
        <f aca="false">-I9*(L9-$F$1)</f>
        <v>32737.094625628</v>
      </c>
      <c r="P9" s="155" t="n">
        <f aca="false">-J9*(M9-$F$2)</f>
        <v>4512.63881206459</v>
      </c>
      <c r="Q9" s="154" t="n">
        <f aca="false">SUM(O9:P9)</f>
        <v>37249.7334376926</v>
      </c>
      <c r="R9" s="156" t="n">
        <f aca="false">+I9</f>
        <v>-13094837.8502512</v>
      </c>
      <c r="S9" s="210" t="n">
        <f aca="false">+R9*$S$1</f>
        <v>-523793.514010048</v>
      </c>
      <c r="T9" s="211" t="n">
        <f aca="false">+$T$1*K9</f>
        <v>-551296.054877851</v>
      </c>
      <c r="U9" s="212" t="n">
        <f aca="false">+Q9+T9+S9</f>
        <v>-1037839.83545021</v>
      </c>
      <c r="V9" s="159" t="n">
        <f aca="false">+N9+U9</f>
        <v>-210158.379091696</v>
      </c>
      <c r="W9" s="123"/>
      <c r="Y9" s="123"/>
      <c r="AC9" s="123"/>
      <c r="AD9" s="123"/>
      <c r="AE9" s="123"/>
      <c r="AF9" s="123"/>
      <c r="AG9" s="123"/>
      <c r="AH9" s="123"/>
      <c r="AI9" s="123"/>
      <c r="AJ9" s="123"/>
      <c r="AK9" s="123"/>
      <c r="AL9" s="123"/>
      <c r="AM9" s="123"/>
      <c r="AN9" s="123"/>
      <c r="AO9" s="123"/>
      <c r="AP9" s="123"/>
      <c r="AQ9" s="123"/>
      <c r="AR9" s="123"/>
      <c r="AS9" s="123"/>
      <c r="AT9" s="123"/>
      <c r="AU9" s="123"/>
      <c r="AV9" s="123"/>
      <c r="AW9" s="123"/>
      <c r="AX9" s="123"/>
      <c r="AY9" s="123"/>
      <c r="AZ9" s="123"/>
      <c r="BA9" s="123"/>
      <c r="BB9" s="123"/>
      <c r="BC9" s="123"/>
      <c r="BD9" s="123"/>
      <c r="BE9" s="123"/>
      <c r="BF9" s="123"/>
      <c r="BG9" s="123"/>
      <c r="BH9" s="123"/>
      <c r="BI9" s="123"/>
      <c r="BJ9" s="123"/>
      <c r="BK9" s="123"/>
      <c r="BL9" s="123"/>
      <c r="BM9" s="123"/>
      <c r="BN9" s="123"/>
      <c r="BO9" s="123"/>
      <c r="BP9" s="123"/>
      <c r="BQ9" s="123"/>
      <c r="BR9" s="123"/>
      <c r="BS9" s="123"/>
      <c r="BT9" s="123"/>
      <c r="BU9" s="123"/>
      <c r="BV9" s="123"/>
      <c r="BW9" s="123"/>
      <c r="BX9" s="123"/>
      <c r="BY9" s="123"/>
      <c r="BZ9" s="123"/>
      <c r="CA9" s="123"/>
      <c r="CB9" s="123"/>
      <c r="CC9" s="123"/>
      <c r="CD9" s="123"/>
      <c r="CE9" s="123"/>
      <c r="CF9" s="123"/>
      <c r="CG9" s="123"/>
      <c r="CH9" s="123"/>
      <c r="CI9" s="123"/>
      <c r="CJ9" s="123"/>
      <c r="CK9" s="123"/>
      <c r="CL9" s="123"/>
      <c r="CM9" s="123"/>
      <c r="CN9" s="123"/>
      <c r="CO9" s="123"/>
      <c r="CP9" s="123"/>
      <c r="CQ9" s="123"/>
      <c r="CR9" s="123"/>
      <c r="CS9" s="123"/>
      <c r="CT9" s="123"/>
      <c r="CU9" s="123"/>
      <c r="CV9" s="123"/>
      <c r="CW9" s="123"/>
      <c r="CX9" s="123"/>
      <c r="CY9" s="123"/>
      <c r="CZ9" s="123"/>
      <c r="DA9" s="123"/>
      <c r="DB9" s="123"/>
      <c r="DC9" s="123"/>
      <c r="DD9" s="123"/>
      <c r="DE9" s="123"/>
      <c r="DF9" s="123"/>
      <c r="DG9" s="123"/>
      <c r="DH9" s="123"/>
      <c r="DI9" s="123"/>
      <c r="DJ9" s="123"/>
      <c r="DK9" s="123"/>
      <c r="DL9" s="123"/>
      <c r="DM9" s="123"/>
      <c r="DN9" s="123"/>
      <c r="DO9" s="123"/>
      <c r="DP9" s="123"/>
      <c r="DQ9" s="123"/>
      <c r="DR9" s="123"/>
      <c r="DS9" s="123"/>
      <c r="DT9" s="123"/>
      <c r="DU9" s="123"/>
      <c r="DV9" s="123"/>
      <c r="DW9" s="123"/>
      <c r="DX9" s="123"/>
      <c r="DY9" s="123"/>
      <c r="DZ9" s="123"/>
      <c r="EA9" s="123"/>
      <c r="EB9" s="123"/>
      <c r="EC9" s="123"/>
      <c r="ED9" s="123"/>
      <c r="EE9" s="123"/>
      <c r="EF9" s="123"/>
      <c r="EG9" s="123"/>
      <c r="EH9" s="123"/>
      <c r="EI9" s="123"/>
      <c r="EJ9" s="123"/>
      <c r="EK9" s="123"/>
      <c r="EL9" s="123"/>
      <c r="EM9" s="123"/>
      <c r="EN9" s="123"/>
      <c r="EO9" s="123"/>
      <c r="EP9" s="123"/>
      <c r="EQ9" s="123"/>
      <c r="ER9" s="123"/>
      <c r="ES9" s="123"/>
      <c r="ET9" s="123"/>
      <c r="EU9" s="123"/>
      <c r="EV9" s="123"/>
      <c r="EW9" s="123"/>
      <c r="EX9" s="123"/>
      <c r="EY9" s="123"/>
      <c r="EZ9" s="123"/>
      <c r="FA9" s="123"/>
      <c r="FB9" s="123"/>
      <c r="FC9" s="123"/>
      <c r="FD9" s="123"/>
      <c r="FE9" s="123"/>
      <c r="FF9" s="123"/>
      <c r="FG9" s="123"/>
      <c r="FH9" s="123"/>
      <c r="FI9" s="123"/>
      <c r="FJ9" s="123"/>
      <c r="FK9" s="123"/>
      <c r="FL9" s="123"/>
      <c r="FM9" s="123"/>
      <c r="FN9" s="123"/>
      <c r="FO9" s="123"/>
      <c r="FP9" s="123"/>
      <c r="FQ9" s="123"/>
      <c r="FR9" s="123"/>
      <c r="FS9" s="123"/>
      <c r="FT9" s="123"/>
      <c r="FU9" s="123"/>
      <c r="FV9" s="123"/>
      <c r="FW9" s="123"/>
      <c r="FX9" s="123"/>
      <c r="FY9" s="123"/>
      <c r="FZ9" s="123"/>
      <c r="GA9" s="123"/>
      <c r="GB9" s="123"/>
      <c r="GC9" s="123"/>
      <c r="GD9" s="123"/>
      <c r="GE9" s="123"/>
      <c r="GF9" s="123"/>
      <c r="GG9" s="123"/>
      <c r="GH9" s="123"/>
      <c r="GI9" s="123"/>
      <c r="GJ9" s="123"/>
      <c r="GK9" s="123"/>
      <c r="GL9" s="123"/>
      <c r="GM9" s="123"/>
      <c r="GN9" s="123"/>
      <c r="GO9" s="123"/>
      <c r="GP9" s="123"/>
      <c r="GQ9" s="123"/>
      <c r="GR9" s="123"/>
      <c r="GS9" s="123"/>
      <c r="GT9" s="123"/>
      <c r="GU9" s="123"/>
      <c r="GV9" s="123"/>
      <c r="GW9" s="123"/>
      <c r="GX9" s="123"/>
      <c r="GY9" s="123"/>
      <c r="GZ9" s="123"/>
      <c r="HA9" s="123"/>
      <c r="HB9" s="123"/>
      <c r="HC9" s="123"/>
      <c r="HD9" s="123"/>
      <c r="HE9" s="123"/>
      <c r="HF9" s="123"/>
      <c r="HG9" s="123"/>
      <c r="HH9" s="123"/>
      <c r="HI9" s="123"/>
      <c r="HJ9" s="123"/>
      <c r="HK9" s="123"/>
      <c r="HL9" s="123"/>
      <c r="HM9" s="123"/>
      <c r="HN9" s="123"/>
      <c r="HO9" s="123"/>
      <c r="HP9" s="123"/>
      <c r="HQ9" s="123"/>
      <c r="HR9" s="123"/>
      <c r="HS9" s="123"/>
      <c r="HT9" s="123"/>
      <c r="HU9" s="123"/>
      <c r="HV9" s="123"/>
      <c r="HW9" s="123"/>
      <c r="HX9" s="123"/>
      <c r="HY9" s="123"/>
      <c r="HZ9" s="123"/>
      <c r="IA9" s="123"/>
      <c r="IB9" s="123"/>
      <c r="IC9" s="123"/>
      <c r="ID9" s="123"/>
      <c r="IE9" s="123"/>
      <c r="IF9" s="123"/>
      <c r="IG9" s="123"/>
      <c r="IH9" s="123"/>
      <c r="II9" s="123"/>
      <c r="IJ9" s="123"/>
      <c r="IK9" s="123"/>
      <c r="IL9" s="123"/>
      <c r="IM9" s="123"/>
      <c r="IN9" s="123"/>
      <c r="IO9" s="123"/>
      <c r="IP9" s="123"/>
      <c r="IQ9" s="123"/>
      <c r="IR9" s="123"/>
      <c r="IS9" s="123"/>
      <c r="IT9" s="123"/>
      <c r="IU9" s="123"/>
      <c r="IV9" s="123"/>
      <c r="IW9" s="123"/>
    </row>
    <row r="10" customFormat="false" ht="15" hidden="false" customHeight="false" outlineLevel="0" collapsed="false">
      <c r="A10" s="129" t="n">
        <v>36739</v>
      </c>
      <c r="B10" s="145" t="n">
        <f aca="false">+'GD Options'!M8</f>
        <v>0.063820029255873</v>
      </c>
      <c r="C10" s="146" t="n">
        <f aca="false">1/((1+B10/2)^(2*(A10-$B$1)/365.25))</f>
        <v>4.85574430433071</v>
      </c>
      <c r="D10" s="147" t="n">
        <f aca="false">IF($D$24,-'Deal Volumes'!D25-'Deal Volumes'!H25,'Model - Term'!$D$25)</f>
        <v>-87885.446698262</v>
      </c>
      <c r="E10" s="148" t="n">
        <f aca="false">IF($D$24=1,-'Deal Volumes'!F25-'Deal Volumes'!J25-'Deal Volumes'!L25,'Model - Term'!$D$26)</f>
        <v>-12114.553301738</v>
      </c>
      <c r="F10" s="149" t="n">
        <f aca="false">+(D10)*'Deal Volumes'!B25</f>
        <v>-2724448.84764612</v>
      </c>
      <c r="G10" s="148" t="n">
        <f aca="false">+E10*'Deal Volumes'!B25</f>
        <v>-375551.152353878</v>
      </c>
      <c r="H10" s="148" t="n">
        <f aca="false">+F10+G10</f>
        <v>-3100000</v>
      </c>
      <c r="I10" s="147" t="n">
        <f aca="false">+F10*$C10</f>
        <v>-13229226.974398</v>
      </c>
      <c r="J10" s="149" t="n">
        <f aca="false">+G10*$C10</f>
        <v>-1823580.36902718</v>
      </c>
      <c r="K10" s="150" t="n">
        <f aca="false">SUM(I10:J10)</f>
        <v>-15052807.3434252</v>
      </c>
      <c r="L10" s="151" t="n">
        <f aca="false">+Curves!C5</f>
        <v>0</v>
      </c>
      <c r="M10" s="152" t="n">
        <f aca="false">+Curves!E5</f>
        <v>-0.005</v>
      </c>
      <c r="N10" s="153" t="n">
        <f aca="false">+I10*(L10-$H$1)+J10*(M10-$H$1)</f>
        <v>836175.749091616</v>
      </c>
      <c r="O10" s="154" t="n">
        <f aca="false">-I10*(L10-$F$1)</f>
        <v>33073.0674359951</v>
      </c>
      <c r="P10" s="155" t="n">
        <f aca="false">-J10*(M10-$F$2)</f>
        <v>4558.95092256794</v>
      </c>
      <c r="Q10" s="154" t="n">
        <f aca="false">SUM(O10:P10)</f>
        <v>37632.018358563</v>
      </c>
      <c r="R10" s="156" t="n">
        <f aca="false">+I10</f>
        <v>-13229226.974398</v>
      </c>
      <c r="S10" s="210" t="n">
        <f aca="false">+R10*$S$1</f>
        <v>-529169.078975921</v>
      </c>
      <c r="T10" s="211" t="n">
        <f aca="false">+$T$1*K10</f>
        <v>-556953.871706732</v>
      </c>
      <c r="U10" s="212" t="n">
        <f aca="false">+Q10+T10+S10</f>
        <v>-1048490.93232409</v>
      </c>
      <c r="V10" s="159" t="n">
        <f aca="false">+N10+U10</f>
        <v>-212315.183232475</v>
      </c>
      <c r="W10" s="123"/>
      <c r="AC10" s="123"/>
      <c r="AD10" s="123"/>
      <c r="AE10" s="123"/>
      <c r="AF10" s="123"/>
      <c r="AG10" s="123"/>
      <c r="AH10" s="123"/>
      <c r="AI10" s="123"/>
      <c r="AJ10" s="123"/>
      <c r="AK10" s="123"/>
      <c r="AL10" s="123"/>
      <c r="AM10" s="123"/>
      <c r="AN10" s="123"/>
      <c r="AO10" s="123"/>
      <c r="AP10" s="123"/>
      <c r="AQ10" s="123"/>
      <c r="AR10" s="123"/>
      <c r="AS10" s="123"/>
      <c r="AT10" s="123"/>
      <c r="AU10" s="123"/>
      <c r="AV10" s="123"/>
      <c r="AW10" s="123"/>
      <c r="AX10" s="123"/>
      <c r="AY10" s="123"/>
      <c r="AZ10" s="123"/>
      <c r="BA10" s="123"/>
      <c r="BB10" s="123"/>
      <c r="BC10" s="123"/>
      <c r="BD10" s="123"/>
      <c r="BE10" s="123"/>
      <c r="BF10" s="123"/>
      <c r="BG10" s="123"/>
      <c r="BH10" s="123"/>
      <c r="BI10" s="123"/>
      <c r="BJ10" s="123"/>
      <c r="BK10" s="123"/>
      <c r="BL10" s="123"/>
      <c r="BM10" s="123"/>
      <c r="BN10" s="123"/>
      <c r="BO10" s="123"/>
      <c r="BP10" s="123"/>
      <c r="BQ10" s="123"/>
      <c r="BR10" s="123"/>
      <c r="BS10" s="123"/>
      <c r="BT10" s="123"/>
      <c r="BU10" s="123"/>
      <c r="BV10" s="123"/>
      <c r="BW10" s="123"/>
      <c r="BX10" s="123"/>
      <c r="BY10" s="123"/>
      <c r="BZ10" s="123"/>
      <c r="CA10" s="123"/>
      <c r="CB10" s="123"/>
      <c r="CC10" s="123"/>
      <c r="CD10" s="123"/>
      <c r="CE10" s="123"/>
      <c r="CF10" s="123"/>
      <c r="CG10" s="123"/>
      <c r="CH10" s="123"/>
      <c r="CI10" s="123"/>
      <c r="CJ10" s="123"/>
      <c r="CK10" s="123"/>
      <c r="CL10" s="123"/>
      <c r="CM10" s="123"/>
      <c r="CN10" s="123"/>
      <c r="CO10" s="123"/>
      <c r="CP10" s="123"/>
      <c r="CQ10" s="123"/>
      <c r="CR10" s="123"/>
      <c r="CS10" s="123"/>
      <c r="CT10" s="123"/>
      <c r="CU10" s="123"/>
      <c r="CV10" s="123"/>
      <c r="CW10" s="123"/>
      <c r="CX10" s="123"/>
      <c r="CY10" s="123"/>
      <c r="CZ10" s="123"/>
      <c r="DA10" s="123"/>
      <c r="DB10" s="123"/>
      <c r="DC10" s="123"/>
      <c r="DD10" s="123"/>
      <c r="DE10" s="123"/>
      <c r="DF10" s="123"/>
      <c r="DG10" s="123"/>
      <c r="DH10" s="123"/>
      <c r="DI10" s="123"/>
      <c r="DJ10" s="123"/>
      <c r="DK10" s="123"/>
      <c r="DL10" s="123"/>
      <c r="DM10" s="123"/>
      <c r="DN10" s="123"/>
      <c r="DO10" s="123"/>
      <c r="DP10" s="123"/>
      <c r="DQ10" s="123"/>
      <c r="DR10" s="123"/>
      <c r="DS10" s="123"/>
      <c r="DT10" s="123"/>
      <c r="DU10" s="123"/>
      <c r="DV10" s="123"/>
      <c r="DW10" s="123"/>
      <c r="DX10" s="123"/>
      <c r="DY10" s="123"/>
      <c r="DZ10" s="123"/>
      <c r="EA10" s="123"/>
      <c r="EB10" s="123"/>
      <c r="EC10" s="123"/>
      <c r="ED10" s="123"/>
      <c r="EE10" s="123"/>
      <c r="EF10" s="123"/>
      <c r="EG10" s="123"/>
      <c r="EH10" s="123"/>
      <c r="EI10" s="123"/>
      <c r="EJ10" s="123"/>
      <c r="EK10" s="123"/>
      <c r="EL10" s="123"/>
      <c r="EM10" s="123"/>
      <c r="EN10" s="123"/>
      <c r="EO10" s="123"/>
      <c r="EP10" s="123"/>
      <c r="EQ10" s="123"/>
      <c r="ER10" s="123"/>
      <c r="ES10" s="123"/>
      <c r="ET10" s="123"/>
      <c r="EU10" s="123"/>
      <c r="EV10" s="123"/>
      <c r="EW10" s="123"/>
      <c r="EX10" s="123"/>
      <c r="EY10" s="123"/>
      <c r="EZ10" s="123"/>
      <c r="FA10" s="123"/>
      <c r="FB10" s="123"/>
      <c r="FC10" s="123"/>
      <c r="FD10" s="123"/>
      <c r="FE10" s="123"/>
      <c r="FF10" s="123"/>
      <c r="FG10" s="123"/>
      <c r="FH10" s="123"/>
      <c r="FI10" s="123"/>
      <c r="FJ10" s="123"/>
      <c r="FK10" s="123"/>
      <c r="FL10" s="123"/>
      <c r="FM10" s="123"/>
      <c r="FN10" s="123"/>
      <c r="FO10" s="123"/>
      <c r="FP10" s="123"/>
      <c r="FQ10" s="123"/>
      <c r="FR10" s="123"/>
      <c r="FS10" s="123"/>
      <c r="FT10" s="123"/>
      <c r="FU10" s="123"/>
      <c r="FV10" s="123"/>
      <c r="FW10" s="123"/>
      <c r="FX10" s="123"/>
      <c r="FY10" s="123"/>
      <c r="FZ10" s="123"/>
      <c r="GA10" s="123"/>
      <c r="GB10" s="123"/>
      <c r="GC10" s="123"/>
      <c r="GD10" s="123"/>
      <c r="GE10" s="123"/>
      <c r="GF10" s="123"/>
      <c r="GG10" s="123"/>
      <c r="GH10" s="123"/>
      <c r="GI10" s="123"/>
      <c r="GJ10" s="123"/>
      <c r="GK10" s="123"/>
      <c r="GL10" s="123"/>
      <c r="GM10" s="123"/>
      <c r="GN10" s="123"/>
      <c r="GO10" s="123"/>
      <c r="GP10" s="123"/>
      <c r="GQ10" s="123"/>
      <c r="GR10" s="123"/>
      <c r="GS10" s="123"/>
      <c r="GT10" s="123"/>
      <c r="GU10" s="123"/>
      <c r="GV10" s="123"/>
      <c r="GW10" s="123"/>
      <c r="GX10" s="123"/>
      <c r="GY10" s="123"/>
      <c r="GZ10" s="123"/>
      <c r="HA10" s="123"/>
      <c r="HB10" s="123"/>
      <c r="HC10" s="123"/>
      <c r="HD10" s="123"/>
      <c r="HE10" s="123"/>
      <c r="HF10" s="123"/>
      <c r="HG10" s="123"/>
      <c r="HH10" s="123"/>
      <c r="HI10" s="123"/>
      <c r="HJ10" s="123"/>
      <c r="HK10" s="123"/>
      <c r="HL10" s="123"/>
      <c r="HM10" s="123"/>
      <c r="HN10" s="123"/>
      <c r="HO10" s="123"/>
      <c r="HP10" s="123"/>
      <c r="HQ10" s="123"/>
      <c r="HR10" s="123"/>
      <c r="HS10" s="123"/>
      <c r="HT10" s="123"/>
      <c r="HU10" s="123"/>
      <c r="HV10" s="123"/>
      <c r="HW10" s="123"/>
      <c r="HX10" s="123"/>
      <c r="HY10" s="123"/>
      <c r="HZ10" s="123"/>
      <c r="IA10" s="123"/>
      <c r="IB10" s="123"/>
      <c r="IC10" s="123"/>
      <c r="ID10" s="123"/>
      <c r="IE10" s="123"/>
      <c r="IF10" s="123"/>
      <c r="IG10" s="123"/>
      <c r="IH10" s="123"/>
      <c r="II10" s="123"/>
      <c r="IJ10" s="123"/>
      <c r="IK10" s="123"/>
      <c r="IL10" s="123"/>
      <c r="IM10" s="123"/>
      <c r="IN10" s="123"/>
      <c r="IO10" s="123"/>
      <c r="IP10" s="123"/>
      <c r="IQ10" s="123"/>
      <c r="IR10" s="123"/>
      <c r="IS10" s="123"/>
      <c r="IT10" s="123"/>
      <c r="IU10" s="123"/>
      <c r="IV10" s="123"/>
      <c r="IW10" s="123"/>
    </row>
    <row r="11" customFormat="false" ht="15" hidden="false" customHeight="false" outlineLevel="0" collapsed="false">
      <c r="A11" s="129" t="n">
        <v>36770</v>
      </c>
      <c r="B11" s="145" t="n">
        <f aca="false">+'GD Options'!M9</f>
        <v>0.064455430326432</v>
      </c>
      <c r="C11" s="146" t="n">
        <f aca="false">1/((1+B11/2)^(2*(A11-$B$1)/365.25))</f>
        <v>4.90504153607762</v>
      </c>
      <c r="D11" s="147" t="n">
        <f aca="false">IF($D$24,-'Deal Volumes'!D26-'Deal Volumes'!H26,'Model - Term'!$D$25)</f>
        <v>-87885.446698262</v>
      </c>
      <c r="E11" s="148" t="n">
        <f aca="false">IF($D$24=1,-'Deal Volumes'!F26-'Deal Volumes'!J26-'Deal Volumes'!L26,'Model - Term'!$D$26)</f>
        <v>-12114.553301738</v>
      </c>
      <c r="F11" s="149" t="n">
        <f aca="false">+(D11)*'Deal Volumes'!B26</f>
        <v>-2636563.40094786</v>
      </c>
      <c r="G11" s="148" t="n">
        <f aca="false">+E11*'Deal Volumes'!B26</f>
        <v>-363436.59905214</v>
      </c>
      <c r="H11" s="148" t="n">
        <f aca="false">+F11+G11</f>
        <v>-3000000</v>
      </c>
      <c r="I11" s="147" t="n">
        <f aca="false">+F11*$C11</f>
        <v>-12932452.9941513</v>
      </c>
      <c r="J11" s="149" t="n">
        <f aca="false">+G11*$C11</f>
        <v>-1782671.61408153</v>
      </c>
      <c r="K11" s="150" t="n">
        <f aca="false">SUM(I11:J11)</f>
        <v>-14715124.6082329</v>
      </c>
      <c r="L11" s="151" t="n">
        <f aca="false">+Curves!C6</f>
        <v>0</v>
      </c>
      <c r="M11" s="152" t="n">
        <f aca="false">+Curves!E6</f>
        <v>-0.005</v>
      </c>
      <c r="N11" s="153" t="n">
        <f aca="false">+I11*(L11-$H$1)+J11*(M11-$H$1)</f>
        <v>817417.645861251</v>
      </c>
      <c r="O11" s="154" t="n">
        <f aca="false">-I11*(L11-$F$1)</f>
        <v>32331.1324853783</v>
      </c>
      <c r="P11" s="155" t="n">
        <f aca="false">-J11*(M11-$F$2)</f>
        <v>4456.67903520383</v>
      </c>
      <c r="Q11" s="154" t="n">
        <f aca="false">SUM(O11:P11)</f>
        <v>36787.8115205821</v>
      </c>
      <c r="R11" s="156" t="n">
        <f aca="false">+I11</f>
        <v>-12932452.9941513</v>
      </c>
      <c r="S11" s="210" t="n">
        <f aca="false">+R11*$S$1</f>
        <v>-517298.119766053</v>
      </c>
      <c r="T11" s="211" t="n">
        <f aca="false">+$T$1*K11</f>
        <v>-544459.610504616</v>
      </c>
      <c r="U11" s="212" t="n">
        <f aca="false">+Q11+T11+S11</f>
        <v>-1024969.91875009</v>
      </c>
      <c r="V11" s="159" t="n">
        <f aca="false">+N11+U11</f>
        <v>-207552.272888836</v>
      </c>
      <c r="W11" s="123"/>
      <c r="Z11" s="123"/>
      <c r="AC11" s="123"/>
      <c r="AD11" s="123"/>
      <c r="AE11" s="123"/>
      <c r="AF11" s="123"/>
      <c r="AG11" s="123"/>
      <c r="AH11" s="123"/>
      <c r="AI11" s="123"/>
      <c r="AJ11" s="123"/>
      <c r="AK11" s="123"/>
      <c r="AL11" s="123"/>
      <c r="AM11" s="123"/>
      <c r="AN11" s="123"/>
      <c r="AO11" s="123"/>
      <c r="AP11" s="123"/>
      <c r="AQ11" s="123"/>
      <c r="AR11" s="123"/>
      <c r="AS11" s="123"/>
      <c r="AT11" s="123"/>
      <c r="AU11" s="123"/>
      <c r="AV11" s="123"/>
      <c r="AW11" s="123"/>
      <c r="AX11" s="123"/>
      <c r="AY11" s="123"/>
      <c r="AZ11" s="123"/>
      <c r="BA11" s="123"/>
      <c r="BB11" s="123"/>
      <c r="BC11" s="123"/>
      <c r="BD11" s="123"/>
      <c r="BE11" s="123"/>
      <c r="BF11" s="123"/>
      <c r="BG11" s="123"/>
      <c r="BH11" s="123"/>
      <c r="BI11" s="123"/>
      <c r="BJ11" s="123"/>
      <c r="BK11" s="123"/>
      <c r="BL11" s="123"/>
      <c r="BM11" s="123"/>
      <c r="BN11" s="123"/>
      <c r="BO11" s="123"/>
      <c r="BP11" s="123"/>
      <c r="BQ11" s="123"/>
      <c r="BR11" s="123"/>
      <c r="BS11" s="123"/>
      <c r="BT11" s="123"/>
      <c r="BU11" s="123"/>
      <c r="BV11" s="123"/>
      <c r="BW11" s="123"/>
      <c r="BX11" s="123"/>
      <c r="BY11" s="123"/>
      <c r="BZ11" s="123"/>
      <c r="CA11" s="123"/>
      <c r="CB11" s="123"/>
      <c r="CC11" s="123"/>
      <c r="CD11" s="123"/>
      <c r="CE11" s="123"/>
      <c r="CF11" s="123"/>
      <c r="CG11" s="123"/>
      <c r="CH11" s="123"/>
      <c r="CI11" s="123"/>
      <c r="CJ11" s="123"/>
      <c r="CK11" s="123"/>
      <c r="CL11" s="123"/>
      <c r="CM11" s="123"/>
      <c r="CN11" s="123"/>
      <c r="CO11" s="123"/>
      <c r="CP11" s="123"/>
      <c r="CQ11" s="123"/>
      <c r="CR11" s="123"/>
      <c r="CS11" s="123"/>
      <c r="CT11" s="123"/>
      <c r="CU11" s="123"/>
      <c r="CV11" s="123"/>
      <c r="CW11" s="123"/>
      <c r="CX11" s="123"/>
      <c r="CY11" s="123"/>
      <c r="CZ11" s="123"/>
      <c r="DA11" s="123"/>
      <c r="DB11" s="123"/>
      <c r="DC11" s="123"/>
      <c r="DD11" s="123"/>
      <c r="DE11" s="123"/>
      <c r="DF11" s="123"/>
      <c r="DG11" s="123"/>
      <c r="DH11" s="123"/>
      <c r="DI11" s="123"/>
      <c r="DJ11" s="123"/>
      <c r="DK11" s="123"/>
      <c r="DL11" s="123"/>
      <c r="DM11" s="123"/>
      <c r="DN11" s="123"/>
      <c r="DO11" s="123"/>
      <c r="DP11" s="123"/>
      <c r="DQ11" s="123"/>
      <c r="DR11" s="123"/>
      <c r="DS11" s="123"/>
      <c r="DT11" s="123"/>
      <c r="DU11" s="123"/>
      <c r="DV11" s="123"/>
      <c r="DW11" s="123"/>
      <c r="DX11" s="123"/>
      <c r="DY11" s="123"/>
      <c r="DZ11" s="123"/>
      <c r="EA11" s="123"/>
      <c r="EB11" s="123"/>
      <c r="EC11" s="123"/>
      <c r="ED11" s="123"/>
      <c r="EE11" s="123"/>
      <c r="EF11" s="123"/>
      <c r="EG11" s="123"/>
      <c r="EH11" s="123"/>
      <c r="EI11" s="123"/>
      <c r="EJ11" s="123"/>
      <c r="EK11" s="123"/>
      <c r="EL11" s="123"/>
      <c r="EM11" s="123"/>
      <c r="EN11" s="123"/>
      <c r="EO11" s="123"/>
      <c r="EP11" s="123"/>
      <c r="EQ11" s="123"/>
      <c r="ER11" s="123"/>
      <c r="ES11" s="123"/>
      <c r="ET11" s="123"/>
      <c r="EU11" s="123"/>
      <c r="EV11" s="123"/>
      <c r="EW11" s="123"/>
      <c r="EX11" s="123"/>
      <c r="EY11" s="123"/>
      <c r="EZ11" s="123"/>
      <c r="FA11" s="123"/>
      <c r="FB11" s="123"/>
      <c r="FC11" s="123"/>
      <c r="FD11" s="123"/>
      <c r="FE11" s="123"/>
      <c r="FF11" s="123"/>
      <c r="FG11" s="123"/>
      <c r="FH11" s="123"/>
      <c r="FI11" s="123"/>
      <c r="FJ11" s="123"/>
      <c r="FK11" s="123"/>
      <c r="FL11" s="123"/>
      <c r="FM11" s="123"/>
      <c r="FN11" s="123"/>
      <c r="FO11" s="123"/>
      <c r="FP11" s="123"/>
      <c r="FQ11" s="123"/>
      <c r="FR11" s="123"/>
      <c r="FS11" s="123"/>
      <c r="FT11" s="123"/>
      <c r="FU11" s="123"/>
      <c r="FV11" s="123"/>
      <c r="FW11" s="123"/>
      <c r="FX11" s="123"/>
      <c r="FY11" s="123"/>
      <c r="FZ11" s="123"/>
      <c r="GA11" s="123"/>
      <c r="GB11" s="123"/>
      <c r="GC11" s="123"/>
      <c r="GD11" s="123"/>
      <c r="GE11" s="123"/>
      <c r="GF11" s="123"/>
      <c r="GG11" s="123"/>
      <c r="GH11" s="123"/>
      <c r="GI11" s="123"/>
      <c r="GJ11" s="123"/>
      <c r="GK11" s="123"/>
      <c r="GL11" s="123"/>
      <c r="GM11" s="123"/>
      <c r="GN11" s="123"/>
      <c r="GO11" s="123"/>
      <c r="GP11" s="123"/>
      <c r="GQ11" s="123"/>
      <c r="GR11" s="123"/>
      <c r="GS11" s="123"/>
      <c r="GT11" s="123"/>
      <c r="GU11" s="123"/>
      <c r="GV11" s="123"/>
      <c r="GW11" s="123"/>
      <c r="GX11" s="123"/>
      <c r="GY11" s="123"/>
      <c r="GZ11" s="123"/>
      <c r="HA11" s="123"/>
      <c r="HB11" s="123"/>
      <c r="HC11" s="123"/>
      <c r="HD11" s="123"/>
      <c r="HE11" s="123"/>
      <c r="HF11" s="123"/>
      <c r="HG11" s="123"/>
      <c r="HH11" s="123"/>
      <c r="HI11" s="123"/>
      <c r="HJ11" s="123"/>
      <c r="HK11" s="123"/>
      <c r="HL11" s="123"/>
      <c r="HM11" s="123"/>
      <c r="HN11" s="123"/>
      <c r="HO11" s="123"/>
      <c r="HP11" s="123"/>
      <c r="HQ11" s="123"/>
      <c r="HR11" s="123"/>
      <c r="HS11" s="123"/>
      <c r="HT11" s="123"/>
      <c r="HU11" s="123"/>
      <c r="HV11" s="123"/>
      <c r="HW11" s="123"/>
      <c r="HX11" s="123"/>
      <c r="HY11" s="123"/>
      <c r="HZ11" s="123"/>
      <c r="IA11" s="123"/>
      <c r="IB11" s="123"/>
      <c r="IC11" s="123"/>
      <c r="ID11" s="123"/>
      <c r="IE11" s="123"/>
      <c r="IF11" s="123"/>
      <c r="IG11" s="123"/>
      <c r="IH11" s="123"/>
      <c r="II11" s="123"/>
      <c r="IJ11" s="123"/>
      <c r="IK11" s="123"/>
      <c r="IL11" s="123"/>
      <c r="IM11" s="123"/>
      <c r="IN11" s="123"/>
      <c r="IO11" s="123"/>
      <c r="IP11" s="123"/>
      <c r="IQ11" s="123"/>
      <c r="IR11" s="123"/>
      <c r="IS11" s="123"/>
      <c r="IT11" s="123"/>
      <c r="IU11" s="123"/>
      <c r="IV11" s="123"/>
      <c r="IW11" s="123"/>
    </row>
    <row r="12" customFormat="false" ht="15" hidden="false" customHeight="false" outlineLevel="0" collapsed="false">
      <c r="A12" s="129" t="n">
        <v>36800</v>
      </c>
      <c r="B12" s="145" t="n">
        <f aca="false">+'GD Options'!M10</f>
        <v>0.065038264108629</v>
      </c>
      <c r="C12" s="146" t="n">
        <f aca="false">1/((1+B12/2)^(2*(A12-$B$1)/365.25))</f>
        <v>4.94886774804093</v>
      </c>
      <c r="D12" s="147" t="n">
        <f aca="false">IF($D$24,-'Deal Volumes'!D27-'Deal Volumes'!H27,'Model - Term'!$D$25)</f>
        <v>-39548.4510142179</v>
      </c>
      <c r="E12" s="148" t="n">
        <f aca="false">IF($D$24=1,-'Deal Volumes'!F27-'Deal Volumes'!J27-'Deal Volumes'!L27,'Model - Term'!$D$26)</f>
        <v>-5451.5489857821</v>
      </c>
      <c r="F12" s="149" t="n">
        <f aca="false">+(D12)*'Deal Volumes'!B27</f>
        <v>-1226001.98144076</v>
      </c>
      <c r="G12" s="148" t="n">
        <f aca="false">+E12*'Deal Volumes'!B27</f>
        <v>-168998.018559245</v>
      </c>
      <c r="H12" s="148" t="n">
        <f aca="false">+F12+G12</f>
        <v>-1395000</v>
      </c>
      <c r="I12" s="147" t="n">
        <f aca="false">+F12*$C12</f>
        <v>-6067321.66498643</v>
      </c>
      <c r="J12" s="149" t="n">
        <f aca="false">+G12*$C12</f>
        <v>-836348.843530671</v>
      </c>
      <c r="K12" s="150" t="n">
        <f aca="false">SUM(I12:J12)</f>
        <v>-6903670.5085171</v>
      </c>
      <c r="L12" s="151" t="n">
        <f aca="false">+Curves!C7</f>
        <v>-0.005</v>
      </c>
      <c r="M12" s="152" t="n">
        <f aca="false">+Curves!E7</f>
        <v>-0.005</v>
      </c>
      <c r="N12" s="153" t="n">
        <f aca="false">+I12*(L12-$H$1)+J12*(M12-$H$1)</f>
        <v>413831.974155306</v>
      </c>
      <c r="O12" s="154" t="n">
        <f aca="false">-I12*(L12-$F$1)</f>
        <v>-15168.3041624661</v>
      </c>
      <c r="P12" s="155" t="n">
        <f aca="false">-J12*(M12-$F$2)</f>
        <v>2090.87210882668</v>
      </c>
      <c r="Q12" s="154" t="n">
        <f aca="false">SUM(O12:P12)</f>
        <v>-13077.4320536394</v>
      </c>
      <c r="R12" s="156" t="n">
        <f aca="false">+I12</f>
        <v>-6067321.66498643</v>
      </c>
      <c r="S12" s="210" t="n">
        <f aca="false">+R12*$S$2</f>
        <v>-0</v>
      </c>
      <c r="T12" s="211" t="n">
        <f aca="false">+$T$2*K12</f>
        <v>-255435.808815133</v>
      </c>
      <c r="U12" s="212" t="n">
        <f aca="false">+Q12+T12+S12</f>
        <v>-268513.240868772</v>
      </c>
      <c r="V12" s="159" t="n">
        <f aca="false">+N12+U12</f>
        <v>145318.733286534</v>
      </c>
      <c r="W12" s="123"/>
      <c r="AC12" s="123"/>
      <c r="AD12" s="123"/>
      <c r="AE12" s="123"/>
      <c r="AF12" s="123"/>
      <c r="AG12" s="123"/>
      <c r="AH12" s="123"/>
      <c r="AI12" s="123"/>
      <c r="AJ12" s="123"/>
      <c r="AK12" s="123"/>
      <c r="AL12" s="123"/>
      <c r="AM12" s="123"/>
      <c r="AN12" s="123"/>
      <c r="AO12" s="123"/>
      <c r="AP12" s="123"/>
      <c r="AQ12" s="123"/>
      <c r="AR12" s="123"/>
      <c r="AS12" s="123"/>
      <c r="AT12" s="123"/>
      <c r="AU12" s="123"/>
      <c r="AV12" s="123"/>
      <c r="AW12" s="123"/>
      <c r="AX12" s="123"/>
      <c r="AY12" s="123"/>
      <c r="AZ12" s="123"/>
      <c r="BA12" s="123"/>
      <c r="BB12" s="123"/>
      <c r="BC12" s="123"/>
      <c r="BD12" s="123"/>
      <c r="BE12" s="123"/>
      <c r="BF12" s="123"/>
      <c r="BG12" s="123"/>
      <c r="BH12" s="123"/>
      <c r="BI12" s="123"/>
      <c r="BJ12" s="123"/>
      <c r="BK12" s="123"/>
      <c r="BL12" s="123"/>
      <c r="BM12" s="123"/>
      <c r="BN12" s="123"/>
      <c r="BO12" s="123"/>
      <c r="BP12" s="123"/>
      <c r="BQ12" s="123"/>
      <c r="BR12" s="123"/>
      <c r="BS12" s="123"/>
      <c r="BT12" s="123"/>
      <c r="BU12" s="123"/>
      <c r="BV12" s="123"/>
      <c r="BW12" s="123"/>
      <c r="BX12" s="123"/>
      <c r="BY12" s="123"/>
      <c r="BZ12" s="123"/>
      <c r="CA12" s="123"/>
      <c r="CB12" s="123"/>
      <c r="CC12" s="123"/>
      <c r="CD12" s="123"/>
      <c r="CE12" s="123"/>
      <c r="CF12" s="123"/>
      <c r="CG12" s="123"/>
      <c r="CH12" s="123"/>
      <c r="CI12" s="123"/>
      <c r="CJ12" s="123"/>
      <c r="CK12" s="123"/>
      <c r="CL12" s="123"/>
      <c r="CM12" s="123"/>
      <c r="CN12" s="123"/>
      <c r="CO12" s="123"/>
      <c r="CP12" s="123"/>
      <c r="CQ12" s="123"/>
      <c r="CR12" s="123"/>
      <c r="CS12" s="123"/>
      <c r="CT12" s="123"/>
      <c r="CU12" s="123"/>
      <c r="CV12" s="123"/>
      <c r="CW12" s="123"/>
      <c r="CX12" s="123"/>
      <c r="CY12" s="123"/>
      <c r="CZ12" s="123"/>
      <c r="DA12" s="123"/>
      <c r="DB12" s="123"/>
      <c r="DC12" s="123"/>
      <c r="DD12" s="123"/>
      <c r="DE12" s="123"/>
      <c r="DF12" s="123"/>
      <c r="DG12" s="123"/>
      <c r="DH12" s="123"/>
      <c r="DI12" s="123"/>
      <c r="DJ12" s="123"/>
      <c r="DK12" s="123"/>
      <c r="DL12" s="123"/>
      <c r="DM12" s="123"/>
      <c r="DN12" s="123"/>
      <c r="DO12" s="123"/>
      <c r="DP12" s="123"/>
      <c r="DQ12" s="123"/>
      <c r="DR12" s="123"/>
      <c r="DS12" s="123"/>
      <c r="DT12" s="123"/>
      <c r="DU12" s="123"/>
      <c r="DV12" s="123"/>
      <c r="DW12" s="123"/>
      <c r="DX12" s="123"/>
      <c r="DY12" s="123"/>
      <c r="DZ12" s="123"/>
      <c r="EA12" s="123"/>
      <c r="EB12" s="123"/>
      <c r="EC12" s="123"/>
      <c r="ED12" s="123"/>
      <c r="EE12" s="123"/>
      <c r="EF12" s="123"/>
      <c r="EG12" s="123"/>
      <c r="EH12" s="123"/>
      <c r="EI12" s="123"/>
      <c r="EJ12" s="123"/>
      <c r="EK12" s="123"/>
      <c r="EL12" s="123"/>
      <c r="EM12" s="123"/>
      <c r="EN12" s="123"/>
      <c r="EO12" s="123"/>
      <c r="EP12" s="123"/>
      <c r="EQ12" s="123"/>
      <c r="ER12" s="123"/>
      <c r="ES12" s="123"/>
      <c r="ET12" s="123"/>
      <c r="EU12" s="123"/>
      <c r="EV12" s="123"/>
      <c r="EW12" s="123"/>
      <c r="EX12" s="123"/>
      <c r="EY12" s="123"/>
      <c r="EZ12" s="123"/>
      <c r="FA12" s="123"/>
      <c r="FB12" s="123"/>
      <c r="FC12" s="123"/>
      <c r="FD12" s="123"/>
      <c r="FE12" s="123"/>
      <c r="FF12" s="123"/>
      <c r="FG12" s="123"/>
      <c r="FH12" s="123"/>
      <c r="FI12" s="123"/>
      <c r="FJ12" s="123"/>
      <c r="FK12" s="123"/>
      <c r="FL12" s="123"/>
      <c r="FM12" s="123"/>
      <c r="FN12" s="123"/>
      <c r="FO12" s="123"/>
      <c r="FP12" s="123"/>
      <c r="FQ12" s="123"/>
      <c r="FR12" s="123"/>
      <c r="FS12" s="123"/>
      <c r="FT12" s="123"/>
      <c r="FU12" s="123"/>
      <c r="FV12" s="123"/>
      <c r="FW12" s="123"/>
      <c r="FX12" s="123"/>
      <c r="FY12" s="123"/>
      <c r="FZ12" s="123"/>
      <c r="GA12" s="123"/>
      <c r="GB12" s="123"/>
      <c r="GC12" s="123"/>
      <c r="GD12" s="123"/>
      <c r="GE12" s="123"/>
      <c r="GF12" s="123"/>
      <c r="GG12" s="123"/>
      <c r="GH12" s="123"/>
      <c r="GI12" s="123"/>
      <c r="GJ12" s="123"/>
      <c r="GK12" s="123"/>
      <c r="GL12" s="123"/>
      <c r="GM12" s="123"/>
      <c r="GN12" s="123"/>
      <c r="GO12" s="123"/>
      <c r="GP12" s="123"/>
      <c r="GQ12" s="123"/>
      <c r="GR12" s="123"/>
      <c r="GS12" s="123"/>
      <c r="GT12" s="123"/>
      <c r="GU12" s="123"/>
      <c r="GV12" s="123"/>
      <c r="GW12" s="123"/>
      <c r="GX12" s="123"/>
      <c r="GY12" s="123"/>
      <c r="GZ12" s="123"/>
      <c r="HA12" s="123"/>
      <c r="HB12" s="123"/>
      <c r="HC12" s="123"/>
      <c r="HD12" s="123"/>
      <c r="HE12" s="123"/>
      <c r="HF12" s="123"/>
      <c r="HG12" s="123"/>
      <c r="HH12" s="123"/>
      <c r="HI12" s="123"/>
      <c r="HJ12" s="123"/>
      <c r="HK12" s="123"/>
      <c r="HL12" s="123"/>
      <c r="HM12" s="123"/>
      <c r="HN12" s="123"/>
      <c r="HO12" s="123"/>
      <c r="HP12" s="123"/>
      <c r="HQ12" s="123"/>
      <c r="HR12" s="123"/>
      <c r="HS12" s="123"/>
      <c r="HT12" s="123"/>
      <c r="HU12" s="123"/>
      <c r="HV12" s="123"/>
      <c r="HW12" s="123"/>
      <c r="HX12" s="123"/>
      <c r="HY12" s="123"/>
      <c r="HZ12" s="123"/>
      <c r="IA12" s="123"/>
      <c r="IB12" s="123"/>
      <c r="IC12" s="123"/>
      <c r="ID12" s="123"/>
      <c r="IE12" s="123"/>
      <c r="IF12" s="123"/>
      <c r="IG12" s="123"/>
      <c r="IH12" s="123"/>
      <c r="II12" s="123"/>
      <c r="IJ12" s="123"/>
      <c r="IK12" s="123"/>
      <c r="IL12" s="123"/>
      <c r="IM12" s="123"/>
      <c r="IN12" s="123"/>
      <c r="IO12" s="123"/>
      <c r="IP12" s="123"/>
      <c r="IQ12" s="123"/>
      <c r="IR12" s="123"/>
      <c r="IS12" s="123"/>
      <c r="IT12" s="123"/>
      <c r="IU12" s="123"/>
      <c r="IV12" s="123"/>
      <c r="IW12" s="123"/>
    </row>
    <row r="13" customFormat="false" ht="15" hidden="false" customHeight="false" outlineLevel="0" collapsed="false">
      <c r="A13" s="129" t="n">
        <v>36831</v>
      </c>
      <c r="B13" s="145" t="n">
        <f aca="false">+'GD Options'!M11</f>
        <v>0.065581038241004</v>
      </c>
      <c r="C13" s="146" t="n">
        <f aca="false">1/((1+B13/2)^(2*(A13-$B$1)/365.25))</f>
        <v>4.98690134739708</v>
      </c>
      <c r="D13" s="147" t="n">
        <f aca="false">IF($D$24,-'Deal Volumes'!D28-'Deal Volumes'!H28,'Model - Term'!$D$25)</f>
        <v>-39548.4510142179</v>
      </c>
      <c r="E13" s="148" t="n">
        <f aca="false">IF($D$24=1,-'Deal Volumes'!F28-'Deal Volumes'!J28-'Deal Volumes'!L28,'Model - Term'!$D$26)</f>
        <v>-5451.5489857821</v>
      </c>
      <c r="F13" s="149" t="n">
        <f aca="false">+(D13)*'Deal Volumes'!B28</f>
        <v>-1186453.53042654</v>
      </c>
      <c r="G13" s="148" t="n">
        <f aca="false">+E13*'Deal Volumes'!B28</f>
        <v>-163546.469573463</v>
      </c>
      <c r="H13" s="148" t="n">
        <f aca="false">+F13+G13</f>
        <v>-1350000</v>
      </c>
      <c r="I13" s="147" t="n">
        <f aca="false">+F13*$C13</f>
        <v>-5916726.70950812</v>
      </c>
      <c r="J13" s="149" t="n">
        <f aca="false">+G13*$C13</f>
        <v>-815590.109477938</v>
      </c>
      <c r="K13" s="150" t="n">
        <f aca="false">SUM(I13:J13)</f>
        <v>-6732316.81898606</v>
      </c>
      <c r="L13" s="151" t="n">
        <f aca="false">+Curves!C8</f>
        <v>-0.005</v>
      </c>
      <c r="M13" s="152" t="n">
        <f aca="false">+Curves!E8</f>
        <v>-0.005</v>
      </c>
      <c r="N13" s="153" t="n">
        <f aca="false">+I13*(L13-$H$1)+J13*(M13-$H$1)</f>
        <v>403560.38956419</v>
      </c>
      <c r="O13" s="154" t="n">
        <f aca="false">-I13*(L13-$F$1)</f>
        <v>-14791.8167737703</v>
      </c>
      <c r="P13" s="155" t="n">
        <f aca="false">-J13*(M13-$F$2)</f>
        <v>2038.97527369484</v>
      </c>
      <c r="Q13" s="154" t="n">
        <f aca="false">SUM(O13:P13)</f>
        <v>-12752.8415000755</v>
      </c>
      <c r="R13" s="156" t="n">
        <f aca="false">+I13</f>
        <v>-5916726.70950812</v>
      </c>
      <c r="S13" s="210" t="n">
        <f aca="false">+R13*$S$2</f>
        <v>-0</v>
      </c>
      <c r="T13" s="211" t="n">
        <f aca="false">+$T$2*K13</f>
        <v>-249095.722302484</v>
      </c>
      <c r="U13" s="212" t="n">
        <f aca="false">+Q13+T13+S13</f>
        <v>-261848.56380256</v>
      </c>
      <c r="V13" s="159" t="n">
        <f aca="false">+N13+U13</f>
        <v>141711.82576163</v>
      </c>
      <c r="W13" s="123"/>
      <c r="AC13" s="123"/>
      <c r="AD13" s="123"/>
      <c r="AE13" s="123"/>
      <c r="AF13" s="123"/>
      <c r="AG13" s="123"/>
      <c r="AH13" s="123"/>
      <c r="AI13" s="123"/>
      <c r="AJ13" s="123"/>
      <c r="AK13" s="123"/>
      <c r="AL13" s="123"/>
      <c r="AM13" s="123"/>
      <c r="AN13" s="123"/>
      <c r="AO13" s="123"/>
      <c r="AP13" s="123"/>
      <c r="AQ13" s="123"/>
      <c r="AR13" s="123"/>
      <c r="AS13" s="123"/>
      <c r="AT13" s="123"/>
      <c r="AU13" s="123"/>
      <c r="AV13" s="123"/>
      <c r="AW13" s="123"/>
      <c r="AX13" s="123"/>
      <c r="AY13" s="123"/>
      <c r="AZ13" s="123"/>
      <c r="BA13" s="123"/>
      <c r="BB13" s="123"/>
      <c r="BC13" s="123"/>
      <c r="BD13" s="123"/>
      <c r="BE13" s="123"/>
      <c r="BF13" s="123"/>
      <c r="BG13" s="123"/>
      <c r="BH13" s="123"/>
      <c r="BI13" s="123"/>
      <c r="BJ13" s="123"/>
      <c r="BK13" s="123"/>
      <c r="BL13" s="123"/>
      <c r="BM13" s="123"/>
      <c r="BN13" s="123"/>
      <c r="BO13" s="123"/>
      <c r="BP13" s="123"/>
      <c r="BQ13" s="123"/>
      <c r="BR13" s="123"/>
      <c r="BS13" s="123"/>
      <c r="BT13" s="123"/>
      <c r="BU13" s="123"/>
      <c r="BV13" s="123"/>
      <c r="BW13" s="123"/>
      <c r="BX13" s="123"/>
      <c r="BY13" s="123"/>
      <c r="BZ13" s="123"/>
      <c r="CA13" s="123"/>
      <c r="CB13" s="123"/>
      <c r="CC13" s="123"/>
      <c r="CD13" s="123"/>
      <c r="CE13" s="123"/>
      <c r="CF13" s="123"/>
      <c r="CG13" s="123"/>
      <c r="CH13" s="123"/>
      <c r="CI13" s="123"/>
      <c r="CJ13" s="123"/>
      <c r="CK13" s="123"/>
      <c r="CL13" s="123"/>
      <c r="CM13" s="123"/>
      <c r="CN13" s="123"/>
      <c r="CO13" s="123"/>
      <c r="CP13" s="123"/>
      <c r="CQ13" s="123"/>
      <c r="CR13" s="123"/>
      <c r="CS13" s="123"/>
      <c r="CT13" s="123"/>
      <c r="CU13" s="123"/>
      <c r="CV13" s="123"/>
      <c r="CW13" s="123"/>
      <c r="CX13" s="123"/>
      <c r="CY13" s="123"/>
      <c r="CZ13" s="123"/>
      <c r="DA13" s="123"/>
      <c r="DB13" s="123"/>
      <c r="DC13" s="123"/>
      <c r="DD13" s="123"/>
      <c r="DE13" s="123"/>
      <c r="DF13" s="123"/>
      <c r="DG13" s="123"/>
      <c r="DH13" s="123"/>
      <c r="DI13" s="123"/>
      <c r="DJ13" s="123"/>
      <c r="DK13" s="123"/>
      <c r="DL13" s="123"/>
      <c r="DM13" s="123"/>
      <c r="DN13" s="123"/>
      <c r="DO13" s="123"/>
      <c r="DP13" s="123"/>
      <c r="DQ13" s="123"/>
      <c r="DR13" s="123"/>
      <c r="DS13" s="123"/>
      <c r="DT13" s="123"/>
      <c r="DU13" s="123"/>
      <c r="DV13" s="123"/>
      <c r="DW13" s="123"/>
      <c r="DX13" s="123"/>
      <c r="DY13" s="123"/>
      <c r="DZ13" s="123"/>
      <c r="EA13" s="123"/>
      <c r="EB13" s="123"/>
      <c r="EC13" s="123"/>
      <c r="ED13" s="123"/>
      <c r="EE13" s="123"/>
      <c r="EF13" s="123"/>
      <c r="EG13" s="123"/>
      <c r="EH13" s="123"/>
      <c r="EI13" s="123"/>
      <c r="EJ13" s="123"/>
      <c r="EK13" s="123"/>
      <c r="EL13" s="123"/>
      <c r="EM13" s="123"/>
      <c r="EN13" s="123"/>
      <c r="EO13" s="123"/>
      <c r="EP13" s="123"/>
      <c r="EQ13" s="123"/>
      <c r="ER13" s="123"/>
      <c r="ES13" s="123"/>
      <c r="ET13" s="123"/>
      <c r="EU13" s="123"/>
      <c r="EV13" s="123"/>
      <c r="EW13" s="123"/>
      <c r="EX13" s="123"/>
      <c r="EY13" s="123"/>
      <c r="EZ13" s="123"/>
      <c r="FA13" s="123"/>
      <c r="FB13" s="123"/>
      <c r="FC13" s="123"/>
      <c r="FD13" s="123"/>
      <c r="FE13" s="123"/>
      <c r="FF13" s="123"/>
      <c r="FG13" s="123"/>
      <c r="FH13" s="123"/>
      <c r="FI13" s="123"/>
      <c r="FJ13" s="123"/>
      <c r="FK13" s="123"/>
      <c r="FL13" s="123"/>
      <c r="FM13" s="123"/>
      <c r="FN13" s="123"/>
      <c r="FO13" s="123"/>
      <c r="FP13" s="123"/>
      <c r="FQ13" s="123"/>
      <c r="FR13" s="123"/>
      <c r="FS13" s="123"/>
      <c r="FT13" s="123"/>
      <c r="FU13" s="123"/>
      <c r="FV13" s="123"/>
      <c r="FW13" s="123"/>
      <c r="FX13" s="123"/>
      <c r="FY13" s="123"/>
      <c r="FZ13" s="123"/>
      <c r="GA13" s="123"/>
      <c r="GB13" s="123"/>
      <c r="GC13" s="123"/>
      <c r="GD13" s="123"/>
      <c r="GE13" s="123"/>
      <c r="GF13" s="123"/>
      <c r="GG13" s="123"/>
      <c r="GH13" s="123"/>
      <c r="GI13" s="123"/>
      <c r="GJ13" s="123"/>
      <c r="GK13" s="123"/>
      <c r="GL13" s="123"/>
      <c r="GM13" s="123"/>
      <c r="GN13" s="123"/>
      <c r="GO13" s="123"/>
      <c r="GP13" s="123"/>
      <c r="GQ13" s="123"/>
      <c r="GR13" s="123"/>
      <c r="GS13" s="123"/>
      <c r="GT13" s="123"/>
      <c r="GU13" s="123"/>
      <c r="GV13" s="123"/>
      <c r="GW13" s="123"/>
      <c r="GX13" s="123"/>
      <c r="GY13" s="123"/>
      <c r="GZ13" s="123"/>
      <c r="HA13" s="123"/>
      <c r="HB13" s="123"/>
      <c r="HC13" s="123"/>
      <c r="HD13" s="123"/>
      <c r="HE13" s="123"/>
      <c r="HF13" s="123"/>
      <c r="HG13" s="123"/>
      <c r="HH13" s="123"/>
      <c r="HI13" s="123"/>
      <c r="HJ13" s="123"/>
      <c r="HK13" s="123"/>
      <c r="HL13" s="123"/>
      <c r="HM13" s="123"/>
      <c r="HN13" s="123"/>
      <c r="HO13" s="123"/>
      <c r="HP13" s="123"/>
      <c r="HQ13" s="123"/>
      <c r="HR13" s="123"/>
      <c r="HS13" s="123"/>
      <c r="HT13" s="123"/>
      <c r="HU13" s="123"/>
      <c r="HV13" s="123"/>
      <c r="HW13" s="123"/>
      <c r="HX13" s="123"/>
      <c r="HY13" s="123"/>
      <c r="HZ13" s="123"/>
      <c r="IA13" s="123"/>
      <c r="IB13" s="123"/>
      <c r="IC13" s="123"/>
      <c r="ID13" s="123"/>
      <c r="IE13" s="123"/>
      <c r="IF13" s="123"/>
      <c r="IG13" s="123"/>
      <c r="IH13" s="123"/>
      <c r="II13" s="123"/>
      <c r="IJ13" s="123"/>
      <c r="IK13" s="123"/>
      <c r="IL13" s="123"/>
      <c r="IM13" s="123"/>
      <c r="IN13" s="123"/>
      <c r="IO13" s="123"/>
      <c r="IP13" s="123"/>
      <c r="IQ13" s="123"/>
      <c r="IR13" s="123"/>
      <c r="IS13" s="123"/>
      <c r="IT13" s="123"/>
      <c r="IU13" s="123"/>
      <c r="IV13" s="123"/>
      <c r="IW13" s="123"/>
    </row>
    <row r="14" customFormat="false" ht="15" hidden="false" customHeight="false" outlineLevel="0" collapsed="false">
      <c r="A14" s="129" t="n">
        <v>36861</v>
      </c>
      <c r="B14" s="145" t="n">
        <f aca="false">+'GD Options'!M12</f>
        <v>0.066106303623349</v>
      </c>
      <c r="C14" s="146" t="n">
        <f aca="false">1/((1+B14/2)^(2*(A14-$B$1)/365.25))</f>
        <v>5.02354319057376</v>
      </c>
      <c r="D14" s="147" t="n">
        <f aca="false">IF($D$24,-'Deal Volumes'!D29-'Deal Volumes'!H29,'Model - Term'!$D$25)</f>
        <v>-39548.4510142179</v>
      </c>
      <c r="E14" s="148" t="n">
        <f aca="false">IF($D$24=1,-'Deal Volumes'!F29-'Deal Volumes'!J29-'Deal Volumes'!L29,'Model - Term'!$D$26)</f>
        <v>-5451.5489857821</v>
      </c>
      <c r="F14" s="149" t="n">
        <f aca="false">+(D14)*'Deal Volumes'!B29</f>
        <v>-1226001.98144076</v>
      </c>
      <c r="G14" s="148" t="n">
        <f aca="false">+E14*'Deal Volumes'!B29</f>
        <v>-168998.018559245</v>
      </c>
      <c r="H14" s="148" t="n">
        <f aca="false">+F14+G14</f>
        <v>-1395000</v>
      </c>
      <c r="I14" s="147" t="n">
        <f aca="false">+F14*$C14</f>
        <v>-6158873.90549664</v>
      </c>
      <c r="J14" s="149" t="n">
        <f aca="false">+G14*$C14</f>
        <v>-848968.845353753</v>
      </c>
      <c r="K14" s="150" t="n">
        <f aca="false">SUM(I14:J14)</f>
        <v>-7007842.7508504</v>
      </c>
      <c r="L14" s="151" t="n">
        <f aca="false">+Curves!C9</f>
        <v>0</v>
      </c>
      <c r="M14" s="152" t="n">
        <f aca="false">+Curves!E9</f>
        <v>-0.005</v>
      </c>
      <c r="N14" s="153" t="n">
        <f aca="false">+I14*(L14-$H$1)+J14*(M14-$H$1)</f>
        <v>389282.08061256</v>
      </c>
      <c r="O14" s="154" t="n">
        <f aca="false">-I14*(L14-$F$1)</f>
        <v>15397.1847637416</v>
      </c>
      <c r="P14" s="155" t="n">
        <f aca="false">-J14*(M14-$F$2)</f>
        <v>2122.42211338438</v>
      </c>
      <c r="Q14" s="154" t="n">
        <f aca="false">SUM(O14:P14)</f>
        <v>17519.606877126</v>
      </c>
      <c r="R14" s="156" t="n">
        <f aca="false">+I14</f>
        <v>-6158873.90549664</v>
      </c>
      <c r="S14" s="210" t="n">
        <f aca="false">+R14*$S$2</f>
        <v>-0</v>
      </c>
      <c r="T14" s="211" t="n">
        <f aca="false">+$T$2*K14</f>
        <v>-259290.181781465</v>
      </c>
      <c r="U14" s="212" t="n">
        <f aca="false">+Q14+T14+S14</f>
        <v>-241770.574904339</v>
      </c>
      <c r="V14" s="159" t="n">
        <f aca="false">+N14+U14</f>
        <v>147511.505708221</v>
      </c>
      <c r="W14" s="123"/>
      <c r="AC14" s="123"/>
      <c r="AD14" s="123"/>
      <c r="AE14" s="123"/>
      <c r="AF14" s="123"/>
      <c r="AG14" s="123"/>
      <c r="AH14" s="123"/>
      <c r="AI14" s="123"/>
      <c r="AJ14" s="123"/>
      <c r="AK14" s="123"/>
      <c r="AL14" s="123"/>
      <c r="AM14" s="123"/>
      <c r="AN14" s="123"/>
      <c r="AO14" s="123"/>
      <c r="AP14" s="123"/>
      <c r="AQ14" s="123"/>
      <c r="AR14" s="123"/>
      <c r="AS14" s="123"/>
      <c r="AT14" s="123"/>
      <c r="AU14" s="123"/>
      <c r="AV14" s="123"/>
      <c r="AW14" s="123"/>
      <c r="AX14" s="123"/>
      <c r="AY14" s="123"/>
      <c r="AZ14" s="123"/>
      <c r="BA14" s="123"/>
      <c r="BB14" s="123"/>
      <c r="BC14" s="123"/>
      <c r="BD14" s="123"/>
      <c r="BE14" s="123"/>
      <c r="BF14" s="123"/>
      <c r="BG14" s="123"/>
      <c r="BH14" s="123"/>
      <c r="BI14" s="123"/>
      <c r="BJ14" s="123"/>
      <c r="BK14" s="123"/>
      <c r="BL14" s="123"/>
      <c r="BM14" s="123"/>
      <c r="BN14" s="123"/>
      <c r="BO14" s="123"/>
      <c r="BP14" s="123"/>
      <c r="BQ14" s="123"/>
      <c r="BR14" s="123"/>
      <c r="BS14" s="123"/>
      <c r="BT14" s="123"/>
      <c r="BU14" s="123"/>
      <c r="BV14" s="123"/>
      <c r="BW14" s="123"/>
      <c r="BX14" s="123"/>
      <c r="BY14" s="123"/>
      <c r="BZ14" s="123"/>
      <c r="CA14" s="123"/>
      <c r="CB14" s="123"/>
      <c r="CC14" s="123"/>
      <c r="CD14" s="123"/>
      <c r="CE14" s="123"/>
      <c r="CF14" s="123"/>
      <c r="CG14" s="123"/>
      <c r="CH14" s="123"/>
      <c r="CI14" s="123"/>
      <c r="CJ14" s="123"/>
      <c r="CK14" s="123"/>
      <c r="CL14" s="123"/>
      <c r="CM14" s="123"/>
      <c r="CN14" s="123"/>
      <c r="CO14" s="123"/>
      <c r="CP14" s="123"/>
      <c r="CQ14" s="123"/>
      <c r="CR14" s="123"/>
      <c r="CS14" s="123"/>
      <c r="CT14" s="123"/>
      <c r="CU14" s="123"/>
      <c r="CV14" s="123"/>
      <c r="CW14" s="123"/>
      <c r="CX14" s="123"/>
      <c r="CY14" s="123"/>
      <c r="CZ14" s="123"/>
      <c r="DA14" s="123"/>
      <c r="DB14" s="123"/>
      <c r="DC14" s="123"/>
      <c r="DD14" s="123"/>
      <c r="DE14" s="123"/>
      <c r="DF14" s="123"/>
      <c r="DG14" s="123"/>
      <c r="DH14" s="123"/>
      <c r="DI14" s="123"/>
      <c r="DJ14" s="123"/>
      <c r="DK14" s="123"/>
      <c r="DL14" s="123"/>
      <c r="DM14" s="123"/>
      <c r="DN14" s="123"/>
      <c r="DO14" s="123"/>
      <c r="DP14" s="123"/>
      <c r="DQ14" s="123"/>
      <c r="DR14" s="123"/>
      <c r="DS14" s="123"/>
      <c r="DT14" s="123"/>
      <c r="DU14" s="123"/>
      <c r="DV14" s="123"/>
      <c r="DW14" s="123"/>
      <c r="DX14" s="123"/>
      <c r="DY14" s="123"/>
      <c r="DZ14" s="123"/>
      <c r="EA14" s="123"/>
      <c r="EB14" s="123"/>
      <c r="EC14" s="123"/>
      <c r="ED14" s="123"/>
      <c r="EE14" s="123"/>
      <c r="EF14" s="123"/>
      <c r="EG14" s="123"/>
      <c r="EH14" s="123"/>
      <c r="EI14" s="123"/>
      <c r="EJ14" s="123"/>
      <c r="EK14" s="123"/>
      <c r="EL14" s="123"/>
      <c r="EM14" s="123"/>
      <c r="EN14" s="123"/>
      <c r="EO14" s="123"/>
      <c r="EP14" s="123"/>
      <c r="EQ14" s="123"/>
      <c r="ER14" s="123"/>
      <c r="ES14" s="123"/>
      <c r="ET14" s="123"/>
      <c r="EU14" s="123"/>
      <c r="EV14" s="123"/>
      <c r="EW14" s="123"/>
      <c r="EX14" s="123"/>
      <c r="EY14" s="123"/>
      <c r="EZ14" s="123"/>
      <c r="FA14" s="123"/>
      <c r="FB14" s="123"/>
      <c r="FC14" s="123"/>
      <c r="FD14" s="123"/>
      <c r="FE14" s="123"/>
      <c r="FF14" s="123"/>
      <c r="FG14" s="123"/>
      <c r="FH14" s="123"/>
      <c r="FI14" s="123"/>
      <c r="FJ14" s="123"/>
      <c r="FK14" s="123"/>
      <c r="FL14" s="123"/>
      <c r="FM14" s="123"/>
      <c r="FN14" s="123"/>
      <c r="FO14" s="123"/>
      <c r="FP14" s="123"/>
      <c r="FQ14" s="123"/>
      <c r="FR14" s="123"/>
      <c r="FS14" s="123"/>
      <c r="FT14" s="123"/>
      <c r="FU14" s="123"/>
      <c r="FV14" s="123"/>
      <c r="FW14" s="123"/>
      <c r="FX14" s="123"/>
      <c r="FY14" s="123"/>
      <c r="FZ14" s="123"/>
      <c r="GA14" s="123"/>
      <c r="GB14" s="123"/>
      <c r="GC14" s="123"/>
      <c r="GD14" s="123"/>
      <c r="GE14" s="123"/>
      <c r="GF14" s="123"/>
      <c r="GG14" s="123"/>
      <c r="GH14" s="123"/>
      <c r="GI14" s="123"/>
      <c r="GJ14" s="123"/>
      <c r="GK14" s="123"/>
      <c r="GL14" s="123"/>
      <c r="GM14" s="123"/>
      <c r="GN14" s="123"/>
      <c r="GO14" s="123"/>
      <c r="GP14" s="123"/>
      <c r="GQ14" s="123"/>
      <c r="GR14" s="123"/>
      <c r="GS14" s="123"/>
      <c r="GT14" s="123"/>
      <c r="GU14" s="123"/>
      <c r="GV14" s="123"/>
      <c r="GW14" s="123"/>
      <c r="GX14" s="123"/>
      <c r="GY14" s="123"/>
      <c r="GZ14" s="123"/>
      <c r="HA14" s="123"/>
      <c r="HB14" s="123"/>
      <c r="HC14" s="123"/>
      <c r="HD14" s="123"/>
      <c r="HE14" s="123"/>
      <c r="HF14" s="123"/>
      <c r="HG14" s="123"/>
      <c r="HH14" s="123"/>
      <c r="HI14" s="123"/>
      <c r="HJ14" s="123"/>
      <c r="HK14" s="123"/>
      <c r="HL14" s="123"/>
      <c r="HM14" s="123"/>
      <c r="HN14" s="123"/>
      <c r="HO14" s="123"/>
      <c r="HP14" s="123"/>
      <c r="HQ14" s="123"/>
      <c r="HR14" s="123"/>
      <c r="HS14" s="123"/>
      <c r="HT14" s="123"/>
      <c r="HU14" s="123"/>
      <c r="HV14" s="123"/>
      <c r="HW14" s="123"/>
      <c r="HX14" s="123"/>
      <c r="HY14" s="123"/>
      <c r="HZ14" s="123"/>
      <c r="IA14" s="123"/>
      <c r="IB14" s="123"/>
      <c r="IC14" s="123"/>
      <c r="ID14" s="123"/>
      <c r="IE14" s="123"/>
      <c r="IF14" s="123"/>
      <c r="IG14" s="123"/>
      <c r="IH14" s="123"/>
      <c r="II14" s="123"/>
      <c r="IJ14" s="123"/>
      <c r="IK14" s="123"/>
      <c r="IL14" s="123"/>
      <c r="IM14" s="123"/>
      <c r="IN14" s="123"/>
      <c r="IO14" s="123"/>
      <c r="IP14" s="123"/>
      <c r="IQ14" s="123"/>
      <c r="IR14" s="123"/>
      <c r="IS14" s="123"/>
      <c r="IT14" s="123"/>
      <c r="IU14" s="123"/>
      <c r="IV14" s="123"/>
      <c r="IW14" s="123"/>
    </row>
    <row r="15" customFormat="false" ht="15" hidden="false" customHeight="false" outlineLevel="0" collapsed="false">
      <c r="A15" s="129" t="n">
        <v>36892</v>
      </c>
      <c r="B15" s="145" t="n">
        <f aca="false">+'GD Options'!M13</f>
        <v>0.066621997418108</v>
      </c>
      <c r="C15" s="146" t="n">
        <f aca="false">1/((1+B15/2)^(2*(A15-$B$1)/365.25))</f>
        <v>5.05794845976092</v>
      </c>
      <c r="D15" s="147" t="n">
        <f aca="false">IF($D$24,-'Deal Volumes'!D30-'Deal Volumes'!H30,'Model - Term'!$D$25)</f>
        <v>-39548.4510142179</v>
      </c>
      <c r="E15" s="148" t="n">
        <f aca="false">IF($D$24=1,-'Deal Volumes'!F30-'Deal Volumes'!J30-'Deal Volumes'!L30,'Model - Term'!$D$26)</f>
        <v>-5451.5489857821</v>
      </c>
      <c r="F15" s="149" t="n">
        <f aca="false">+(D15)*'Deal Volumes'!B30</f>
        <v>-1226001.98144076</v>
      </c>
      <c r="G15" s="148" t="n">
        <f aca="false">+E15*'Deal Volumes'!B30</f>
        <v>-168998.018559245</v>
      </c>
      <c r="H15" s="148" t="n">
        <f aca="false">+F15+G15</f>
        <v>-1395000</v>
      </c>
      <c r="I15" s="147" t="n">
        <f aca="false">+F15*$C15</f>
        <v>-6201054.8336921</v>
      </c>
      <c r="J15" s="149" t="n">
        <f aca="false">+G15*$C15</f>
        <v>-854783.26767438</v>
      </c>
      <c r="K15" s="150" t="n">
        <f aca="false">SUM(I15:J15)</f>
        <v>-7055838.10136648</v>
      </c>
      <c r="L15" s="151" t="n">
        <f aca="false">+Curves!C10</f>
        <v>0</v>
      </c>
      <c r="M15" s="152" t="n">
        <f aca="false">+Curves!E10</f>
        <v>-0.005</v>
      </c>
      <c r="N15" s="153" t="n">
        <f aca="false">+I15*(L15-$H$1)+J15*(M15-$H$1)</f>
        <v>391948.19778626</v>
      </c>
      <c r="O15" s="154" t="n">
        <f aca="false">-I15*(L15-$F$1)</f>
        <v>15502.6370842303</v>
      </c>
      <c r="P15" s="155" t="n">
        <f aca="false">-J15*(M15-$F$2)</f>
        <v>2136.95816918595</v>
      </c>
      <c r="Q15" s="154" t="n">
        <f aca="false">SUM(O15:P15)</f>
        <v>17639.5952534162</v>
      </c>
      <c r="R15" s="156" t="n">
        <f aca="false">+I15</f>
        <v>-6201054.8336921</v>
      </c>
      <c r="S15" s="210" t="n">
        <f aca="false">+R15*$S$2</f>
        <v>-0</v>
      </c>
      <c r="T15" s="211" t="n">
        <f aca="false">+$T$2*K15</f>
        <v>-261066.00975056</v>
      </c>
      <c r="U15" s="212" t="n">
        <f aca="false">+Q15+T15+S15</f>
        <v>-243426.414497144</v>
      </c>
      <c r="V15" s="159" t="n">
        <f aca="false">+N15+U15</f>
        <v>148521.783289116</v>
      </c>
      <c r="W15" s="123"/>
      <c r="AC15" s="123"/>
      <c r="AD15" s="123"/>
      <c r="AE15" s="123"/>
      <c r="AF15" s="123"/>
      <c r="AG15" s="123"/>
      <c r="AH15" s="123"/>
      <c r="AI15" s="123"/>
      <c r="AJ15" s="123"/>
      <c r="AK15" s="123"/>
      <c r="AL15" s="123"/>
      <c r="AM15" s="123"/>
      <c r="AN15" s="123"/>
      <c r="AO15" s="123"/>
      <c r="AP15" s="123"/>
      <c r="AQ15" s="123"/>
      <c r="AR15" s="123"/>
      <c r="AS15" s="123"/>
      <c r="AT15" s="123"/>
      <c r="AU15" s="123"/>
      <c r="AV15" s="123"/>
      <c r="AW15" s="123"/>
      <c r="AX15" s="123"/>
      <c r="AY15" s="123"/>
      <c r="AZ15" s="123"/>
      <c r="BA15" s="123"/>
      <c r="BB15" s="123"/>
      <c r="BC15" s="123"/>
      <c r="BD15" s="123"/>
      <c r="BE15" s="123"/>
      <c r="BF15" s="123"/>
      <c r="BG15" s="123"/>
      <c r="BH15" s="123"/>
      <c r="BI15" s="123"/>
      <c r="BJ15" s="123"/>
      <c r="BK15" s="123"/>
      <c r="BL15" s="123"/>
      <c r="BM15" s="123"/>
      <c r="BN15" s="123"/>
      <c r="BO15" s="123"/>
      <c r="BP15" s="123"/>
      <c r="BQ15" s="123"/>
      <c r="BR15" s="123"/>
      <c r="BS15" s="123"/>
      <c r="BT15" s="123"/>
      <c r="BU15" s="123"/>
      <c r="BV15" s="123"/>
      <c r="BW15" s="123"/>
      <c r="BX15" s="123"/>
      <c r="BY15" s="123"/>
      <c r="BZ15" s="123"/>
      <c r="CA15" s="123"/>
      <c r="CB15" s="123"/>
      <c r="CC15" s="123"/>
      <c r="CD15" s="123"/>
      <c r="CE15" s="123"/>
      <c r="CF15" s="123"/>
      <c r="CG15" s="123"/>
      <c r="CH15" s="123"/>
      <c r="CI15" s="123"/>
      <c r="CJ15" s="123"/>
      <c r="CK15" s="123"/>
      <c r="CL15" s="123"/>
      <c r="CM15" s="123"/>
      <c r="CN15" s="123"/>
      <c r="CO15" s="123"/>
      <c r="CP15" s="123"/>
      <c r="CQ15" s="123"/>
      <c r="CR15" s="123"/>
      <c r="CS15" s="123"/>
      <c r="CT15" s="123"/>
      <c r="CU15" s="123"/>
      <c r="CV15" s="123"/>
      <c r="CW15" s="123"/>
      <c r="CX15" s="123"/>
      <c r="CY15" s="123"/>
      <c r="CZ15" s="123"/>
      <c r="DA15" s="123"/>
      <c r="DB15" s="123"/>
      <c r="DC15" s="123"/>
      <c r="DD15" s="123"/>
      <c r="DE15" s="123"/>
      <c r="DF15" s="123"/>
      <c r="DG15" s="123"/>
      <c r="DH15" s="123"/>
      <c r="DI15" s="123"/>
      <c r="DJ15" s="123"/>
      <c r="DK15" s="123"/>
      <c r="DL15" s="123"/>
      <c r="DM15" s="123"/>
      <c r="DN15" s="123"/>
      <c r="DO15" s="123"/>
      <c r="DP15" s="123"/>
      <c r="DQ15" s="123"/>
      <c r="DR15" s="123"/>
      <c r="DS15" s="123"/>
      <c r="DT15" s="123"/>
      <c r="DU15" s="123"/>
      <c r="DV15" s="123"/>
      <c r="DW15" s="123"/>
      <c r="DX15" s="123"/>
      <c r="DY15" s="123"/>
      <c r="DZ15" s="123"/>
      <c r="EA15" s="123"/>
      <c r="EB15" s="123"/>
      <c r="EC15" s="123"/>
      <c r="ED15" s="123"/>
      <c r="EE15" s="123"/>
      <c r="EF15" s="123"/>
      <c r="EG15" s="123"/>
      <c r="EH15" s="123"/>
      <c r="EI15" s="123"/>
      <c r="EJ15" s="123"/>
      <c r="EK15" s="123"/>
      <c r="EL15" s="123"/>
      <c r="EM15" s="123"/>
      <c r="EN15" s="123"/>
      <c r="EO15" s="123"/>
      <c r="EP15" s="123"/>
      <c r="EQ15" s="123"/>
      <c r="ER15" s="123"/>
      <c r="ES15" s="123"/>
      <c r="ET15" s="123"/>
      <c r="EU15" s="123"/>
      <c r="EV15" s="123"/>
      <c r="EW15" s="123"/>
      <c r="EX15" s="123"/>
      <c r="EY15" s="123"/>
      <c r="EZ15" s="123"/>
      <c r="FA15" s="123"/>
      <c r="FB15" s="123"/>
      <c r="FC15" s="123"/>
      <c r="FD15" s="123"/>
      <c r="FE15" s="123"/>
      <c r="FF15" s="123"/>
      <c r="FG15" s="123"/>
      <c r="FH15" s="123"/>
      <c r="FI15" s="123"/>
      <c r="FJ15" s="123"/>
      <c r="FK15" s="123"/>
      <c r="FL15" s="123"/>
      <c r="FM15" s="123"/>
      <c r="FN15" s="123"/>
      <c r="FO15" s="123"/>
      <c r="FP15" s="123"/>
      <c r="FQ15" s="123"/>
      <c r="FR15" s="123"/>
      <c r="FS15" s="123"/>
      <c r="FT15" s="123"/>
      <c r="FU15" s="123"/>
      <c r="FV15" s="123"/>
      <c r="FW15" s="123"/>
      <c r="FX15" s="123"/>
      <c r="FY15" s="123"/>
      <c r="FZ15" s="123"/>
      <c r="GA15" s="123"/>
      <c r="GB15" s="123"/>
      <c r="GC15" s="123"/>
      <c r="GD15" s="123"/>
      <c r="GE15" s="123"/>
      <c r="GF15" s="123"/>
      <c r="GG15" s="123"/>
      <c r="GH15" s="123"/>
      <c r="GI15" s="123"/>
      <c r="GJ15" s="123"/>
      <c r="GK15" s="123"/>
      <c r="GL15" s="123"/>
      <c r="GM15" s="123"/>
      <c r="GN15" s="123"/>
      <c r="GO15" s="123"/>
      <c r="GP15" s="123"/>
      <c r="GQ15" s="123"/>
      <c r="GR15" s="123"/>
      <c r="GS15" s="123"/>
      <c r="GT15" s="123"/>
      <c r="GU15" s="123"/>
      <c r="GV15" s="123"/>
      <c r="GW15" s="123"/>
      <c r="GX15" s="123"/>
      <c r="GY15" s="123"/>
      <c r="GZ15" s="123"/>
      <c r="HA15" s="123"/>
      <c r="HB15" s="123"/>
      <c r="HC15" s="123"/>
      <c r="HD15" s="123"/>
      <c r="HE15" s="123"/>
      <c r="HF15" s="123"/>
      <c r="HG15" s="123"/>
      <c r="HH15" s="123"/>
      <c r="HI15" s="123"/>
      <c r="HJ15" s="123"/>
      <c r="HK15" s="123"/>
      <c r="HL15" s="123"/>
      <c r="HM15" s="123"/>
      <c r="HN15" s="123"/>
      <c r="HO15" s="123"/>
      <c r="HP15" s="123"/>
      <c r="HQ15" s="123"/>
      <c r="HR15" s="123"/>
      <c r="HS15" s="123"/>
      <c r="HT15" s="123"/>
      <c r="HU15" s="123"/>
      <c r="HV15" s="123"/>
      <c r="HW15" s="123"/>
      <c r="HX15" s="123"/>
      <c r="HY15" s="123"/>
      <c r="HZ15" s="123"/>
      <c r="IA15" s="123"/>
      <c r="IB15" s="123"/>
      <c r="IC15" s="123"/>
      <c r="ID15" s="123"/>
      <c r="IE15" s="123"/>
      <c r="IF15" s="123"/>
      <c r="IG15" s="123"/>
      <c r="IH15" s="123"/>
      <c r="II15" s="123"/>
      <c r="IJ15" s="123"/>
      <c r="IK15" s="123"/>
      <c r="IL15" s="123"/>
      <c r="IM15" s="123"/>
      <c r="IN15" s="123"/>
      <c r="IO15" s="123"/>
      <c r="IP15" s="123"/>
      <c r="IQ15" s="123"/>
      <c r="IR15" s="123"/>
      <c r="IS15" s="123"/>
      <c r="IT15" s="123"/>
      <c r="IU15" s="123"/>
      <c r="IV15" s="123"/>
      <c r="IW15" s="123"/>
    </row>
    <row r="16" customFormat="false" ht="15" hidden="false" customHeight="false" outlineLevel="0" collapsed="false">
      <c r="A16" s="129" t="n">
        <v>36923</v>
      </c>
      <c r="B16" s="145" t="n">
        <f aca="false">+'GD Options'!M14</f>
        <v>0.067094813788782</v>
      </c>
      <c r="C16" s="146" t="n">
        <f aca="false">1/((1+B16/2)^(2*(A16-$B$1)/365.25))</f>
        <v>5.08693789287134</v>
      </c>
      <c r="D16" s="147" t="n">
        <f aca="false">IF($D$24,-'Deal Volumes'!D31-'Deal Volumes'!H31,'Model - Term'!$D$25)</f>
        <v>-39548.4510142179</v>
      </c>
      <c r="E16" s="148" t="n">
        <f aca="false">IF($D$24=1,-'Deal Volumes'!F31-'Deal Volumes'!J31-'Deal Volumes'!L31,'Model - Term'!$D$26)</f>
        <v>-5451.5489857821</v>
      </c>
      <c r="F16" s="149" t="n">
        <f aca="false">+(D16)*'Deal Volumes'!B31</f>
        <v>-1107356.6283981</v>
      </c>
      <c r="G16" s="148" t="n">
        <f aca="false">+E16*'Deal Volumes'!B31</f>
        <v>-152643.371601899</v>
      </c>
      <c r="H16" s="148" t="n">
        <f aca="false">+F16+G16</f>
        <v>-1260000</v>
      </c>
      <c r="I16" s="147" t="n">
        <f aca="false">+F16*$C16</f>
        <v>-5633054.39392055</v>
      </c>
      <c r="J16" s="149" t="n">
        <f aca="false">+G16*$C16</f>
        <v>-776487.351097339</v>
      </c>
      <c r="K16" s="150" t="n">
        <f aca="false">SUM(I16:J16)</f>
        <v>-6409541.74501789</v>
      </c>
      <c r="L16" s="151" t="n">
        <f aca="false">+Curves!C11</f>
        <v>0</v>
      </c>
      <c r="M16" s="152" t="n">
        <f aca="false">+Curves!E11</f>
        <v>-0.005</v>
      </c>
      <c r="N16" s="153" t="n">
        <f aca="false">+I16*(L16-$H$1)+J16*(M16-$H$1)</f>
        <v>356046.765742687</v>
      </c>
      <c r="O16" s="154" t="n">
        <f aca="false">-I16*(L16-$F$1)</f>
        <v>14082.6359848014</v>
      </c>
      <c r="P16" s="155" t="n">
        <f aca="false">-J16*(M16-$F$2)</f>
        <v>1941.21837774335</v>
      </c>
      <c r="Q16" s="154" t="n">
        <f aca="false">SUM(O16:P16)</f>
        <v>16023.8543625447</v>
      </c>
      <c r="R16" s="156" t="n">
        <f aca="false">+I16</f>
        <v>-5633054.39392055</v>
      </c>
      <c r="S16" s="210" t="n">
        <f aca="false">+R16*$S$2</f>
        <v>-0</v>
      </c>
      <c r="T16" s="211" t="n">
        <f aca="false">+$T$2*K16</f>
        <v>-237153.044565662</v>
      </c>
      <c r="U16" s="212" t="n">
        <f aca="false">+Q16+T16+S16</f>
        <v>-221129.190203117</v>
      </c>
      <c r="V16" s="159" t="n">
        <f aca="false">+N16+U16</f>
        <v>134917.57553957</v>
      </c>
      <c r="W16" s="123"/>
      <c r="AC16" s="123"/>
      <c r="AD16" s="123"/>
      <c r="AE16" s="123"/>
      <c r="AF16" s="123"/>
      <c r="AG16" s="123"/>
      <c r="AH16" s="123"/>
      <c r="AI16" s="123"/>
      <c r="AJ16" s="123"/>
      <c r="AK16" s="123"/>
      <c r="AL16" s="123"/>
      <c r="AM16" s="123"/>
      <c r="AN16" s="123"/>
      <c r="AO16" s="123"/>
      <c r="AP16" s="123"/>
      <c r="AQ16" s="123"/>
      <c r="AR16" s="123"/>
      <c r="AS16" s="123"/>
      <c r="AT16" s="123"/>
      <c r="AU16" s="123"/>
      <c r="AV16" s="123"/>
      <c r="AW16" s="123"/>
      <c r="AX16" s="123"/>
      <c r="AY16" s="123"/>
      <c r="AZ16" s="123"/>
      <c r="BA16" s="123"/>
      <c r="BB16" s="123"/>
      <c r="BC16" s="123"/>
      <c r="BD16" s="123"/>
      <c r="BE16" s="123"/>
      <c r="BF16" s="123"/>
      <c r="BG16" s="123"/>
      <c r="BH16" s="123"/>
      <c r="BI16" s="123"/>
      <c r="BJ16" s="123"/>
      <c r="BK16" s="123"/>
      <c r="BL16" s="123"/>
      <c r="BM16" s="123"/>
      <c r="BN16" s="123"/>
      <c r="BO16" s="123"/>
      <c r="BP16" s="123"/>
      <c r="BQ16" s="123"/>
      <c r="BR16" s="123"/>
      <c r="BS16" s="123"/>
      <c r="BT16" s="123"/>
      <c r="BU16" s="123"/>
      <c r="BV16" s="123"/>
      <c r="BW16" s="123"/>
      <c r="BX16" s="123"/>
      <c r="BY16" s="123"/>
      <c r="BZ16" s="123"/>
      <c r="CA16" s="123"/>
      <c r="CB16" s="123"/>
      <c r="CC16" s="123"/>
      <c r="CD16" s="123"/>
      <c r="CE16" s="123"/>
      <c r="CF16" s="123"/>
      <c r="CG16" s="123"/>
      <c r="CH16" s="123"/>
      <c r="CI16" s="123"/>
      <c r="CJ16" s="123"/>
      <c r="CK16" s="123"/>
      <c r="CL16" s="123"/>
      <c r="CM16" s="123"/>
      <c r="CN16" s="123"/>
      <c r="CO16" s="123"/>
      <c r="CP16" s="123"/>
      <c r="CQ16" s="123"/>
      <c r="CR16" s="123"/>
      <c r="CS16" s="123"/>
      <c r="CT16" s="123"/>
      <c r="CU16" s="123"/>
      <c r="CV16" s="123"/>
      <c r="CW16" s="123"/>
      <c r="CX16" s="123"/>
      <c r="CY16" s="123"/>
      <c r="CZ16" s="123"/>
      <c r="DA16" s="123"/>
      <c r="DB16" s="123"/>
      <c r="DC16" s="123"/>
      <c r="DD16" s="123"/>
      <c r="DE16" s="123"/>
      <c r="DF16" s="123"/>
      <c r="DG16" s="123"/>
      <c r="DH16" s="123"/>
      <c r="DI16" s="123"/>
      <c r="DJ16" s="123"/>
      <c r="DK16" s="123"/>
      <c r="DL16" s="123"/>
      <c r="DM16" s="123"/>
      <c r="DN16" s="123"/>
      <c r="DO16" s="123"/>
      <c r="DP16" s="123"/>
      <c r="DQ16" s="123"/>
      <c r="DR16" s="123"/>
      <c r="DS16" s="123"/>
      <c r="DT16" s="123"/>
      <c r="DU16" s="123"/>
      <c r="DV16" s="123"/>
      <c r="DW16" s="123"/>
      <c r="DX16" s="123"/>
      <c r="DY16" s="123"/>
      <c r="DZ16" s="123"/>
      <c r="EA16" s="123"/>
      <c r="EB16" s="123"/>
      <c r="EC16" s="123"/>
      <c r="ED16" s="123"/>
      <c r="EE16" s="123"/>
      <c r="EF16" s="123"/>
      <c r="EG16" s="123"/>
      <c r="EH16" s="123"/>
      <c r="EI16" s="123"/>
      <c r="EJ16" s="123"/>
      <c r="EK16" s="123"/>
      <c r="EL16" s="123"/>
      <c r="EM16" s="123"/>
      <c r="EN16" s="123"/>
      <c r="EO16" s="123"/>
      <c r="EP16" s="123"/>
      <c r="EQ16" s="123"/>
      <c r="ER16" s="123"/>
      <c r="ES16" s="123"/>
      <c r="ET16" s="123"/>
      <c r="EU16" s="123"/>
      <c r="EV16" s="123"/>
      <c r="EW16" s="123"/>
      <c r="EX16" s="123"/>
      <c r="EY16" s="123"/>
      <c r="EZ16" s="123"/>
      <c r="FA16" s="123"/>
      <c r="FB16" s="123"/>
      <c r="FC16" s="123"/>
      <c r="FD16" s="123"/>
      <c r="FE16" s="123"/>
      <c r="FF16" s="123"/>
      <c r="FG16" s="123"/>
      <c r="FH16" s="123"/>
      <c r="FI16" s="123"/>
      <c r="FJ16" s="123"/>
      <c r="FK16" s="123"/>
      <c r="FL16" s="123"/>
      <c r="FM16" s="123"/>
      <c r="FN16" s="123"/>
      <c r="FO16" s="123"/>
      <c r="FP16" s="123"/>
      <c r="FQ16" s="123"/>
      <c r="FR16" s="123"/>
      <c r="FS16" s="123"/>
      <c r="FT16" s="123"/>
      <c r="FU16" s="123"/>
      <c r="FV16" s="123"/>
      <c r="FW16" s="123"/>
      <c r="FX16" s="123"/>
      <c r="FY16" s="123"/>
      <c r="FZ16" s="123"/>
      <c r="GA16" s="123"/>
      <c r="GB16" s="123"/>
      <c r="GC16" s="123"/>
      <c r="GD16" s="123"/>
      <c r="GE16" s="123"/>
      <c r="GF16" s="123"/>
      <c r="GG16" s="123"/>
      <c r="GH16" s="123"/>
      <c r="GI16" s="123"/>
      <c r="GJ16" s="123"/>
      <c r="GK16" s="123"/>
      <c r="GL16" s="123"/>
      <c r="GM16" s="123"/>
      <c r="GN16" s="123"/>
      <c r="GO16" s="123"/>
      <c r="GP16" s="123"/>
      <c r="GQ16" s="123"/>
      <c r="GR16" s="123"/>
      <c r="GS16" s="123"/>
      <c r="GT16" s="123"/>
      <c r="GU16" s="123"/>
      <c r="GV16" s="123"/>
      <c r="GW16" s="123"/>
      <c r="GX16" s="123"/>
      <c r="GY16" s="123"/>
      <c r="GZ16" s="123"/>
      <c r="HA16" s="123"/>
      <c r="HB16" s="123"/>
      <c r="HC16" s="123"/>
      <c r="HD16" s="123"/>
      <c r="HE16" s="123"/>
      <c r="HF16" s="123"/>
      <c r="HG16" s="123"/>
      <c r="HH16" s="123"/>
      <c r="HI16" s="123"/>
      <c r="HJ16" s="123"/>
      <c r="HK16" s="123"/>
      <c r="HL16" s="123"/>
      <c r="HM16" s="123"/>
      <c r="HN16" s="123"/>
      <c r="HO16" s="123"/>
      <c r="HP16" s="123"/>
      <c r="HQ16" s="123"/>
      <c r="HR16" s="123"/>
      <c r="HS16" s="123"/>
      <c r="HT16" s="123"/>
      <c r="HU16" s="123"/>
      <c r="HV16" s="123"/>
      <c r="HW16" s="123"/>
      <c r="HX16" s="123"/>
      <c r="HY16" s="123"/>
      <c r="HZ16" s="123"/>
      <c r="IA16" s="123"/>
      <c r="IB16" s="123"/>
      <c r="IC16" s="123"/>
      <c r="ID16" s="123"/>
      <c r="IE16" s="123"/>
      <c r="IF16" s="123"/>
      <c r="IG16" s="123"/>
      <c r="IH16" s="123"/>
      <c r="II16" s="123"/>
      <c r="IJ16" s="123"/>
      <c r="IK16" s="123"/>
      <c r="IL16" s="123"/>
      <c r="IM16" s="123"/>
      <c r="IN16" s="123"/>
      <c r="IO16" s="123"/>
      <c r="IP16" s="123"/>
      <c r="IQ16" s="123"/>
      <c r="IR16" s="123"/>
      <c r="IS16" s="123"/>
      <c r="IT16" s="123"/>
      <c r="IU16" s="123"/>
      <c r="IV16" s="123"/>
      <c r="IW16" s="123"/>
    </row>
    <row r="17" customFormat="false" ht="15" hidden="false" customHeight="false" outlineLevel="0" collapsed="false">
      <c r="A17" s="129" t="n">
        <v>36951</v>
      </c>
      <c r="B17" s="145" t="n">
        <f aca="false">+'GD Options'!M15</f>
        <v>0.067521873800113</v>
      </c>
      <c r="C17" s="146" t="n">
        <f aca="false">1/((1+B17/2)^(2*(A17-$B$1)/365.25))</f>
        <v>5.11291207589898</v>
      </c>
      <c r="D17" s="147" t="n">
        <f aca="false">IF($D$24,-'Deal Volumes'!D32-'Deal Volumes'!H32,'Model - Term'!$D$25)</f>
        <v>-39548.4510142179</v>
      </c>
      <c r="E17" s="148" t="n">
        <f aca="false">IF($D$24=1,-'Deal Volumes'!F32-'Deal Volumes'!J32-'Deal Volumes'!L32,'Model - Term'!$D$26)</f>
        <v>-5451.5489857821</v>
      </c>
      <c r="F17" s="149" t="n">
        <f aca="false">+(D17)*'Deal Volumes'!B32</f>
        <v>-1226001.98144076</v>
      </c>
      <c r="G17" s="148" t="n">
        <f aca="false">+E17*'Deal Volumes'!B32</f>
        <v>-168998.018559245</v>
      </c>
      <c r="H17" s="148" t="n">
        <f aca="false">+F17+G17</f>
        <v>-1395000</v>
      </c>
      <c r="I17" s="147" t="n">
        <f aca="false">+F17*$C17</f>
        <v>-6268440.33598451</v>
      </c>
      <c r="J17" s="149" t="n">
        <f aca="false">+G17*$C17</f>
        <v>-864072.009894563</v>
      </c>
      <c r="K17" s="150" t="n">
        <f aca="false">SUM(I17:J17)</f>
        <v>-7132512.34587907</v>
      </c>
      <c r="L17" s="151" t="n">
        <f aca="false">+Curves!C12</f>
        <v>0</v>
      </c>
      <c r="M17" s="152" t="n">
        <f aca="false">+Curves!E12</f>
        <v>-0.005</v>
      </c>
      <c r="N17" s="153" t="n">
        <f aca="false">+I17*(L17-$H$1)+J17*(M17-$H$1)</f>
        <v>396207.412853498</v>
      </c>
      <c r="O17" s="154" t="n">
        <f aca="false">-I17*(L17-$F$1)</f>
        <v>15671.1008399613</v>
      </c>
      <c r="P17" s="155" t="n">
        <f aca="false">-J17*(M17-$F$2)</f>
        <v>2160.18002473641</v>
      </c>
      <c r="Q17" s="154" t="n">
        <f aca="false">SUM(O17:P17)</f>
        <v>17831.2808646977</v>
      </c>
      <c r="R17" s="156" t="n">
        <f aca="false">+I17</f>
        <v>-6268440.33598451</v>
      </c>
      <c r="S17" s="210" t="n">
        <f aca="false">+R17*$S$2</f>
        <v>-0</v>
      </c>
      <c r="T17" s="211" t="n">
        <f aca="false">+$T$2*K17</f>
        <v>-263902.956797526</v>
      </c>
      <c r="U17" s="212" t="n">
        <f aca="false">+Q17+T17+S17</f>
        <v>-246071.675932828</v>
      </c>
      <c r="V17" s="159" t="n">
        <f aca="false">+N17+U17</f>
        <v>150135.73692067</v>
      </c>
      <c r="W17" s="123"/>
      <c r="AC17" s="123"/>
      <c r="AD17" s="123"/>
      <c r="AE17" s="123"/>
      <c r="AF17" s="123"/>
      <c r="AG17" s="123"/>
      <c r="AH17" s="123"/>
      <c r="AI17" s="123"/>
      <c r="AJ17" s="123"/>
      <c r="AK17" s="123"/>
      <c r="AL17" s="123"/>
      <c r="AM17" s="123"/>
      <c r="AN17" s="123"/>
      <c r="AO17" s="123"/>
      <c r="AP17" s="123"/>
      <c r="AQ17" s="123"/>
      <c r="AR17" s="123"/>
      <c r="AS17" s="123"/>
      <c r="AT17" s="123"/>
      <c r="AU17" s="123"/>
      <c r="AV17" s="123"/>
      <c r="AW17" s="123"/>
      <c r="AX17" s="123"/>
      <c r="AY17" s="123"/>
      <c r="AZ17" s="123"/>
      <c r="BA17" s="123"/>
      <c r="BB17" s="123"/>
      <c r="BC17" s="123"/>
      <c r="BD17" s="123"/>
      <c r="BE17" s="123"/>
      <c r="BF17" s="123"/>
      <c r="BG17" s="123"/>
      <c r="BH17" s="123"/>
      <c r="BI17" s="123"/>
      <c r="BJ17" s="123"/>
      <c r="BK17" s="123"/>
      <c r="BL17" s="123"/>
      <c r="BM17" s="123"/>
      <c r="BN17" s="123"/>
      <c r="BO17" s="123"/>
      <c r="BP17" s="123"/>
      <c r="BQ17" s="123"/>
      <c r="BR17" s="123"/>
      <c r="BS17" s="123"/>
      <c r="BT17" s="123"/>
      <c r="BU17" s="123"/>
      <c r="BV17" s="123"/>
      <c r="BW17" s="123"/>
      <c r="BX17" s="123"/>
      <c r="BY17" s="123"/>
      <c r="BZ17" s="123"/>
      <c r="CA17" s="123"/>
      <c r="CB17" s="123"/>
      <c r="CC17" s="123"/>
      <c r="CD17" s="123"/>
      <c r="CE17" s="123"/>
      <c r="CF17" s="123"/>
      <c r="CG17" s="123"/>
      <c r="CH17" s="123"/>
      <c r="CI17" s="123"/>
      <c r="CJ17" s="123"/>
      <c r="CK17" s="123"/>
      <c r="CL17" s="123"/>
      <c r="CM17" s="123"/>
      <c r="CN17" s="123"/>
      <c r="CO17" s="123"/>
      <c r="CP17" s="123"/>
      <c r="CQ17" s="123"/>
      <c r="CR17" s="123"/>
      <c r="CS17" s="123"/>
      <c r="CT17" s="123"/>
      <c r="CU17" s="123"/>
      <c r="CV17" s="123"/>
      <c r="CW17" s="123"/>
      <c r="CX17" s="123"/>
      <c r="CY17" s="123"/>
      <c r="CZ17" s="123"/>
      <c r="DA17" s="123"/>
      <c r="DB17" s="123"/>
      <c r="DC17" s="123"/>
      <c r="DD17" s="123"/>
      <c r="DE17" s="123"/>
      <c r="DF17" s="123"/>
      <c r="DG17" s="123"/>
      <c r="DH17" s="123"/>
      <c r="DI17" s="123"/>
      <c r="DJ17" s="123"/>
      <c r="DK17" s="123"/>
      <c r="DL17" s="123"/>
      <c r="DM17" s="123"/>
      <c r="DN17" s="123"/>
      <c r="DO17" s="123"/>
      <c r="DP17" s="123"/>
      <c r="DQ17" s="123"/>
      <c r="DR17" s="123"/>
      <c r="DS17" s="123"/>
      <c r="DT17" s="123"/>
      <c r="DU17" s="123"/>
      <c r="DV17" s="123"/>
      <c r="DW17" s="123"/>
      <c r="DX17" s="123"/>
      <c r="DY17" s="123"/>
      <c r="DZ17" s="123"/>
      <c r="EA17" s="123"/>
      <c r="EB17" s="123"/>
      <c r="EC17" s="123"/>
      <c r="ED17" s="123"/>
      <c r="EE17" s="123"/>
      <c r="EF17" s="123"/>
      <c r="EG17" s="123"/>
      <c r="EH17" s="123"/>
      <c r="EI17" s="123"/>
      <c r="EJ17" s="123"/>
      <c r="EK17" s="123"/>
      <c r="EL17" s="123"/>
      <c r="EM17" s="123"/>
      <c r="EN17" s="123"/>
      <c r="EO17" s="123"/>
      <c r="EP17" s="123"/>
      <c r="EQ17" s="123"/>
      <c r="ER17" s="123"/>
      <c r="ES17" s="123"/>
      <c r="ET17" s="123"/>
      <c r="EU17" s="123"/>
      <c r="EV17" s="123"/>
      <c r="EW17" s="123"/>
      <c r="EX17" s="123"/>
      <c r="EY17" s="123"/>
      <c r="EZ17" s="123"/>
      <c r="FA17" s="123"/>
      <c r="FB17" s="123"/>
      <c r="FC17" s="123"/>
      <c r="FD17" s="123"/>
      <c r="FE17" s="123"/>
      <c r="FF17" s="123"/>
      <c r="FG17" s="123"/>
      <c r="FH17" s="123"/>
      <c r="FI17" s="123"/>
      <c r="FJ17" s="123"/>
      <c r="FK17" s="123"/>
      <c r="FL17" s="123"/>
      <c r="FM17" s="123"/>
      <c r="FN17" s="123"/>
      <c r="FO17" s="123"/>
      <c r="FP17" s="123"/>
      <c r="FQ17" s="123"/>
      <c r="FR17" s="123"/>
      <c r="FS17" s="123"/>
      <c r="FT17" s="123"/>
      <c r="FU17" s="123"/>
      <c r="FV17" s="123"/>
      <c r="FW17" s="123"/>
      <c r="FX17" s="123"/>
      <c r="FY17" s="123"/>
      <c r="FZ17" s="123"/>
      <c r="GA17" s="123"/>
      <c r="GB17" s="123"/>
      <c r="GC17" s="123"/>
      <c r="GD17" s="123"/>
      <c r="GE17" s="123"/>
      <c r="GF17" s="123"/>
      <c r="GG17" s="123"/>
      <c r="GH17" s="123"/>
      <c r="GI17" s="123"/>
      <c r="GJ17" s="123"/>
      <c r="GK17" s="123"/>
      <c r="GL17" s="123"/>
      <c r="GM17" s="123"/>
      <c r="GN17" s="123"/>
      <c r="GO17" s="123"/>
      <c r="GP17" s="123"/>
      <c r="GQ17" s="123"/>
      <c r="GR17" s="123"/>
      <c r="GS17" s="123"/>
      <c r="GT17" s="123"/>
      <c r="GU17" s="123"/>
      <c r="GV17" s="123"/>
      <c r="GW17" s="123"/>
      <c r="GX17" s="123"/>
      <c r="GY17" s="123"/>
      <c r="GZ17" s="123"/>
      <c r="HA17" s="123"/>
      <c r="HB17" s="123"/>
      <c r="HC17" s="123"/>
      <c r="HD17" s="123"/>
      <c r="HE17" s="123"/>
      <c r="HF17" s="123"/>
      <c r="HG17" s="123"/>
      <c r="HH17" s="123"/>
      <c r="HI17" s="123"/>
      <c r="HJ17" s="123"/>
      <c r="HK17" s="123"/>
      <c r="HL17" s="123"/>
      <c r="HM17" s="123"/>
      <c r="HN17" s="123"/>
      <c r="HO17" s="123"/>
      <c r="HP17" s="123"/>
      <c r="HQ17" s="123"/>
      <c r="HR17" s="123"/>
      <c r="HS17" s="123"/>
      <c r="HT17" s="123"/>
      <c r="HU17" s="123"/>
      <c r="HV17" s="123"/>
      <c r="HW17" s="123"/>
      <c r="HX17" s="123"/>
      <c r="HY17" s="123"/>
      <c r="HZ17" s="123"/>
      <c r="IA17" s="123"/>
      <c r="IB17" s="123"/>
      <c r="IC17" s="123"/>
      <c r="ID17" s="123"/>
      <c r="IE17" s="123"/>
      <c r="IF17" s="123"/>
      <c r="IG17" s="123"/>
      <c r="IH17" s="123"/>
      <c r="II17" s="123"/>
      <c r="IJ17" s="123"/>
      <c r="IK17" s="123"/>
      <c r="IL17" s="123"/>
      <c r="IM17" s="123"/>
      <c r="IN17" s="123"/>
      <c r="IO17" s="123"/>
      <c r="IP17" s="123"/>
      <c r="IQ17" s="123"/>
      <c r="IR17" s="123"/>
      <c r="IS17" s="123"/>
      <c r="IT17" s="123"/>
      <c r="IU17" s="123"/>
      <c r="IV17" s="123"/>
      <c r="IW17" s="123"/>
    </row>
    <row r="18" customFormat="false" ht="15" hidden="false" customHeight="false" outlineLevel="0" collapsed="false">
      <c r="A18" s="129" t="n">
        <v>36982</v>
      </c>
      <c r="B18" s="160" t="n">
        <f aca="false">+'GD Options'!M16</f>
        <v>0.06795355802668</v>
      </c>
      <c r="C18" s="161" t="n">
        <f aca="false">1/((1+B18/2)^(2*(A18-$B$1)/365.25))</f>
        <v>5.1364256084445</v>
      </c>
      <c r="D18" s="162" t="n">
        <f aca="false">IF($D$24,-'Deal Volumes'!D33-'Deal Volumes'!H33,'Model - Term'!$D$25)</f>
        <v>-39548.4510142179</v>
      </c>
      <c r="E18" s="163" t="n">
        <f aca="false">IF($D$24=1,-'Deal Volumes'!F33-'Deal Volumes'!J33-'Deal Volumes'!L33,'Model - Term'!$D$26)</f>
        <v>-5451.5489857821</v>
      </c>
      <c r="F18" s="164" t="n">
        <f aca="false">+(D18)*'Deal Volumes'!B33</f>
        <v>-1186453.53042654</v>
      </c>
      <c r="G18" s="163" t="n">
        <f aca="false">+E18*'Deal Volumes'!B33</f>
        <v>-163546.469573463</v>
      </c>
      <c r="H18" s="163" t="n">
        <f aca="false">+F18+G18</f>
        <v>-1350000</v>
      </c>
      <c r="I18" s="162" t="n">
        <f aca="false">+F18*$C18</f>
        <v>-6094130.29691225</v>
      </c>
      <c r="J18" s="164" t="n">
        <f aca="false">+G18*$C18</f>
        <v>-840044.274487824</v>
      </c>
      <c r="K18" s="165" t="n">
        <f aca="false">SUM(I18:J18)</f>
        <v>-6934174.57140008</v>
      </c>
      <c r="L18" s="166" t="n">
        <f aca="false">+Curves!C13</f>
        <v>-0.005</v>
      </c>
      <c r="M18" s="167" t="n">
        <f aca="false">+Curves!E13</f>
        <v>-0.005</v>
      </c>
      <c r="N18" s="168" t="n">
        <f aca="false">+I18*(L18-$H$1)+J18*(M18-$H$1)</f>
        <v>415660.502406625</v>
      </c>
      <c r="O18" s="169" t="n">
        <f aca="false">-I18*(L18-$F$1)</f>
        <v>-15235.3257422806</v>
      </c>
      <c r="P18" s="170" t="n">
        <f aca="false">-J18*(M18-$F$2)</f>
        <v>2100.11068621956</v>
      </c>
      <c r="Q18" s="169" t="n">
        <f aca="false">SUM(O18:P18)</f>
        <v>-13135.2150560611</v>
      </c>
      <c r="R18" s="171" t="n">
        <f aca="false">+I18</f>
        <v>-6094130.29691225</v>
      </c>
      <c r="S18" s="213" t="n">
        <f aca="false">+R18*$S$2</f>
        <v>-0</v>
      </c>
      <c r="T18" s="214" t="n">
        <f aca="false">+$T$2*K18</f>
        <v>-256564.459141803</v>
      </c>
      <c r="U18" s="215" t="n">
        <f aca="false">+Q18+T18+S18</f>
        <v>-269699.674197864</v>
      </c>
      <c r="V18" s="174" t="n">
        <f aca="false">+N18+U18</f>
        <v>145960.828208761</v>
      </c>
      <c r="W18" s="123"/>
      <c r="AC18" s="123"/>
      <c r="AD18" s="123"/>
      <c r="AE18" s="123"/>
      <c r="AF18" s="123"/>
      <c r="AG18" s="123"/>
      <c r="AH18" s="123"/>
      <c r="AI18" s="123"/>
      <c r="AJ18" s="123"/>
      <c r="AK18" s="123"/>
      <c r="AL18" s="123"/>
      <c r="AM18" s="123"/>
      <c r="AN18" s="123"/>
      <c r="AO18" s="123"/>
      <c r="AP18" s="123"/>
      <c r="AQ18" s="123"/>
      <c r="AR18" s="123"/>
      <c r="AS18" s="123"/>
      <c r="AT18" s="123"/>
      <c r="AU18" s="123"/>
      <c r="AV18" s="123"/>
      <c r="AW18" s="123"/>
      <c r="AX18" s="123"/>
      <c r="AY18" s="123"/>
      <c r="AZ18" s="123"/>
      <c r="BA18" s="123"/>
      <c r="BB18" s="123"/>
      <c r="BC18" s="123"/>
      <c r="BD18" s="123"/>
      <c r="BE18" s="123"/>
      <c r="BF18" s="123"/>
      <c r="BG18" s="123"/>
      <c r="BH18" s="123"/>
      <c r="BI18" s="123"/>
      <c r="BJ18" s="123"/>
      <c r="BK18" s="123"/>
      <c r="BL18" s="123"/>
      <c r="BM18" s="123"/>
      <c r="BN18" s="123"/>
      <c r="BO18" s="123"/>
      <c r="BP18" s="123"/>
      <c r="BQ18" s="123"/>
      <c r="BR18" s="123"/>
      <c r="BS18" s="123"/>
      <c r="BT18" s="123"/>
      <c r="BU18" s="123"/>
      <c r="BV18" s="123"/>
      <c r="BW18" s="123"/>
      <c r="BX18" s="123"/>
      <c r="BY18" s="123"/>
      <c r="BZ18" s="123"/>
      <c r="CA18" s="123"/>
      <c r="CB18" s="123"/>
      <c r="CC18" s="123"/>
      <c r="CD18" s="123"/>
      <c r="CE18" s="123"/>
      <c r="CF18" s="123"/>
      <c r="CG18" s="123"/>
      <c r="CH18" s="123"/>
      <c r="CI18" s="123"/>
      <c r="CJ18" s="123"/>
      <c r="CK18" s="123"/>
      <c r="CL18" s="123"/>
      <c r="CM18" s="123"/>
      <c r="CN18" s="123"/>
      <c r="CO18" s="123"/>
      <c r="CP18" s="123"/>
      <c r="CQ18" s="123"/>
      <c r="CR18" s="123"/>
      <c r="CS18" s="123"/>
      <c r="CT18" s="123"/>
      <c r="CU18" s="123"/>
      <c r="CV18" s="123"/>
      <c r="CW18" s="123"/>
      <c r="CX18" s="123"/>
      <c r="CY18" s="123"/>
      <c r="CZ18" s="123"/>
      <c r="DA18" s="123"/>
      <c r="DB18" s="123"/>
      <c r="DC18" s="123"/>
      <c r="DD18" s="123"/>
      <c r="DE18" s="123"/>
      <c r="DF18" s="123"/>
      <c r="DG18" s="123"/>
      <c r="DH18" s="123"/>
      <c r="DI18" s="123"/>
      <c r="DJ18" s="123"/>
      <c r="DK18" s="123"/>
      <c r="DL18" s="123"/>
      <c r="DM18" s="123"/>
      <c r="DN18" s="123"/>
      <c r="DO18" s="123"/>
      <c r="DP18" s="123"/>
      <c r="DQ18" s="123"/>
      <c r="DR18" s="123"/>
      <c r="DS18" s="123"/>
      <c r="DT18" s="123"/>
      <c r="DU18" s="123"/>
      <c r="DV18" s="123"/>
      <c r="DW18" s="123"/>
      <c r="DX18" s="123"/>
      <c r="DY18" s="123"/>
      <c r="DZ18" s="123"/>
      <c r="EA18" s="123"/>
      <c r="EB18" s="123"/>
      <c r="EC18" s="123"/>
      <c r="ED18" s="123"/>
      <c r="EE18" s="123"/>
      <c r="EF18" s="123"/>
      <c r="EG18" s="123"/>
      <c r="EH18" s="123"/>
      <c r="EI18" s="123"/>
      <c r="EJ18" s="123"/>
      <c r="EK18" s="123"/>
      <c r="EL18" s="123"/>
      <c r="EM18" s="123"/>
      <c r="EN18" s="123"/>
      <c r="EO18" s="123"/>
      <c r="EP18" s="123"/>
      <c r="EQ18" s="123"/>
      <c r="ER18" s="123"/>
      <c r="ES18" s="123"/>
      <c r="ET18" s="123"/>
      <c r="EU18" s="123"/>
      <c r="EV18" s="123"/>
      <c r="EW18" s="123"/>
      <c r="EX18" s="123"/>
      <c r="EY18" s="123"/>
      <c r="EZ18" s="123"/>
      <c r="FA18" s="123"/>
      <c r="FB18" s="123"/>
      <c r="FC18" s="123"/>
      <c r="FD18" s="123"/>
      <c r="FE18" s="123"/>
      <c r="FF18" s="123"/>
      <c r="FG18" s="123"/>
      <c r="FH18" s="123"/>
      <c r="FI18" s="123"/>
      <c r="FJ18" s="123"/>
      <c r="FK18" s="123"/>
      <c r="FL18" s="123"/>
      <c r="FM18" s="123"/>
      <c r="FN18" s="123"/>
      <c r="FO18" s="123"/>
      <c r="FP18" s="123"/>
      <c r="FQ18" s="123"/>
      <c r="FR18" s="123"/>
      <c r="FS18" s="123"/>
      <c r="FT18" s="123"/>
      <c r="FU18" s="123"/>
      <c r="FV18" s="123"/>
      <c r="FW18" s="123"/>
      <c r="FX18" s="123"/>
      <c r="FY18" s="123"/>
      <c r="FZ18" s="123"/>
      <c r="GA18" s="123"/>
      <c r="GB18" s="123"/>
      <c r="GC18" s="123"/>
      <c r="GD18" s="123"/>
      <c r="GE18" s="123"/>
      <c r="GF18" s="123"/>
      <c r="GG18" s="123"/>
      <c r="GH18" s="123"/>
      <c r="GI18" s="123"/>
      <c r="GJ18" s="123"/>
      <c r="GK18" s="123"/>
      <c r="GL18" s="123"/>
      <c r="GM18" s="123"/>
      <c r="GN18" s="123"/>
      <c r="GO18" s="123"/>
      <c r="GP18" s="123"/>
      <c r="GQ18" s="123"/>
      <c r="GR18" s="123"/>
      <c r="GS18" s="123"/>
      <c r="GT18" s="123"/>
      <c r="GU18" s="123"/>
      <c r="GV18" s="123"/>
      <c r="GW18" s="123"/>
      <c r="GX18" s="123"/>
      <c r="GY18" s="123"/>
      <c r="GZ18" s="123"/>
      <c r="HA18" s="123"/>
      <c r="HB18" s="123"/>
      <c r="HC18" s="123"/>
      <c r="HD18" s="123"/>
      <c r="HE18" s="123"/>
      <c r="HF18" s="123"/>
      <c r="HG18" s="123"/>
      <c r="HH18" s="123"/>
      <c r="HI18" s="123"/>
      <c r="HJ18" s="123"/>
      <c r="HK18" s="123"/>
      <c r="HL18" s="123"/>
      <c r="HM18" s="123"/>
      <c r="HN18" s="123"/>
      <c r="HO18" s="123"/>
      <c r="HP18" s="123"/>
      <c r="HQ18" s="123"/>
      <c r="HR18" s="123"/>
      <c r="HS18" s="123"/>
      <c r="HT18" s="123"/>
      <c r="HU18" s="123"/>
      <c r="HV18" s="123"/>
      <c r="HW18" s="123"/>
      <c r="HX18" s="123"/>
      <c r="HY18" s="123"/>
      <c r="HZ18" s="123"/>
      <c r="IA18" s="123"/>
      <c r="IB18" s="123"/>
      <c r="IC18" s="123"/>
      <c r="ID18" s="123"/>
      <c r="IE18" s="123"/>
      <c r="IF18" s="123"/>
      <c r="IG18" s="123"/>
      <c r="IH18" s="123"/>
      <c r="II18" s="123"/>
      <c r="IJ18" s="123"/>
      <c r="IK18" s="123"/>
      <c r="IL18" s="123"/>
      <c r="IM18" s="123"/>
      <c r="IN18" s="123"/>
      <c r="IO18" s="123"/>
      <c r="IP18" s="123"/>
      <c r="IQ18" s="123"/>
      <c r="IR18" s="123"/>
      <c r="IS18" s="123"/>
      <c r="IT18" s="123"/>
      <c r="IU18" s="123"/>
      <c r="IV18" s="123"/>
      <c r="IW18" s="123"/>
    </row>
    <row r="19" customFormat="false" ht="12.75" hidden="false" customHeight="false" outlineLevel="0" collapsed="false">
      <c r="A19" s="123"/>
      <c r="B19" s="123"/>
      <c r="C19" s="123"/>
      <c r="D19" s="123"/>
      <c r="E19" s="123"/>
      <c r="F19" s="123"/>
      <c r="G19" s="123"/>
      <c r="H19" s="123"/>
      <c r="I19" s="123"/>
      <c r="J19" s="123"/>
      <c r="K19" s="123"/>
      <c r="L19" s="123"/>
      <c r="M19" s="123"/>
      <c r="N19" s="123"/>
      <c r="O19" s="123"/>
      <c r="P19" s="123"/>
      <c r="Q19" s="123"/>
      <c r="R19" s="175"/>
      <c r="S19" s="123"/>
      <c r="T19" s="123"/>
      <c r="U19" s="123"/>
      <c r="V19" s="123"/>
      <c r="W19" s="123"/>
      <c r="AC19" s="123"/>
      <c r="AD19" s="123"/>
      <c r="AE19" s="123"/>
      <c r="AF19" s="123"/>
      <c r="AG19" s="123"/>
      <c r="AH19" s="123"/>
      <c r="AI19" s="123"/>
      <c r="AJ19" s="123"/>
      <c r="AK19" s="123"/>
      <c r="AL19" s="123"/>
      <c r="AM19" s="123"/>
      <c r="AN19" s="123"/>
      <c r="AO19" s="123"/>
      <c r="AP19" s="123"/>
      <c r="AQ19" s="123"/>
      <c r="AR19" s="123"/>
      <c r="AS19" s="123"/>
      <c r="AT19" s="123"/>
      <c r="AU19" s="123"/>
      <c r="AV19" s="123"/>
      <c r="AW19" s="123"/>
      <c r="AX19" s="123"/>
      <c r="AY19" s="123"/>
      <c r="AZ19" s="123"/>
      <c r="BA19" s="123"/>
      <c r="BB19" s="123"/>
      <c r="BC19" s="123"/>
      <c r="BD19" s="123"/>
      <c r="BE19" s="123"/>
      <c r="BF19" s="123"/>
      <c r="BG19" s="123"/>
      <c r="BH19" s="123"/>
      <c r="BI19" s="123"/>
      <c r="BJ19" s="123"/>
      <c r="BK19" s="123"/>
      <c r="BL19" s="123"/>
      <c r="BM19" s="123"/>
      <c r="BN19" s="123"/>
      <c r="BO19" s="123"/>
      <c r="BP19" s="123"/>
      <c r="BQ19" s="123"/>
      <c r="BR19" s="123"/>
      <c r="BS19" s="123"/>
      <c r="BT19" s="123"/>
      <c r="BU19" s="123"/>
      <c r="BV19" s="123"/>
      <c r="BW19" s="123"/>
      <c r="BX19" s="123"/>
      <c r="BY19" s="123"/>
      <c r="BZ19" s="123"/>
      <c r="CA19" s="123"/>
      <c r="CB19" s="123"/>
      <c r="CC19" s="123"/>
      <c r="CD19" s="123"/>
      <c r="CE19" s="123"/>
      <c r="CF19" s="123"/>
      <c r="CG19" s="123"/>
      <c r="CH19" s="123"/>
      <c r="CI19" s="123"/>
      <c r="CJ19" s="123"/>
      <c r="CK19" s="123"/>
      <c r="CL19" s="123"/>
      <c r="CM19" s="123"/>
      <c r="CN19" s="123"/>
      <c r="CO19" s="123"/>
      <c r="CP19" s="123"/>
      <c r="CQ19" s="123"/>
      <c r="CR19" s="123"/>
      <c r="CS19" s="123"/>
      <c r="CT19" s="123"/>
      <c r="CU19" s="123"/>
      <c r="CV19" s="123"/>
      <c r="CW19" s="123"/>
      <c r="CX19" s="123"/>
      <c r="CY19" s="123"/>
      <c r="CZ19" s="123"/>
      <c r="DA19" s="123"/>
      <c r="DB19" s="123"/>
      <c r="DC19" s="123"/>
      <c r="DD19" s="123"/>
      <c r="DE19" s="123"/>
      <c r="DF19" s="123"/>
      <c r="DG19" s="123"/>
      <c r="DH19" s="123"/>
      <c r="DI19" s="123"/>
      <c r="DJ19" s="123"/>
      <c r="DK19" s="123"/>
      <c r="DL19" s="123"/>
      <c r="DM19" s="123"/>
      <c r="DN19" s="123"/>
      <c r="DO19" s="123"/>
      <c r="DP19" s="123"/>
      <c r="DQ19" s="123"/>
      <c r="DR19" s="123"/>
      <c r="DS19" s="123"/>
      <c r="DT19" s="123"/>
      <c r="DU19" s="123"/>
      <c r="DV19" s="123"/>
      <c r="DW19" s="123"/>
      <c r="DX19" s="123"/>
      <c r="DY19" s="123"/>
      <c r="DZ19" s="123"/>
      <c r="EA19" s="123"/>
      <c r="EB19" s="123"/>
      <c r="EC19" s="123"/>
      <c r="ED19" s="123"/>
      <c r="EE19" s="123"/>
      <c r="EF19" s="123"/>
      <c r="EG19" s="123"/>
      <c r="EH19" s="123"/>
      <c r="EI19" s="123"/>
      <c r="EJ19" s="123"/>
      <c r="EK19" s="123"/>
      <c r="EL19" s="123"/>
      <c r="EM19" s="123"/>
      <c r="EN19" s="123"/>
      <c r="EO19" s="123"/>
      <c r="EP19" s="123"/>
      <c r="EQ19" s="123"/>
      <c r="ER19" s="123"/>
      <c r="ES19" s="123"/>
      <c r="ET19" s="123"/>
      <c r="EU19" s="123"/>
      <c r="EV19" s="123"/>
      <c r="EW19" s="123"/>
      <c r="EX19" s="123"/>
      <c r="EY19" s="123"/>
      <c r="EZ19" s="123"/>
      <c r="FA19" s="123"/>
      <c r="FB19" s="123"/>
      <c r="FC19" s="123"/>
      <c r="FD19" s="123"/>
      <c r="FE19" s="123"/>
      <c r="FF19" s="123"/>
      <c r="FG19" s="123"/>
      <c r="FH19" s="123"/>
      <c r="FI19" s="123"/>
      <c r="FJ19" s="123"/>
      <c r="FK19" s="123"/>
      <c r="FL19" s="123"/>
      <c r="FM19" s="123"/>
      <c r="FN19" s="123"/>
      <c r="FO19" s="123"/>
      <c r="FP19" s="123"/>
      <c r="FQ19" s="123"/>
      <c r="FR19" s="123"/>
      <c r="FS19" s="123"/>
      <c r="FT19" s="123"/>
      <c r="FU19" s="123"/>
      <c r="FV19" s="123"/>
      <c r="FW19" s="123"/>
      <c r="FX19" s="123"/>
      <c r="FY19" s="123"/>
      <c r="FZ19" s="123"/>
      <c r="GA19" s="123"/>
      <c r="GB19" s="123"/>
      <c r="GC19" s="123"/>
      <c r="GD19" s="123"/>
      <c r="GE19" s="123"/>
      <c r="GF19" s="123"/>
      <c r="GG19" s="123"/>
      <c r="GH19" s="123"/>
      <c r="GI19" s="123"/>
      <c r="GJ19" s="123"/>
      <c r="GK19" s="123"/>
      <c r="GL19" s="123"/>
      <c r="GM19" s="123"/>
      <c r="GN19" s="123"/>
      <c r="GO19" s="123"/>
      <c r="GP19" s="123"/>
      <c r="GQ19" s="123"/>
      <c r="GR19" s="123"/>
      <c r="GS19" s="123"/>
      <c r="GT19" s="123"/>
      <c r="GU19" s="123"/>
      <c r="GV19" s="123"/>
      <c r="GW19" s="123"/>
      <c r="GX19" s="123"/>
      <c r="GY19" s="123"/>
      <c r="GZ19" s="123"/>
      <c r="HA19" s="123"/>
      <c r="HB19" s="123"/>
      <c r="HC19" s="123"/>
      <c r="HD19" s="123"/>
      <c r="HE19" s="123"/>
      <c r="HF19" s="123"/>
      <c r="HG19" s="123"/>
      <c r="HH19" s="123"/>
      <c r="HI19" s="123"/>
      <c r="HJ19" s="123"/>
      <c r="HK19" s="123"/>
      <c r="HL19" s="123"/>
      <c r="HM19" s="123"/>
      <c r="HN19" s="123"/>
      <c r="HO19" s="123"/>
      <c r="HP19" s="123"/>
      <c r="HQ19" s="123"/>
      <c r="HR19" s="123"/>
      <c r="HS19" s="123"/>
      <c r="HT19" s="123"/>
      <c r="HU19" s="123"/>
      <c r="HV19" s="123"/>
      <c r="HW19" s="123"/>
      <c r="HX19" s="123"/>
      <c r="HY19" s="123"/>
      <c r="HZ19" s="123"/>
      <c r="IA19" s="123"/>
      <c r="IB19" s="123"/>
      <c r="IC19" s="123"/>
      <c r="ID19" s="123"/>
      <c r="IE19" s="123"/>
      <c r="IF19" s="123"/>
      <c r="IG19" s="123"/>
      <c r="IH19" s="123"/>
      <c r="II19" s="123"/>
      <c r="IJ19" s="123"/>
      <c r="IK19" s="123"/>
      <c r="IL19" s="123"/>
      <c r="IM19" s="123"/>
      <c r="IN19" s="123"/>
      <c r="IO19" s="123"/>
      <c r="IP19" s="123"/>
      <c r="IQ19" s="123"/>
      <c r="IR19" s="123"/>
      <c r="IS19" s="123"/>
      <c r="IT19" s="123"/>
      <c r="IU19" s="123"/>
      <c r="IV19" s="123"/>
      <c r="IW19" s="123"/>
    </row>
    <row r="20" customFormat="false" ht="18" hidden="false" customHeight="false" outlineLevel="0" collapsed="false">
      <c r="A20" s="176" t="s">
        <v>21</v>
      </c>
      <c r="B20" s="177"/>
      <c r="C20" s="177"/>
      <c r="D20" s="177"/>
      <c r="E20" s="177"/>
      <c r="F20" s="178" t="n">
        <f aca="false">SUM(F7:F18)</f>
        <v>-20490491.8976998</v>
      </c>
      <c r="G20" s="178" t="n">
        <f aca="false">SUM(G7:G18)</f>
        <v>-2824508.10230021</v>
      </c>
      <c r="H20" s="178" t="n">
        <f aca="false">SUM(H7:H18)</f>
        <v>-23315000</v>
      </c>
      <c r="I20" s="178" t="n">
        <f aca="false">SUM(I7:I18)</f>
        <v>-100484597.074662</v>
      </c>
      <c r="J20" s="178" t="n">
        <f aca="false">SUM(J7:J18)</f>
        <v>-13851280.8775281</v>
      </c>
      <c r="K20" s="178" t="n">
        <f aca="false">SUM(K7:K18)</f>
        <v>-114335877.95219</v>
      </c>
      <c r="L20" s="177"/>
      <c r="M20" s="177"/>
      <c r="N20" s="179" t="n">
        <f aca="false">SUM(N7:N18)</f>
        <v>6536132.82150577</v>
      </c>
      <c r="O20" s="179" t="n">
        <f aca="false">SUM(O7:O18)</f>
        <v>66378.2137528176</v>
      </c>
      <c r="P20" s="179" t="n">
        <f aca="false">SUM(P7:P18)</f>
        <v>34628.2021938203</v>
      </c>
      <c r="Q20" s="179" t="n">
        <f aca="false">SUM(Q7:Q18)</f>
        <v>101006.415946638</v>
      </c>
      <c r="R20" s="178" t="n">
        <f aca="false">SUM(R7:R18)</f>
        <v>-100484597.074662</v>
      </c>
      <c r="S20" s="179" t="n">
        <f aca="false">SUM(S7:S18)</f>
        <v>-2325799.79736644</v>
      </c>
      <c r="T20" s="179" t="n">
        <f aca="false">SUM(T7:T18)</f>
        <v>-4230427.48423102</v>
      </c>
      <c r="U20" s="179" t="n">
        <f aca="false">SUM(U7:U18)</f>
        <v>-6455220.86565083</v>
      </c>
      <c r="V20" s="180" t="n">
        <f aca="false">SUM(V7:V18)</f>
        <v>80911.9558549394</v>
      </c>
      <c r="W20" s="181"/>
      <c r="AC20" s="181"/>
      <c r="AD20" s="181"/>
      <c r="AE20" s="181"/>
      <c r="AF20" s="181"/>
      <c r="AG20" s="181"/>
      <c r="AH20" s="181"/>
      <c r="AI20" s="181"/>
      <c r="AJ20" s="181"/>
      <c r="AK20" s="181"/>
      <c r="AL20" s="181"/>
      <c r="AM20" s="181"/>
      <c r="AN20" s="181"/>
      <c r="AO20" s="181"/>
      <c r="AP20" s="181"/>
      <c r="AQ20" s="181"/>
      <c r="AR20" s="181"/>
      <c r="AS20" s="181"/>
      <c r="AT20" s="181"/>
      <c r="AU20" s="181"/>
      <c r="AV20" s="181"/>
      <c r="AW20" s="181"/>
      <c r="AX20" s="181"/>
      <c r="AY20" s="181"/>
      <c r="AZ20" s="181"/>
      <c r="BA20" s="181"/>
      <c r="BB20" s="181"/>
      <c r="BC20" s="181"/>
      <c r="BD20" s="181"/>
      <c r="BE20" s="181"/>
      <c r="BF20" s="181"/>
      <c r="BG20" s="181"/>
      <c r="BH20" s="181"/>
      <c r="BI20" s="181"/>
      <c r="BJ20" s="181"/>
      <c r="BK20" s="181"/>
      <c r="BL20" s="181"/>
      <c r="BM20" s="181"/>
      <c r="BN20" s="181"/>
      <c r="BO20" s="181"/>
      <c r="BP20" s="181"/>
      <c r="BQ20" s="181"/>
      <c r="BR20" s="181"/>
      <c r="BS20" s="181"/>
      <c r="BT20" s="181"/>
      <c r="BU20" s="181"/>
      <c r="BV20" s="181"/>
      <c r="BW20" s="181"/>
      <c r="BX20" s="181"/>
      <c r="BY20" s="181"/>
      <c r="BZ20" s="181"/>
      <c r="CA20" s="181"/>
      <c r="CB20" s="181"/>
      <c r="CC20" s="181"/>
      <c r="CD20" s="181"/>
      <c r="CE20" s="181"/>
      <c r="CF20" s="181"/>
      <c r="CG20" s="181"/>
      <c r="CH20" s="181"/>
      <c r="CI20" s="181"/>
      <c r="CJ20" s="181"/>
      <c r="CK20" s="181"/>
      <c r="CL20" s="181"/>
      <c r="CM20" s="181"/>
      <c r="CN20" s="181"/>
      <c r="CO20" s="181"/>
      <c r="CP20" s="181"/>
      <c r="CQ20" s="181"/>
      <c r="CR20" s="181"/>
      <c r="CS20" s="181"/>
      <c r="CT20" s="181"/>
      <c r="CU20" s="181"/>
      <c r="CV20" s="181"/>
      <c r="CW20" s="181"/>
      <c r="CX20" s="181"/>
      <c r="CY20" s="181"/>
      <c r="CZ20" s="181"/>
      <c r="DA20" s="181"/>
      <c r="DB20" s="181"/>
      <c r="DC20" s="181"/>
      <c r="DD20" s="181"/>
      <c r="DE20" s="181"/>
      <c r="DF20" s="181"/>
      <c r="DG20" s="181"/>
      <c r="DH20" s="181"/>
      <c r="DI20" s="181"/>
      <c r="DJ20" s="181"/>
      <c r="DK20" s="181"/>
      <c r="DL20" s="181"/>
      <c r="DM20" s="181"/>
      <c r="DN20" s="181"/>
      <c r="DO20" s="181"/>
      <c r="DP20" s="181"/>
      <c r="DQ20" s="181"/>
      <c r="DR20" s="181"/>
      <c r="DS20" s="181"/>
      <c r="DT20" s="181"/>
      <c r="DU20" s="181"/>
      <c r="DV20" s="181"/>
      <c r="DW20" s="181"/>
      <c r="DX20" s="181"/>
      <c r="DY20" s="181"/>
      <c r="DZ20" s="181"/>
      <c r="EA20" s="181"/>
      <c r="EB20" s="181"/>
      <c r="EC20" s="181"/>
      <c r="ED20" s="181"/>
      <c r="EE20" s="181"/>
      <c r="EF20" s="181"/>
      <c r="EG20" s="181"/>
      <c r="EH20" s="181"/>
      <c r="EI20" s="181"/>
      <c r="EJ20" s="181"/>
      <c r="EK20" s="181"/>
      <c r="EL20" s="181"/>
      <c r="EM20" s="181"/>
      <c r="EN20" s="181"/>
      <c r="EO20" s="181"/>
      <c r="EP20" s="181"/>
      <c r="EQ20" s="181"/>
      <c r="ER20" s="181"/>
      <c r="ES20" s="181"/>
      <c r="ET20" s="181"/>
      <c r="EU20" s="181"/>
      <c r="EV20" s="181"/>
      <c r="EW20" s="181"/>
      <c r="EX20" s="181"/>
      <c r="EY20" s="181"/>
      <c r="EZ20" s="181"/>
      <c r="FA20" s="181"/>
      <c r="FB20" s="181"/>
      <c r="FC20" s="181"/>
      <c r="FD20" s="181"/>
      <c r="FE20" s="181"/>
      <c r="FF20" s="181"/>
      <c r="FG20" s="181"/>
      <c r="FH20" s="181"/>
      <c r="FI20" s="181"/>
      <c r="FJ20" s="181"/>
      <c r="FK20" s="181"/>
      <c r="FL20" s="181"/>
      <c r="FM20" s="181"/>
      <c r="FN20" s="181"/>
      <c r="FO20" s="181"/>
      <c r="FP20" s="181"/>
      <c r="FQ20" s="181"/>
      <c r="FR20" s="181"/>
      <c r="FS20" s="181"/>
      <c r="FT20" s="181"/>
      <c r="FU20" s="181"/>
      <c r="FV20" s="181"/>
      <c r="FW20" s="181"/>
      <c r="FX20" s="181"/>
      <c r="FY20" s="181"/>
      <c r="FZ20" s="181"/>
      <c r="GA20" s="181"/>
      <c r="GB20" s="181"/>
      <c r="GC20" s="181"/>
      <c r="GD20" s="181"/>
      <c r="GE20" s="181"/>
      <c r="GF20" s="181"/>
      <c r="GG20" s="181"/>
      <c r="GH20" s="181"/>
      <c r="GI20" s="181"/>
      <c r="GJ20" s="181"/>
      <c r="GK20" s="181"/>
      <c r="GL20" s="181"/>
      <c r="GM20" s="181"/>
      <c r="GN20" s="181"/>
      <c r="GO20" s="181"/>
      <c r="GP20" s="181"/>
      <c r="GQ20" s="181"/>
      <c r="GR20" s="181"/>
      <c r="GS20" s="181"/>
      <c r="GT20" s="181"/>
      <c r="GU20" s="181"/>
      <c r="GV20" s="181"/>
      <c r="GW20" s="181"/>
      <c r="GX20" s="181"/>
      <c r="GY20" s="181"/>
      <c r="GZ20" s="181"/>
      <c r="HA20" s="181"/>
      <c r="HB20" s="181"/>
      <c r="HC20" s="181"/>
      <c r="HD20" s="181"/>
      <c r="HE20" s="181"/>
      <c r="HF20" s="181"/>
      <c r="HG20" s="181"/>
      <c r="HH20" s="181"/>
      <c r="HI20" s="181"/>
      <c r="HJ20" s="181"/>
      <c r="HK20" s="181"/>
      <c r="HL20" s="181"/>
      <c r="HM20" s="181"/>
      <c r="HN20" s="181"/>
      <c r="HO20" s="181"/>
      <c r="HP20" s="181"/>
      <c r="HQ20" s="181"/>
      <c r="HR20" s="181"/>
      <c r="HS20" s="181"/>
      <c r="HT20" s="181"/>
      <c r="HU20" s="181"/>
      <c r="HV20" s="181"/>
      <c r="HW20" s="181"/>
      <c r="HX20" s="181"/>
      <c r="HY20" s="181"/>
      <c r="HZ20" s="181"/>
      <c r="IA20" s="181"/>
      <c r="IB20" s="181"/>
      <c r="IC20" s="181"/>
      <c r="ID20" s="181"/>
      <c r="IE20" s="181"/>
      <c r="IF20" s="181"/>
      <c r="IG20" s="181"/>
      <c r="IH20" s="181"/>
      <c r="II20" s="181"/>
      <c r="IJ20" s="181"/>
      <c r="IK20" s="181"/>
      <c r="IL20" s="181"/>
      <c r="IM20" s="181"/>
      <c r="IN20" s="181"/>
      <c r="IO20" s="181"/>
      <c r="IP20" s="181"/>
      <c r="IQ20" s="181"/>
      <c r="IR20" s="181"/>
      <c r="IS20" s="181"/>
      <c r="IT20" s="181"/>
      <c r="IU20" s="181"/>
      <c r="IV20" s="181"/>
      <c r="IW20" s="181"/>
    </row>
    <row r="21" customFormat="false" ht="15" hidden="false" customHeight="false" outlineLevel="0" collapsed="false">
      <c r="A21" s="98" t="s">
        <v>104</v>
      </c>
      <c r="B21" s="182"/>
      <c r="C21" s="182"/>
      <c r="D21" s="182"/>
      <c r="E21" s="182"/>
      <c r="F21" s="182"/>
      <c r="G21" s="182"/>
      <c r="H21" s="182"/>
      <c r="I21" s="182"/>
      <c r="J21" s="182"/>
      <c r="K21" s="182"/>
      <c r="L21" s="182"/>
      <c r="M21" s="182"/>
      <c r="N21" s="183" t="n">
        <f aca="false">-N20/$K$20</f>
        <v>0.0571660701659971</v>
      </c>
      <c r="O21" s="183"/>
      <c r="P21" s="183"/>
      <c r="Q21" s="183" t="n">
        <f aca="false">-Q20/$K$20</f>
        <v>0.000883418378865069</v>
      </c>
      <c r="R21" s="183"/>
      <c r="S21" s="183" t="n">
        <f aca="false">-S20/$K$20</f>
        <v>-0.0203418195497566</v>
      </c>
      <c r="T21" s="183" t="n">
        <f aca="false">-T20/$K$20</f>
        <v>-0.037</v>
      </c>
      <c r="U21" s="183" t="n">
        <f aca="false">-U20/$K$20</f>
        <v>-0.0564584011708916</v>
      </c>
      <c r="V21" s="184" t="n">
        <f aca="false">-V20/$K$20</f>
        <v>0.000707668995105572</v>
      </c>
      <c r="W21" s="123"/>
      <c r="AC21" s="123"/>
      <c r="AD21" s="123"/>
      <c r="AE21" s="123"/>
      <c r="AF21" s="123"/>
      <c r="AG21" s="123"/>
      <c r="AH21" s="123"/>
      <c r="AI21" s="123"/>
      <c r="AJ21" s="123"/>
      <c r="AK21" s="123"/>
      <c r="AL21" s="123"/>
      <c r="AM21" s="123"/>
      <c r="AN21" s="123"/>
      <c r="AO21" s="123"/>
      <c r="AP21" s="123"/>
      <c r="AQ21" s="123"/>
      <c r="AR21" s="123"/>
      <c r="AS21" s="123"/>
      <c r="AT21" s="123"/>
      <c r="AU21" s="123"/>
      <c r="AV21" s="123"/>
      <c r="AW21" s="123"/>
      <c r="AX21" s="123"/>
      <c r="AY21" s="123"/>
      <c r="AZ21" s="123"/>
      <c r="BA21" s="123"/>
      <c r="BB21" s="123"/>
      <c r="BC21" s="123"/>
      <c r="BD21" s="123"/>
      <c r="BE21" s="123"/>
      <c r="BF21" s="123"/>
      <c r="BG21" s="123"/>
      <c r="BH21" s="123"/>
      <c r="BI21" s="123"/>
      <c r="BJ21" s="123"/>
      <c r="BK21" s="123"/>
      <c r="BL21" s="123"/>
      <c r="BM21" s="123"/>
      <c r="BN21" s="123"/>
      <c r="BO21" s="123"/>
      <c r="BP21" s="123"/>
      <c r="BQ21" s="123"/>
      <c r="BR21" s="123"/>
      <c r="BS21" s="123"/>
      <c r="BT21" s="123"/>
      <c r="BU21" s="123"/>
      <c r="BV21" s="123"/>
      <c r="BW21" s="123"/>
      <c r="BX21" s="123"/>
      <c r="BY21" s="123"/>
      <c r="BZ21" s="123"/>
      <c r="CA21" s="123"/>
      <c r="CB21" s="123"/>
      <c r="CC21" s="123"/>
      <c r="CD21" s="123"/>
      <c r="CE21" s="123"/>
      <c r="CF21" s="123"/>
      <c r="CG21" s="123"/>
      <c r="CH21" s="123"/>
      <c r="CI21" s="123"/>
      <c r="CJ21" s="123"/>
      <c r="CK21" s="123"/>
      <c r="CL21" s="123"/>
      <c r="CM21" s="123"/>
      <c r="CN21" s="123"/>
      <c r="CO21" s="123"/>
      <c r="CP21" s="123"/>
      <c r="CQ21" s="123"/>
      <c r="CR21" s="123"/>
      <c r="CS21" s="123"/>
      <c r="CT21" s="123"/>
      <c r="CU21" s="123"/>
      <c r="CV21" s="123"/>
      <c r="CW21" s="123"/>
      <c r="CX21" s="123"/>
      <c r="CY21" s="123"/>
      <c r="CZ21" s="123"/>
      <c r="DA21" s="123"/>
      <c r="DB21" s="123"/>
      <c r="DC21" s="123"/>
      <c r="DD21" s="123"/>
      <c r="DE21" s="123"/>
      <c r="DF21" s="123"/>
      <c r="DG21" s="123"/>
      <c r="DH21" s="123"/>
      <c r="DI21" s="123"/>
      <c r="DJ21" s="123"/>
      <c r="DK21" s="123"/>
      <c r="DL21" s="123"/>
      <c r="DM21" s="123"/>
      <c r="DN21" s="123"/>
      <c r="DO21" s="123"/>
      <c r="DP21" s="123"/>
      <c r="DQ21" s="123"/>
      <c r="DR21" s="123"/>
      <c r="DS21" s="123"/>
      <c r="DT21" s="123"/>
      <c r="DU21" s="123"/>
      <c r="DV21" s="123"/>
      <c r="DW21" s="123"/>
      <c r="DX21" s="123"/>
      <c r="DY21" s="123"/>
      <c r="DZ21" s="123"/>
      <c r="EA21" s="123"/>
      <c r="EB21" s="123"/>
      <c r="EC21" s="123"/>
      <c r="ED21" s="123"/>
      <c r="EE21" s="123"/>
      <c r="EF21" s="123"/>
      <c r="EG21" s="123"/>
      <c r="EH21" s="123"/>
      <c r="EI21" s="123"/>
      <c r="EJ21" s="123"/>
      <c r="EK21" s="123"/>
      <c r="EL21" s="123"/>
      <c r="EM21" s="123"/>
      <c r="EN21" s="123"/>
      <c r="EO21" s="123"/>
      <c r="EP21" s="123"/>
      <c r="EQ21" s="123"/>
      <c r="ER21" s="123"/>
      <c r="ES21" s="123"/>
      <c r="ET21" s="123"/>
      <c r="EU21" s="123"/>
      <c r="EV21" s="123"/>
      <c r="EW21" s="123"/>
      <c r="EX21" s="123"/>
      <c r="EY21" s="123"/>
      <c r="EZ21" s="123"/>
      <c r="FA21" s="123"/>
      <c r="FB21" s="123"/>
      <c r="FC21" s="123"/>
      <c r="FD21" s="123"/>
      <c r="FE21" s="123"/>
      <c r="FF21" s="123"/>
      <c r="FG21" s="123"/>
      <c r="FH21" s="123"/>
      <c r="FI21" s="123"/>
      <c r="FJ21" s="123"/>
      <c r="FK21" s="123"/>
      <c r="FL21" s="123"/>
      <c r="FM21" s="123"/>
      <c r="FN21" s="123"/>
      <c r="FO21" s="123"/>
      <c r="FP21" s="123"/>
      <c r="FQ21" s="123"/>
      <c r="FR21" s="123"/>
      <c r="FS21" s="123"/>
      <c r="FT21" s="123"/>
      <c r="FU21" s="123"/>
      <c r="FV21" s="123"/>
      <c r="FW21" s="123"/>
      <c r="FX21" s="123"/>
      <c r="FY21" s="123"/>
      <c r="FZ21" s="123"/>
      <c r="GA21" s="123"/>
      <c r="GB21" s="123"/>
      <c r="GC21" s="123"/>
      <c r="GD21" s="123"/>
      <c r="GE21" s="123"/>
      <c r="GF21" s="123"/>
      <c r="GG21" s="123"/>
      <c r="GH21" s="123"/>
      <c r="GI21" s="123"/>
      <c r="GJ21" s="123"/>
      <c r="GK21" s="123"/>
      <c r="GL21" s="123"/>
      <c r="GM21" s="123"/>
      <c r="GN21" s="123"/>
      <c r="GO21" s="123"/>
      <c r="GP21" s="123"/>
      <c r="GQ21" s="123"/>
      <c r="GR21" s="123"/>
      <c r="GS21" s="123"/>
      <c r="GT21" s="123"/>
      <c r="GU21" s="123"/>
      <c r="GV21" s="123"/>
      <c r="GW21" s="123"/>
      <c r="GX21" s="123"/>
      <c r="GY21" s="123"/>
      <c r="GZ21" s="123"/>
      <c r="HA21" s="123"/>
      <c r="HB21" s="123"/>
      <c r="HC21" s="123"/>
      <c r="HD21" s="123"/>
      <c r="HE21" s="123"/>
      <c r="HF21" s="123"/>
      <c r="HG21" s="123"/>
      <c r="HH21" s="123"/>
      <c r="HI21" s="123"/>
      <c r="HJ21" s="123"/>
      <c r="HK21" s="123"/>
      <c r="HL21" s="123"/>
      <c r="HM21" s="123"/>
      <c r="HN21" s="123"/>
      <c r="HO21" s="123"/>
      <c r="HP21" s="123"/>
      <c r="HQ21" s="123"/>
      <c r="HR21" s="123"/>
      <c r="HS21" s="123"/>
      <c r="HT21" s="123"/>
      <c r="HU21" s="123"/>
      <c r="HV21" s="123"/>
      <c r="HW21" s="123"/>
      <c r="HX21" s="123"/>
      <c r="HY21" s="123"/>
      <c r="HZ21" s="123"/>
      <c r="IA21" s="123"/>
      <c r="IB21" s="123"/>
      <c r="IC21" s="123"/>
      <c r="ID21" s="123"/>
      <c r="IE21" s="123"/>
      <c r="IF21" s="123"/>
      <c r="IG21" s="123"/>
      <c r="IH21" s="123"/>
      <c r="II21" s="123"/>
      <c r="IJ21" s="123"/>
      <c r="IK21" s="123"/>
      <c r="IL21" s="123"/>
      <c r="IM21" s="123"/>
      <c r="IN21" s="123"/>
      <c r="IO21" s="123"/>
      <c r="IP21" s="123"/>
      <c r="IQ21" s="123"/>
      <c r="IR21" s="123"/>
      <c r="IS21" s="123"/>
      <c r="IT21" s="123"/>
      <c r="IU21" s="123"/>
      <c r="IV21" s="123"/>
      <c r="IW21" s="123"/>
    </row>
    <row r="24" customFormat="false" ht="18" hidden="false" customHeight="false" outlineLevel="0" collapsed="false">
      <c r="C24" s="186" t="s">
        <v>105</v>
      </c>
      <c r="D24" s="187" t="n">
        <v>1</v>
      </c>
      <c r="E24" s="186" t="s">
        <v>106</v>
      </c>
      <c r="F24" s="186"/>
    </row>
    <row r="25" customFormat="false" ht="18" hidden="false" customHeight="false" outlineLevel="0" collapsed="false">
      <c r="C25" s="186" t="s">
        <v>117</v>
      </c>
      <c r="D25" s="188" t="n">
        <v>12</v>
      </c>
      <c r="E25" s="186"/>
      <c r="F25" s="186"/>
    </row>
    <row r="26" customFormat="false" ht="18" hidden="false" customHeight="false" outlineLevel="0" collapsed="false">
      <c r="C26" s="186" t="s">
        <v>60</v>
      </c>
      <c r="D26" s="189" t="n">
        <v>15</v>
      </c>
      <c r="E26" s="186"/>
      <c r="F26" s="186"/>
    </row>
    <row r="40" customFormat="false" ht="18" hidden="false" customHeight="false" outlineLevel="0" collapsed="false">
      <c r="K40" s="204"/>
    </row>
    <row r="41" customFormat="false" ht="18" hidden="false" customHeight="false" outlineLevel="0" collapsed="false">
      <c r="K41" s="204"/>
    </row>
  </sheetData>
  <mergeCells count="6">
    <mergeCell ref="D4:H4"/>
    <mergeCell ref="I4:K4"/>
    <mergeCell ref="L4:M4"/>
    <mergeCell ref="O4:Q4"/>
    <mergeCell ref="R4:S4"/>
    <mergeCell ref="X4:AA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1">
              <controlPr defaultSize="0" print="false" autoFill="0" autoPict="0" macro="Module1.TermBreakeven">
                <anchor moveWithCells="true" sizeWithCells="false">
                  <from>
                    <xdr:col>6</xdr:col>
                    <xdr:colOff>412920</xdr:colOff>
                    <xdr:row>22</xdr:row>
                    <xdr:rowOff>142920</xdr:rowOff>
                  </from>
                  <to>
                    <xdr:col>7</xdr:col>
                    <xdr:colOff>1006920</xdr:colOff>
                    <xdr:row>26</xdr:row>
                    <xdr:rowOff>95400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205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C25" activeCellId="0" sqref="C2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3" width="10.85"/>
    <col collapsed="false" customWidth="true" hidden="false" outlineLevel="0" max="3" min="3" style="8" width="11.85"/>
    <col collapsed="false" customWidth="true" hidden="false" outlineLevel="0" max="4" min="4" style="24" width="8.28"/>
    <col collapsed="false" customWidth="true" hidden="false" outlineLevel="0" max="5" min="5" style="8" width="14.28"/>
    <col collapsed="false" customWidth="true" hidden="false" outlineLevel="0" max="6" min="6" style="24" width="8.85"/>
    <col collapsed="false" customWidth="true" hidden="false" outlineLevel="0" max="7" min="7" style="8" width="13.99"/>
    <col collapsed="false" customWidth="true" hidden="false" outlineLevel="0" max="8" min="8" style="24" width="9.14"/>
    <col collapsed="false" customWidth="true" hidden="false" outlineLevel="0" max="9" min="9" style="8" width="9.7"/>
    <col collapsed="false" customWidth="true" hidden="false" outlineLevel="0" max="10" min="10" style="24" width="9.14"/>
    <col collapsed="false" customWidth="true" hidden="false" outlineLevel="0" max="11" min="11" style="8" width="13.14"/>
    <col collapsed="false" customWidth="true" hidden="false" outlineLevel="0" max="12" min="12" style="24" width="9.14"/>
    <col collapsed="false" customWidth="true" hidden="false" outlineLevel="0" max="14" min="14" style="8" width="12.7"/>
  </cols>
  <sheetData>
    <row r="1" customFormat="false" ht="38.25" hidden="false" customHeight="false" outlineLevel="0" collapsed="false">
      <c r="A1" s="94" t="s">
        <v>1</v>
      </c>
      <c r="B1" s="94"/>
      <c r="C1" s="216" t="s">
        <v>12</v>
      </c>
      <c r="D1" s="217" t="s">
        <v>118</v>
      </c>
      <c r="E1" s="216" t="s">
        <v>14</v>
      </c>
      <c r="F1" s="217" t="s">
        <v>118</v>
      </c>
      <c r="G1" s="216" t="s">
        <v>15</v>
      </c>
      <c r="H1" s="217" t="s">
        <v>118</v>
      </c>
      <c r="I1" s="216" t="s">
        <v>16</v>
      </c>
      <c r="J1" s="217" t="s">
        <v>118</v>
      </c>
      <c r="K1" s="216" t="s">
        <v>17</v>
      </c>
      <c r="L1" s="217" t="s">
        <v>118</v>
      </c>
      <c r="M1" s="218"/>
      <c r="N1" s="216" t="s">
        <v>119</v>
      </c>
    </row>
    <row r="2" customFormat="false" ht="12.75" hidden="false" customHeight="false" outlineLevel="0" collapsed="false">
      <c r="A2" s="94"/>
      <c r="B2" s="94"/>
      <c r="C2" s="216"/>
      <c r="D2" s="217"/>
      <c r="E2" s="216"/>
      <c r="F2" s="217"/>
      <c r="G2" s="216"/>
      <c r="H2" s="217"/>
      <c r="I2" s="216"/>
      <c r="J2" s="217"/>
      <c r="K2" s="216"/>
      <c r="L2" s="217"/>
      <c r="M2" s="218"/>
      <c r="N2" s="216"/>
    </row>
    <row r="3" customFormat="false" ht="12.75" hidden="false" customHeight="false" outlineLevel="0" collapsed="false">
      <c r="A3" s="95" t="n">
        <v>35947</v>
      </c>
      <c r="B3" s="3"/>
      <c r="C3" s="8" t="n">
        <v>311374</v>
      </c>
      <c r="D3" s="219" t="n">
        <f aca="false">+C3/$N3</f>
        <v>0.254726620500088</v>
      </c>
      <c r="E3" s="8" t="n">
        <v>120420</v>
      </c>
      <c r="F3" s="219" t="n">
        <f aca="false">+E3/$N3</f>
        <v>0.0985123344936334</v>
      </c>
      <c r="G3" s="8" t="n">
        <v>702668</v>
      </c>
      <c r="H3" s="219" t="n">
        <f aca="false">+G3/$N3</f>
        <v>0.574833624430928</v>
      </c>
      <c r="I3" s="8" t="n">
        <v>40121</v>
      </c>
      <c r="J3" s="219" t="n">
        <f aca="false">+I3/$N3</f>
        <v>0.0328219014467619</v>
      </c>
      <c r="K3" s="8" t="n">
        <v>47802</v>
      </c>
      <c r="L3" s="219" t="n">
        <f aca="false">+K3/$N3</f>
        <v>0.0391055191285888</v>
      </c>
      <c r="M3" s="3"/>
      <c r="N3" s="8" t="n">
        <f aca="false">+C3+E3+G3+I3+K3</f>
        <v>1222385</v>
      </c>
    </row>
    <row r="4" customFormat="false" ht="12.75" hidden="false" customHeight="false" outlineLevel="0" collapsed="false">
      <c r="A4" s="95" t="n">
        <v>35977</v>
      </c>
      <c r="B4" s="3"/>
      <c r="C4" s="8" t="n">
        <v>1155964</v>
      </c>
      <c r="D4" s="219" t="n">
        <f aca="false">+C4/$N4</f>
        <v>0.243635406385343</v>
      </c>
      <c r="E4" s="8" t="n">
        <v>385685</v>
      </c>
      <c r="F4" s="219" t="n">
        <f aca="false">+E4/$N4</f>
        <v>0.0812884499099722</v>
      </c>
      <c r="G4" s="8" t="n">
        <v>2673292</v>
      </c>
      <c r="H4" s="219" t="n">
        <f aca="false">+G4/$N4</f>
        <v>0.563433275436508</v>
      </c>
      <c r="I4" s="8" t="n">
        <v>431345</v>
      </c>
      <c r="J4" s="219" t="n">
        <f aca="false">+I4/$N4</f>
        <v>0.0909119266406964</v>
      </c>
      <c r="K4" s="8" t="n">
        <v>98361</v>
      </c>
      <c r="L4" s="219" t="n">
        <f aca="false">+K4/$N4</f>
        <v>0.0207309416274804</v>
      </c>
      <c r="M4" s="3"/>
      <c r="N4" s="8" t="n">
        <f aca="false">+C4+E4+G4+I4+K4</f>
        <v>4744647</v>
      </c>
    </row>
    <row r="5" customFormat="false" ht="12.75" hidden="false" customHeight="false" outlineLevel="0" collapsed="false">
      <c r="A5" s="95" t="n">
        <v>36008</v>
      </c>
      <c r="B5" s="3"/>
      <c r="C5" s="8" t="n">
        <v>1141059</v>
      </c>
      <c r="D5" s="219" t="n">
        <f aca="false">+C5/$N5</f>
        <v>0.27188981049712</v>
      </c>
      <c r="E5" s="8" t="n">
        <v>202887</v>
      </c>
      <c r="F5" s="219" t="n">
        <f aca="false">+E5/$N5</f>
        <v>0.0483436071073707</v>
      </c>
      <c r="G5" s="8" t="n">
        <v>2845097</v>
      </c>
      <c r="H5" s="219" t="n">
        <f aca="false">+G5/$N5</f>
        <v>0.677925404537299</v>
      </c>
      <c r="I5" s="8" t="n">
        <v>6485</v>
      </c>
      <c r="J5" s="219" t="n">
        <f aca="false">+I5/$N5</f>
        <v>0.00154523597909821</v>
      </c>
      <c r="K5" s="8" t="n">
        <v>1242</v>
      </c>
      <c r="L5" s="219" t="n">
        <f aca="false">+K5/$N5</f>
        <v>0.000295941879111793</v>
      </c>
      <c r="M5" s="3"/>
      <c r="N5" s="8" t="n">
        <f aca="false">+C5+E5+G5+I5+K5</f>
        <v>4196770</v>
      </c>
    </row>
    <row r="6" customFormat="false" ht="12.75" hidden="false" customHeight="false" outlineLevel="0" collapsed="false">
      <c r="A6" s="95" t="n">
        <v>36039</v>
      </c>
      <c r="B6" s="3"/>
      <c r="C6" s="8" t="n">
        <v>525361</v>
      </c>
      <c r="D6" s="219" t="n">
        <f aca="false">+C6/$N6</f>
        <v>0.186035731852114</v>
      </c>
      <c r="E6" s="8" t="n">
        <v>99543</v>
      </c>
      <c r="F6" s="219" t="n">
        <f aca="false">+E6/$N6</f>
        <v>0.0352491997992903</v>
      </c>
      <c r="G6" s="8" t="n">
        <v>2199075</v>
      </c>
      <c r="H6" s="219" t="n">
        <f aca="false">+G6/$N6</f>
        <v>0.778715068348596</v>
      </c>
      <c r="I6" s="8" t="n">
        <v>0</v>
      </c>
      <c r="J6" s="219" t="n">
        <f aca="false">+I6/$N6</f>
        <v>0</v>
      </c>
      <c r="K6" s="8" t="n">
        <v>0</v>
      </c>
      <c r="L6" s="219" t="n">
        <f aca="false">+K6/$N6</f>
        <v>0</v>
      </c>
      <c r="M6" s="3"/>
      <c r="N6" s="8" t="n">
        <f aca="false">+C6+E6+G6+I6+K6</f>
        <v>2823979</v>
      </c>
    </row>
    <row r="7" customFormat="false" ht="12.75" hidden="false" customHeight="false" outlineLevel="0" collapsed="false">
      <c r="A7" s="95" t="n">
        <v>36069</v>
      </c>
      <c r="B7" s="3"/>
      <c r="C7" s="8" t="n">
        <v>1277301</v>
      </c>
      <c r="D7" s="219" t="n">
        <f aca="false">+C7/$N7</f>
        <v>0.280589208318597</v>
      </c>
      <c r="E7" s="8" t="n">
        <v>373759</v>
      </c>
      <c r="F7" s="219" t="n">
        <f aca="false">+E7/$N7</f>
        <v>0.082104955614965</v>
      </c>
      <c r="G7" s="8" t="n">
        <v>2275284</v>
      </c>
      <c r="H7" s="219" t="n">
        <f aca="false">+G7/$N7</f>
        <v>0.499819648039084</v>
      </c>
      <c r="I7" s="8" t="n">
        <v>254112</v>
      </c>
      <c r="J7" s="219" t="n">
        <f aca="false">+I7/$N7</f>
        <v>0.0558216778224203</v>
      </c>
      <c r="K7" s="8" t="n">
        <v>371754</v>
      </c>
      <c r="L7" s="219" t="n">
        <f aca="false">+K7/$N7</f>
        <v>0.0816645102049334</v>
      </c>
      <c r="M7" s="3"/>
      <c r="N7" s="8" t="n">
        <f aca="false">+C7+E7+G7+I7+K7</f>
        <v>4552210</v>
      </c>
    </row>
    <row r="8" customFormat="false" ht="12.75" hidden="false" customHeight="false" outlineLevel="0" collapsed="false">
      <c r="A8" s="95"/>
      <c r="B8" s="3"/>
      <c r="D8" s="219"/>
      <c r="F8" s="219"/>
      <c r="H8" s="219"/>
      <c r="J8" s="219"/>
      <c r="L8" s="219"/>
      <c r="M8" s="3"/>
    </row>
    <row r="9" customFormat="false" ht="12.75" hidden="false" customHeight="false" outlineLevel="0" collapsed="false">
      <c r="A9" s="95" t="n">
        <v>36100</v>
      </c>
      <c r="B9" s="3"/>
      <c r="C9" s="8" t="n">
        <v>224461</v>
      </c>
      <c r="D9" s="219" t="n">
        <f aca="false">+C9/$N9</f>
        <v>0.168185343228895</v>
      </c>
      <c r="E9" s="8" t="n">
        <v>97886</v>
      </c>
      <c r="F9" s="219" t="n">
        <f aca="false">+E9/$N9</f>
        <v>0.0733445476376906</v>
      </c>
      <c r="G9" s="8" t="n">
        <v>1010844</v>
      </c>
      <c r="H9" s="219" t="n">
        <f aca="false">+G9/$N9</f>
        <v>0.757410619621536</v>
      </c>
      <c r="J9" s="219" t="n">
        <f aca="false">+I9/$N9</f>
        <v>0</v>
      </c>
      <c r="K9" s="8" t="n">
        <v>1414</v>
      </c>
      <c r="L9" s="219" t="n">
        <f aca="false">+K9/$N9</f>
        <v>0.00105948951187805</v>
      </c>
      <c r="M9" s="3"/>
      <c r="N9" s="8" t="n">
        <f aca="false">+C9+E9+G9+I9+K9</f>
        <v>1334605</v>
      </c>
    </row>
    <row r="10" customFormat="false" ht="12.75" hidden="false" customHeight="false" outlineLevel="0" collapsed="false">
      <c r="A10" s="95" t="n">
        <v>36130</v>
      </c>
      <c r="B10" s="3"/>
      <c r="C10" s="8" t="n">
        <v>97956</v>
      </c>
      <c r="D10" s="219" t="n">
        <f aca="false">+C10/$N10</f>
        <v>0.0717535433238132</v>
      </c>
      <c r="E10" s="8" t="n">
        <v>26736</v>
      </c>
      <c r="F10" s="219" t="n">
        <f aca="false">+E10/$N10</f>
        <v>0.0195843310701281</v>
      </c>
      <c r="G10" s="8" t="n">
        <v>1229824</v>
      </c>
      <c r="H10" s="219" t="n">
        <f aca="false">+G10/$N10</f>
        <v>0.900855788973266</v>
      </c>
      <c r="I10" s="8" t="n">
        <v>5480</v>
      </c>
      <c r="J10" s="219" t="n">
        <f aca="false">+I10/$N10</f>
        <v>0.00401414326242901</v>
      </c>
      <c r="K10" s="8" t="n">
        <v>5177</v>
      </c>
      <c r="L10" s="219" t="n">
        <f aca="false">+K10/$N10</f>
        <v>0.00379219337036405</v>
      </c>
      <c r="M10" s="3"/>
      <c r="N10" s="8" t="n">
        <f aca="false">+C10+E10+G10+I10+K10</f>
        <v>1365173</v>
      </c>
    </row>
    <row r="11" customFormat="false" ht="12.75" hidden="false" customHeight="false" outlineLevel="0" collapsed="false">
      <c r="A11" s="95" t="n">
        <v>36161</v>
      </c>
      <c r="B11" s="3"/>
      <c r="C11" s="8" t="n">
        <v>199321</v>
      </c>
      <c r="D11" s="219" t="n">
        <f aca="false">+C11/$N11</f>
        <v>0.141315406435732</v>
      </c>
      <c r="E11" s="8" t="n">
        <v>82543</v>
      </c>
      <c r="F11" s="219" t="n">
        <f aca="false">+E11/$N11</f>
        <v>0.0585216690334917</v>
      </c>
      <c r="G11" s="8" t="n">
        <v>1107978</v>
      </c>
      <c r="H11" s="219" t="n">
        <f aca="false">+G11/$N11</f>
        <v>0.785538710882692</v>
      </c>
      <c r="I11" s="8" t="n">
        <v>12918</v>
      </c>
      <c r="J11" s="219" t="n">
        <f aca="false">+I11/$N11</f>
        <v>0.00915865573791413</v>
      </c>
      <c r="K11" s="8" t="n">
        <v>7709</v>
      </c>
      <c r="L11" s="219" t="n">
        <f aca="false">+K11/$N11</f>
        <v>0.00546555791017031</v>
      </c>
      <c r="M11" s="3"/>
      <c r="N11" s="8" t="n">
        <f aca="false">+C11+E11+G11+I11+K11</f>
        <v>1410469</v>
      </c>
    </row>
    <row r="12" customFormat="false" ht="12.75" hidden="false" customHeight="false" outlineLevel="0" collapsed="false">
      <c r="A12" s="95" t="n">
        <v>36192</v>
      </c>
      <c r="B12" s="3"/>
      <c r="C12" s="8" t="n">
        <v>146406</v>
      </c>
      <c r="D12" s="219" t="n">
        <f aca="false">+C12/$N12</f>
        <v>0.125891479800577</v>
      </c>
      <c r="E12" s="8" t="n">
        <v>294598</v>
      </c>
      <c r="F12" s="219" t="n">
        <f aca="false">+E12/$N12</f>
        <v>0.253318703921221</v>
      </c>
      <c r="G12" s="8" t="n">
        <v>622978</v>
      </c>
      <c r="H12" s="219" t="n">
        <f aca="false">+G12/$N12</f>
        <v>0.535685848279468</v>
      </c>
      <c r="I12" s="8" t="n">
        <v>76585</v>
      </c>
      <c r="J12" s="219" t="n">
        <f aca="false">+I12/$N12</f>
        <v>0.0658538514850974</v>
      </c>
      <c r="K12" s="8" t="n">
        <v>22387</v>
      </c>
      <c r="L12" s="219" t="n">
        <f aca="false">+K12/$N12</f>
        <v>0.0192501165136368</v>
      </c>
      <c r="M12" s="3"/>
      <c r="N12" s="8" t="n">
        <f aca="false">+C12+E12+G12+I12+K12</f>
        <v>1162954</v>
      </c>
    </row>
    <row r="13" customFormat="false" ht="12.75" hidden="false" customHeight="false" outlineLevel="0" collapsed="false">
      <c r="A13" s="95"/>
      <c r="B13" s="3"/>
      <c r="D13" s="219"/>
      <c r="F13" s="219"/>
      <c r="H13" s="219"/>
      <c r="J13" s="219"/>
      <c r="L13" s="219"/>
      <c r="M13" s="3"/>
    </row>
    <row r="14" customFormat="false" ht="12.75" hidden="false" customHeight="false" outlineLevel="0" collapsed="false">
      <c r="A14" s="95" t="n">
        <v>36220</v>
      </c>
      <c r="B14" s="3"/>
      <c r="C14" s="8" t="n">
        <v>953465</v>
      </c>
      <c r="D14" s="219" t="n">
        <f aca="false">+C14/$N14</f>
        <v>0.595519604463032</v>
      </c>
      <c r="E14" s="8" t="n">
        <v>228319</v>
      </c>
      <c r="F14" s="219" t="n">
        <f aca="false">+E14/$N14</f>
        <v>0.142604542978919</v>
      </c>
      <c r="G14" s="8" t="n">
        <v>414672</v>
      </c>
      <c r="H14" s="219" t="n">
        <f aca="false">+G14/$N14</f>
        <v>0.258997766485287</v>
      </c>
      <c r="I14" s="8" t="n">
        <v>4608</v>
      </c>
      <c r="J14" s="219" t="n">
        <f aca="false">+I14/$N14</f>
        <v>0.00287808607276161</v>
      </c>
      <c r="K14" s="8" t="n">
        <v>0</v>
      </c>
      <c r="L14" s="219" t="n">
        <f aca="false">+K14/$N14</f>
        <v>0</v>
      </c>
      <c r="M14" s="3"/>
      <c r="N14" s="8" t="n">
        <f aca="false">+C14+E14+G14+I14+K14</f>
        <v>1601064</v>
      </c>
    </row>
    <row r="15" customFormat="false" ht="12.75" hidden="false" customHeight="false" outlineLevel="0" collapsed="false">
      <c r="A15" s="95" t="n">
        <v>36251</v>
      </c>
      <c r="B15" s="3"/>
      <c r="C15" s="8" t="n">
        <v>1089146</v>
      </c>
      <c r="D15" s="219" t="n">
        <f aca="false">+C15/$N15</f>
        <v>0.748980175660101</v>
      </c>
      <c r="E15" s="8" t="n">
        <v>62613</v>
      </c>
      <c r="F15" s="219" t="n">
        <f aca="false">+E15/$N15</f>
        <v>0.0430574925112023</v>
      </c>
      <c r="G15" s="8" t="n">
        <v>233440</v>
      </c>
      <c r="H15" s="219" t="n">
        <f aca="false">+G15/$N15</f>
        <v>0.160531216389808</v>
      </c>
      <c r="I15" s="8" t="n">
        <v>39610</v>
      </c>
      <c r="J15" s="219" t="n">
        <f aca="false">+I15/$N15</f>
        <v>0.0272388685795078</v>
      </c>
      <c r="K15" s="8" t="n">
        <v>29363</v>
      </c>
      <c r="L15" s="219" t="n">
        <f aca="false">+K15/$N15</f>
        <v>0.0201922468593811</v>
      </c>
      <c r="M15" s="3"/>
      <c r="N15" s="8" t="n">
        <f aca="false">+C15+E15+G15+I15+K15</f>
        <v>1454172</v>
      </c>
    </row>
    <row r="16" customFormat="false" ht="12.75" hidden="false" customHeight="false" outlineLevel="0" collapsed="false">
      <c r="A16" s="95" t="n">
        <v>36281</v>
      </c>
      <c r="B16" s="3"/>
      <c r="C16" s="8" t="n">
        <v>1285236</v>
      </c>
      <c r="D16" s="219" t="n">
        <f aca="false">+C16/$N16</f>
        <v>0.589890084873498</v>
      </c>
      <c r="E16" s="8" t="n">
        <v>45372</v>
      </c>
      <c r="F16" s="219" t="n">
        <f aca="false">+E16/$N16</f>
        <v>0.0208245745768717</v>
      </c>
      <c r="G16" s="8" t="n">
        <v>791650</v>
      </c>
      <c r="H16" s="219" t="n">
        <f aca="false">+G16/$N16</f>
        <v>0.363346876130224</v>
      </c>
      <c r="I16" s="8" t="n">
        <v>28581</v>
      </c>
      <c r="J16" s="219" t="n">
        <f aca="false">+I16/$N16</f>
        <v>0.0131179398303264</v>
      </c>
      <c r="K16" s="8" t="n">
        <v>27933</v>
      </c>
      <c r="L16" s="219" t="n">
        <f aca="false">+K16/$N16</f>
        <v>0.0128205245890805</v>
      </c>
      <c r="M16" s="3"/>
      <c r="N16" s="8" t="n">
        <f aca="false">+C16+E16+G16+I16+K16</f>
        <v>2178772</v>
      </c>
    </row>
    <row r="17" customFormat="false" ht="12.75" hidden="false" customHeight="false" outlineLevel="0" collapsed="false">
      <c r="A17" s="95" t="n">
        <v>36312</v>
      </c>
      <c r="B17" s="3"/>
      <c r="C17" s="220" t="n">
        <v>1296699</v>
      </c>
      <c r="D17" s="219" t="n">
        <f aca="false">+C17/$N17</f>
        <v>0.587526415374745</v>
      </c>
      <c r="E17" s="220" t="n">
        <v>17717</v>
      </c>
      <c r="F17" s="219" t="n">
        <f aca="false">+E17/$N17</f>
        <v>0.0080274647402322</v>
      </c>
      <c r="G17" s="220" t="n">
        <v>778530</v>
      </c>
      <c r="H17" s="219" t="n">
        <f aca="false">+G17/$N17</f>
        <v>0.35274719897347</v>
      </c>
      <c r="I17" s="220" t="n">
        <v>48556</v>
      </c>
      <c r="J17" s="219" t="n">
        <f aca="false">+I17/$N17</f>
        <v>0.0220004277206477</v>
      </c>
      <c r="K17" s="220" t="n">
        <v>65546</v>
      </c>
      <c r="L17" s="219" t="n">
        <f aca="false">+K17/$N17</f>
        <v>0.0296984931909048</v>
      </c>
      <c r="M17" s="3"/>
      <c r="N17" s="220" t="n">
        <f aca="false">+C17+E17+G17+I17+K17</f>
        <v>2207048</v>
      </c>
    </row>
    <row r="18" customFormat="false" ht="12.75" hidden="false" customHeight="false" outlineLevel="0" collapsed="false">
      <c r="A18" s="95"/>
    </row>
    <row r="19" customFormat="false" ht="12.75" hidden="false" customHeight="false" outlineLevel="0" collapsed="false">
      <c r="A19" s="221" t="s">
        <v>120</v>
      </c>
      <c r="B19" s="222"/>
      <c r="C19" s="223" t="n">
        <f aca="false">SUM(C3:C17)</f>
        <v>9703749</v>
      </c>
      <c r="D19" s="224" t="n">
        <f aca="false">+C19/$N19</f>
        <v>0.320740049463467</v>
      </c>
      <c r="E19" s="223" t="n">
        <f aca="false">SUM(E3:E17)</f>
        <v>2038078</v>
      </c>
      <c r="F19" s="224" t="n">
        <f aca="false">+E19/$N19</f>
        <v>0.0673650192858867</v>
      </c>
      <c r="G19" s="223" t="n">
        <f aca="false">SUM(G3:G17)</f>
        <v>16885332</v>
      </c>
      <c r="H19" s="224" t="n">
        <f aca="false">+G19/$N19</f>
        <v>0.558114417519153</v>
      </c>
      <c r="I19" s="223" t="n">
        <f aca="false">SUM(I3:I17)</f>
        <v>948401</v>
      </c>
      <c r="J19" s="224" t="n">
        <f aca="false">+I19/$N19</f>
        <v>0.0313476970242328</v>
      </c>
      <c r="K19" s="223" t="n">
        <f aca="false">SUM(K3:K17)</f>
        <v>678688</v>
      </c>
      <c r="L19" s="224" t="n">
        <f aca="false">+K19/$N19</f>
        <v>0.0224328167072604</v>
      </c>
      <c r="M19" s="222"/>
      <c r="N19" s="225" t="n">
        <f aca="false">SUM(N3:N17)</f>
        <v>30254248</v>
      </c>
    </row>
    <row r="20" customFormat="false" ht="12.75" hidden="false" customHeight="false" outlineLevel="0" collapsed="false">
      <c r="A20" s="226"/>
      <c r="B20" s="227"/>
      <c r="C20" s="227"/>
      <c r="D20" s="227"/>
      <c r="E20" s="227"/>
      <c r="F20" s="227"/>
      <c r="G20" s="227"/>
      <c r="H20" s="228"/>
      <c r="I20" s="229"/>
      <c r="J20" s="228"/>
      <c r="K20" s="229"/>
      <c r="L20" s="228"/>
      <c r="M20" s="227"/>
      <c r="N20" s="230" t="n">
        <f aca="false">+N19/13</f>
        <v>2327249.84615385</v>
      </c>
    </row>
    <row r="21" customFormat="false" ht="12.75" hidden="false" customHeight="false" outlineLevel="0" collapsed="false">
      <c r="A21" s="231" t="s">
        <v>121</v>
      </c>
      <c r="B21" s="227"/>
      <c r="C21" s="229" t="n">
        <f aca="false">MAX(C3:C17)</f>
        <v>1296699</v>
      </c>
      <c r="D21" s="232" t="n">
        <f aca="false">MAX(D3:D17)</f>
        <v>0.748980175660101</v>
      </c>
      <c r="E21" s="229" t="n">
        <f aca="false">MAX(E3:E17)</f>
        <v>385685</v>
      </c>
      <c r="F21" s="232" t="n">
        <f aca="false">MAX(F3:F17)</f>
        <v>0.253318703921221</v>
      </c>
      <c r="G21" s="229" t="n">
        <f aca="false">MAX(G3:G17)</f>
        <v>2845097</v>
      </c>
      <c r="H21" s="232" t="n">
        <f aca="false">MAX(H3:H17)</f>
        <v>0.900855788973266</v>
      </c>
      <c r="I21" s="229" t="n">
        <f aca="false">MAX(I3:I17)</f>
        <v>431345</v>
      </c>
      <c r="J21" s="232" t="n">
        <f aca="false">MAX(J3:J17)</f>
        <v>0.0909119266406964</v>
      </c>
      <c r="K21" s="229" t="n">
        <f aca="false">MAX(K3:K17)</f>
        <v>371754</v>
      </c>
      <c r="L21" s="232" t="n">
        <f aca="false">MAX(L3:L17)</f>
        <v>0.0816645102049334</v>
      </c>
      <c r="M21" s="227"/>
      <c r="N21" s="230"/>
    </row>
    <row r="22" customFormat="false" ht="12.75" hidden="false" customHeight="false" outlineLevel="0" collapsed="false">
      <c r="A22" s="233" t="s">
        <v>122</v>
      </c>
      <c r="B22" s="234"/>
      <c r="C22" s="235" t="n">
        <f aca="false">MIN(C3:C17)</f>
        <v>97956</v>
      </c>
      <c r="D22" s="236" t="n">
        <f aca="false">MIN(D3:D17)</f>
        <v>0.0717535433238132</v>
      </c>
      <c r="E22" s="235" t="n">
        <f aca="false">MIN(E3:E17)</f>
        <v>17717</v>
      </c>
      <c r="F22" s="236" t="n">
        <f aca="false">MIN(F3:F17)</f>
        <v>0.0080274647402322</v>
      </c>
      <c r="G22" s="235" t="n">
        <f aca="false">MIN(G3:G17)</f>
        <v>233440</v>
      </c>
      <c r="H22" s="236" t="n">
        <f aca="false">MIN(H3:H17)</f>
        <v>0.160531216389808</v>
      </c>
      <c r="I22" s="235" t="n">
        <f aca="false">MIN(I3:I17)</f>
        <v>0</v>
      </c>
      <c r="J22" s="236" t="n">
        <f aca="false">MIN(J3:J17)</f>
        <v>0</v>
      </c>
      <c r="K22" s="235" t="n">
        <f aca="false">MIN(K3:K17)</f>
        <v>0</v>
      </c>
      <c r="L22" s="236" t="n">
        <f aca="false">MIN(L3:L17)</f>
        <v>0</v>
      </c>
      <c r="M22" s="234"/>
      <c r="N22" s="237"/>
    </row>
    <row r="23" customFormat="false" ht="12.75" hidden="false" customHeight="false" outlineLevel="0" collapsed="false">
      <c r="A23" s="95"/>
    </row>
    <row r="24" customFormat="false" ht="12.75" hidden="false" customHeight="false" outlineLevel="0" collapsed="false">
      <c r="A24" s="238" t="s">
        <v>123</v>
      </c>
      <c r="B24" s="239"/>
      <c r="C24" s="240" t="n">
        <f aca="false">+SUM(C3:C6)+SUM(C16:C17)</f>
        <v>5715693</v>
      </c>
      <c r="D24" s="241" t="n">
        <f aca="false">+C24/$N$24</f>
        <v>0.328987237591102</v>
      </c>
      <c r="E24" s="240" t="n">
        <f aca="false">+SUM(E3:E6)+SUM(E16:E17)</f>
        <v>871624</v>
      </c>
      <c r="F24" s="241" t="n">
        <f aca="false">+E24/$N$24</f>
        <v>0.0501694496149647</v>
      </c>
      <c r="G24" s="240" t="n">
        <f aca="false">+SUM(G3:G6)+SUM(G16:G17)</f>
        <v>9990312</v>
      </c>
      <c r="H24" s="241" t="n">
        <f aca="false">+G24/$N$24</f>
        <v>0.575028285730748</v>
      </c>
      <c r="I24" s="240" t="n">
        <f aca="false">+SUM(I3:I6)+SUM(I16:I17)</f>
        <v>555088</v>
      </c>
      <c r="J24" s="241" t="n">
        <f aca="false">+I24/$N$24</f>
        <v>0.0319500833477182</v>
      </c>
      <c r="K24" s="240" t="n">
        <f aca="false">+SUM(K3:K6)+SUM(K16:K17)</f>
        <v>240884</v>
      </c>
      <c r="L24" s="241" t="n">
        <f aca="false">+K24/$N$24</f>
        <v>0.0138649437154681</v>
      </c>
      <c r="M24" s="239"/>
      <c r="N24" s="242" t="n">
        <f aca="false">+SUM(N3:N6)+SUM(N16:N17)</f>
        <v>17373601</v>
      </c>
    </row>
    <row r="25" customFormat="false" ht="12.75" hidden="false" customHeight="false" outlineLevel="0" collapsed="false">
      <c r="A25" s="95"/>
      <c r="C25" s="8" t="n">
        <f aca="false">+C24/6</f>
        <v>952615.5</v>
      </c>
      <c r="D25" s="0"/>
      <c r="F25" s="0"/>
      <c r="G25" s="0"/>
      <c r="H25" s="0"/>
      <c r="I25" s="0"/>
      <c r="J25" s="0"/>
      <c r="K25" s="0"/>
      <c r="L25" s="0"/>
      <c r="N25" s="0"/>
    </row>
    <row r="26" customFormat="false" ht="12.75" hidden="false" customHeight="false" outlineLevel="0" collapsed="false">
      <c r="A26" s="95"/>
    </row>
    <row r="27" customFormat="false" ht="12.75" hidden="false" customHeight="false" outlineLevel="0" collapsed="false">
      <c r="A27" s="95"/>
    </row>
    <row r="28" customFormat="false" ht="12.75" hidden="false" customHeight="false" outlineLevel="0" collapsed="false">
      <c r="A28" s="95"/>
    </row>
    <row r="29" customFormat="false" ht="12.75" hidden="false" customHeight="false" outlineLevel="0" collapsed="false">
      <c r="A29" s="95"/>
    </row>
    <row r="30" customFormat="false" ht="12.75" hidden="false" customHeight="false" outlineLevel="0" collapsed="false">
      <c r="A30" s="95"/>
    </row>
    <row r="31" customFormat="false" ht="12.75" hidden="false" customHeight="false" outlineLevel="0" collapsed="false">
      <c r="A31" s="95"/>
    </row>
    <row r="32" customFormat="false" ht="12.75" hidden="false" customHeight="false" outlineLevel="0" collapsed="false">
      <c r="A32" s="95"/>
    </row>
    <row r="33" customFormat="false" ht="12.75" hidden="false" customHeight="false" outlineLevel="0" collapsed="false">
      <c r="A33" s="95"/>
    </row>
    <row r="34" customFormat="false" ht="12.75" hidden="false" customHeight="false" outlineLevel="0" collapsed="false">
      <c r="A34" s="95"/>
    </row>
    <row r="35" customFormat="false" ht="12.75" hidden="false" customHeight="false" outlineLevel="0" collapsed="false">
      <c r="A35" s="95"/>
    </row>
    <row r="36" customFormat="false" ht="12.75" hidden="false" customHeight="false" outlineLevel="0" collapsed="false">
      <c r="A36" s="95"/>
    </row>
    <row r="37" customFormat="false" ht="12.75" hidden="false" customHeight="false" outlineLevel="0" collapsed="false">
      <c r="A37" s="95"/>
    </row>
    <row r="38" customFormat="false" ht="12.75" hidden="false" customHeight="false" outlineLevel="0" collapsed="false">
      <c r="A38" s="95"/>
    </row>
    <row r="39" customFormat="false" ht="12.75" hidden="false" customHeight="false" outlineLevel="0" collapsed="false">
      <c r="A39" s="95"/>
    </row>
    <row r="40" customFormat="false" ht="12.75" hidden="false" customHeight="false" outlineLevel="0" collapsed="false">
      <c r="A40" s="95"/>
    </row>
    <row r="41" customFormat="false" ht="12.75" hidden="false" customHeight="false" outlineLevel="0" collapsed="false">
      <c r="A41" s="95"/>
    </row>
    <row r="42" customFormat="false" ht="12.75" hidden="false" customHeight="false" outlineLevel="0" collapsed="false">
      <c r="A42" s="95"/>
    </row>
    <row r="43" customFormat="false" ht="12.75" hidden="false" customHeight="false" outlineLevel="0" collapsed="false">
      <c r="A43" s="95"/>
    </row>
    <row r="44" customFormat="false" ht="12.75" hidden="false" customHeight="false" outlineLevel="0" collapsed="false">
      <c r="A44" s="95"/>
    </row>
    <row r="45" customFormat="false" ht="12.75" hidden="false" customHeight="false" outlineLevel="0" collapsed="false">
      <c r="A45" s="95"/>
    </row>
    <row r="46" customFormat="false" ht="12.75" hidden="false" customHeight="false" outlineLevel="0" collapsed="false">
      <c r="A46" s="95"/>
    </row>
    <row r="47" customFormat="false" ht="12.75" hidden="false" customHeight="false" outlineLevel="0" collapsed="false">
      <c r="A47" s="95"/>
    </row>
    <row r="48" customFormat="false" ht="12.75" hidden="false" customHeight="false" outlineLevel="0" collapsed="false">
      <c r="A48" s="95"/>
    </row>
    <row r="49" customFormat="false" ht="12.75" hidden="false" customHeight="false" outlineLevel="0" collapsed="false">
      <c r="A49" s="95"/>
    </row>
    <row r="50" customFormat="false" ht="12.75" hidden="false" customHeight="false" outlineLevel="0" collapsed="false">
      <c r="A50" s="95"/>
    </row>
    <row r="51" customFormat="false" ht="12.75" hidden="false" customHeight="false" outlineLevel="0" collapsed="false">
      <c r="A51" s="95"/>
    </row>
    <row r="52" customFormat="false" ht="12.75" hidden="false" customHeight="false" outlineLevel="0" collapsed="false">
      <c r="A52" s="95"/>
    </row>
    <row r="53" customFormat="false" ht="12.75" hidden="false" customHeight="false" outlineLevel="0" collapsed="false">
      <c r="A53" s="95"/>
    </row>
    <row r="54" customFormat="false" ht="12.75" hidden="false" customHeight="false" outlineLevel="0" collapsed="false">
      <c r="A54" s="95"/>
    </row>
    <row r="55" customFormat="false" ht="12.75" hidden="false" customHeight="false" outlineLevel="0" collapsed="false">
      <c r="A55" s="95"/>
    </row>
    <row r="56" customFormat="false" ht="12.75" hidden="false" customHeight="false" outlineLevel="0" collapsed="false">
      <c r="A56" s="95"/>
    </row>
    <row r="57" customFormat="false" ht="12.75" hidden="false" customHeight="false" outlineLevel="0" collapsed="false">
      <c r="A57" s="95"/>
    </row>
    <row r="58" customFormat="false" ht="12.75" hidden="false" customHeight="false" outlineLevel="0" collapsed="false">
      <c r="A58" s="95"/>
    </row>
    <row r="59" customFormat="false" ht="12.75" hidden="false" customHeight="false" outlineLevel="0" collapsed="false">
      <c r="A59" s="95"/>
    </row>
    <row r="60" customFormat="false" ht="12.75" hidden="false" customHeight="false" outlineLevel="0" collapsed="false">
      <c r="A60" s="95"/>
    </row>
    <row r="61" customFormat="false" ht="12.75" hidden="false" customHeight="false" outlineLevel="0" collapsed="false">
      <c r="A61" s="95"/>
    </row>
    <row r="62" customFormat="false" ht="12.75" hidden="false" customHeight="false" outlineLevel="0" collapsed="false">
      <c r="A62" s="95"/>
    </row>
    <row r="63" customFormat="false" ht="12.75" hidden="false" customHeight="false" outlineLevel="0" collapsed="false">
      <c r="A63" s="95"/>
    </row>
    <row r="64" customFormat="false" ht="12.75" hidden="false" customHeight="false" outlineLevel="0" collapsed="false">
      <c r="A64" s="95"/>
    </row>
    <row r="65" customFormat="false" ht="12.75" hidden="false" customHeight="false" outlineLevel="0" collapsed="false">
      <c r="A65" s="95"/>
    </row>
    <row r="66" customFormat="false" ht="12.75" hidden="false" customHeight="false" outlineLevel="0" collapsed="false">
      <c r="A66" s="95"/>
    </row>
    <row r="67" customFormat="false" ht="12.75" hidden="false" customHeight="false" outlineLevel="0" collapsed="false">
      <c r="A67" s="95"/>
    </row>
    <row r="68" customFormat="false" ht="12.75" hidden="false" customHeight="false" outlineLevel="0" collapsed="false">
      <c r="A68" s="95"/>
    </row>
    <row r="69" customFormat="false" ht="12.75" hidden="false" customHeight="false" outlineLevel="0" collapsed="false">
      <c r="A69" s="95"/>
    </row>
    <row r="70" customFormat="false" ht="12.75" hidden="false" customHeight="false" outlineLevel="0" collapsed="false">
      <c r="A70" s="95"/>
    </row>
    <row r="71" customFormat="false" ht="12.75" hidden="false" customHeight="false" outlineLevel="0" collapsed="false">
      <c r="A71" s="95"/>
    </row>
    <row r="72" customFormat="false" ht="12.75" hidden="false" customHeight="false" outlineLevel="0" collapsed="false">
      <c r="A72" s="95"/>
    </row>
    <row r="73" customFormat="false" ht="12.75" hidden="false" customHeight="false" outlineLevel="0" collapsed="false">
      <c r="A73" s="95"/>
    </row>
    <row r="74" customFormat="false" ht="12.75" hidden="false" customHeight="false" outlineLevel="0" collapsed="false">
      <c r="A74" s="95"/>
    </row>
    <row r="75" customFormat="false" ht="12.75" hidden="false" customHeight="false" outlineLevel="0" collapsed="false">
      <c r="A75" s="95"/>
    </row>
    <row r="76" customFormat="false" ht="12.75" hidden="false" customHeight="false" outlineLevel="0" collapsed="false">
      <c r="A76" s="95"/>
    </row>
    <row r="77" customFormat="false" ht="12.75" hidden="false" customHeight="false" outlineLevel="0" collapsed="false">
      <c r="A77" s="95"/>
    </row>
    <row r="78" customFormat="false" ht="12.75" hidden="false" customHeight="false" outlineLevel="0" collapsed="false">
      <c r="A78" s="95"/>
    </row>
    <row r="79" customFormat="false" ht="12.75" hidden="false" customHeight="false" outlineLevel="0" collapsed="false">
      <c r="A79" s="95"/>
    </row>
    <row r="80" customFormat="false" ht="12.75" hidden="false" customHeight="false" outlineLevel="0" collapsed="false">
      <c r="A80" s="95"/>
    </row>
    <row r="81" customFormat="false" ht="12.75" hidden="false" customHeight="false" outlineLevel="0" collapsed="false">
      <c r="A81" s="95"/>
    </row>
    <row r="82" customFormat="false" ht="12.75" hidden="false" customHeight="false" outlineLevel="0" collapsed="false">
      <c r="A82" s="95"/>
    </row>
    <row r="83" customFormat="false" ht="12.75" hidden="false" customHeight="false" outlineLevel="0" collapsed="false">
      <c r="A83" s="95"/>
    </row>
    <row r="84" customFormat="false" ht="12.75" hidden="false" customHeight="false" outlineLevel="0" collapsed="false">
      <c r="A84" s="95"/>
    </row>
    <row r="85" customFormat="false" ht="12.75" hidden="false" customHeight="false" outlineLevel="0" collapsed="false">
      <c r="A85" s="95"/>
    </row>
    <row r="86" customFormat="false" ht="12.75" hidden="false" customHeight="false" outlineLevel="0" collapsed="false">
      <c r="A86" s="95"/>
    </row>
    <row r="87" customFormat="false" ht="12.75" hidden="false" customHeight="false" outlineLevel="0" collapsed="false">
      <c r="A87" s="95"/>
    </row>
    <row r="88" customFormat="false" ht="12.75" hidden="false" customHeight="false" outlineLevel="0" collapsed="false">
      <c r="A88" s="95"/>
    </row>
    <row r="89" customFormat="false" ht="12.75" hidden="false" customHeight="false" outlineLevel="0" collapsed="false">
      <c r="A89" s="95"/>
    </row>
    <row r="90" customFormat="false" ht="12.75" hidden="false" customHeight="false" outlineLevel="0" collapsed="false">
      <c r="A90" s="95"/>
    </row>
    <row r="91" customFormat="false" ht="12.75" hidden="false" customHeight="false" outlineLevel="0" collapsed="false">
      <c r="A91" s="95"/>
    </row>
    <row r="92" customFormat="false" ht="12.75" hidden="false" customHeight="false" outlineLevel="0" collapsed="false">
      <c r="A92" s="95"/>
    </row>
    <row r="93" customFormat="false" ht="12.75" hidden="false" customHeight="false" outlineLevel="0" collapsed="false">
      <c r="A93" s="95"/>
    </row>
    <row r="94" customFormat="false" ht="12.75" hidden="false" customHeight="false" outlineLevel="0" collapsed="false">
      <c r="A94" s="95"/>
    </row>
    <row r="95" customFormat="false" ht="12.75" hidden="false" customHeight="false" outlineLevel="0" collapsed="false">
      <c r="A95" s="95"/>
    </row>
    <row r="96" customFormat="false" ht="12.75" hidden="false" customHeight="false" outlineLevel="0" collapsed="false">
      <c r="A96" s="95"/>
    </row>
    <row r="97" customFormat="false" ht="12.75" hidden="false" customHeight="false" outlineLevel="0" collapsed="false">
      <c r="A97" s="95"/>
    </row>
    <row r="98" customFormat="false" ht="12.75" hidden="false" customHeight="false" outlineLevel="0" collapsed="false">
      <c r="A98" s="95"/>
    </row>
    <row r="99" customFormat="false" ht="12.75" hidden="false" customHeight="false" outlineLevel="0" collapsed="false">
      <c r="A99" s="95"/>
    </row>
    <row r="100" customFormat="false" ht="12.75" hidden="false" customHeight="false" outlineLevel="0" collapsed="false">
      <c r="A100" s="95"/>
    </row>
    <row r="101" customFormat="false" ht="12.75" hidden="false" customHeight="false" outlineLevel="0" collapsed="false">
      <c r="A101" s="95"/>
    </row>
    <row r="102" customFormat="false" ht="12.75" hidden="false" customHeight="false" outlineLevel="0" collapsed="false">
      <c r="A102" s="95"/>
    </row>
    <row r="103" customFormat="false" ht="12.75" hidden="false" customHeight="false" outlineLevel="0" collapsed="false">
      <c r="A103" s="95"/>
    </row>
    <row r="104" customFormat="false" ht="12.75" hidden="false" customHeight="false" outlineLevel="0" collapsed="false">
      <c r="A104" s="95"/>
    </row>
    <row r="105" customFormat="false" ht="12.75" hidden="false" customHeight="false" outlineLevel="0" collapsed="false">
      <c r="A105" s="95"/>
    </row>
    <row r="106" customFormat="false" ht="12.75" hidden="false" customHeight="false" outlineLevel="0" collapsed="false">
      <c r="A106" s="95"/>
    </row>
    <row r="107" customFormat="false" ht="12.75" hidden="false" customHeight="false" outlineLevel="0" collapsed="false">
      <c r="A107" s="95"/>
    </row>
    <row r="108" customFormat="false" ht="12.75" hidden="false" customHeight="false" outlineLevel="0" collapsed="false">
      <c r="A108" s="95"/>
    </row>
    <row r="109" customFormat="false" ht="12.75" hidden="false" customHeight="false" outlineLevel="0" collapsed="false">
      <c r="A109" s="95"/>
    </row>
    <row r="110" customFormat="false" ht="12.75" hidden="false" customHeight="false" outlineLevel="0" collapsed="false">
      <c r="A110" s="95"/>
    </row>
    <row r="111" customFormat="false" ht="12.75" hidden="false" customHeight="false" outlineLevel="0" collapsed="false">
      <c r="A111" s="95"/>
    </row>
    <row r="112" customFormat="false" ht="12.75" hidden="false" customHeight="false" outlineLevel="0" collapsed="false">
      <c r="A112" s="95"/>
    </row>
    <row r="113" customFormat="false" ht="12.75" hidden="false" customHeight="false" outlineLevel="0" collapsed="false">
      <c r="A113" s="95"/>
    </row>
    <row r="114" customFormat="false" ht="12.75" hidden="false" customHeight="false" outlineLevel="0" collapsed="false">
      <c r="A114" s="95"/>
    </row>
    <row r="115" customFormat="false" ht="12.75" hidden="false" customHeight="false" outlineLevel="0" collapsed="false">
      <c r="A115" s="95"/>
    </row>
    <row r="116" customFormat="false" ht="12.75" hidden="false" customHeight="false" outlineLevel="0" collapsed="false">
      <c r="A116" s="95"/>
    </row>
    <row r="117" customFormat="false" ht="12.75" hidden="false" customHeight="false" outlineLevel="0" collapsed="false">
      <c r="A117" s="95"/>
    </row>
    <row r="118" customFormat="false" ht="12.75" hidden="false" customHeight="false" outlineLevel="0" collapsed="false">
      <c r="A118" s="95"/>
    </row>
    <row r="119" customFormat="false" ht="12.75" hidden="false" customHeight="false" outlineLevel="0" collapsed="false">
      <c r="A119" s="95"/>
    </row>
    <row r="120" customFormat="false" ht="12.75" hidden="false" customHeight="false" outlineLevel="0" collapsed="false">
      <c r="A120" s="95"/>
    </row>
    <row r="121" customFormat="false" ht="12.75" hidden="false" customHeight="false" outlineLevel="0" collapsed="false">
      <c r="A121" s="95"/>
    </row>
    <row r="122" customFormat="false" ht="12.75" hidden="false" customHeight="false" outlineLevel="0" collapsed="false">
      <c r="A122" s="95"/>
    </row>
    <row r="123" customFormat="false" ht="12.75" hidden="false" customHeight="false" outlineLevel="0" collapsed="false">
      <c r="A123" s="95"/>
    </row>
    <row r="124" customFormat="false" ht="12.75" hidden="false" customHeight="false" outlineLevel="0" collapsed="false">
      <c r="A124" s="95"/>
    </row>
    <row r="125" customFormat="false" ht="12.75" hidden="false" customHeight="false" outlineLevel="0" collapsed="false">
      <c r="A125" s="95"/>
    </row>
    <row r="126" customFormat="false" ht="12.75" hidden="false" customHeight="false" outlineLevel="0" collapsed="false">
      <c r="A126" s="95"/>
    </row>
    <row r="127" customFormat="false" ht="12.75" hidden="false" customHeight="false" outlineLevel="0" collapsed="false">
      <c r="A127" s="95"/>
    </row>
    <row r="128" customFormat="false" ht="12.75" hidden="false" customHeight="false" outlineLevel="0" collapsed="false">
      <c r="A128" s="95"/>
    </row>
    <row r="129" customFormat="false" ht="12.75" hidden="false" customHeight="false" outlineLevel="0" collapsed="false">
      <c r="A129" s="95"/>
    </row>
    <row r="130" customFormat="false" ht="12.75" hidden="false" customHeight="false" outlineLevel="0" collapsed="false">
      <c r="A130" s="95"/>
    </row>
    <row r="131" customFormat="false" ht="12.75" hidden="false" customHeight="false" outlineLevel="0" collapsed="false">
      <c r="A131" s="95"/>
    </row>
    <row r="132" customFormat="false" ht="12.75" hidden="false" customHeight="false" outlineLevel="0" collapsed="false">
      <c r="A132" s="95"/>
    </row>
    <row r="133" customFormat="false" ht="12.75" hidden="false" customHeight="false" outlineLevel="0" collapsed="false">
      <c r="A133" s="95"/>
    </row>
    <row r="134" customFormat="false" ht="12.75" hidden="false" customHeight="false" outlineLevel="0" collapsed="false">
      <c r="A134" s="95"/>
    </row>
    <row r="135" customFormat="false" ht="12.75" hidden="false" customHeight="false" outlineLevel="0" collapsed="false">
      <c r="A135" s="95"/>
    </row>
    <row r="136" customFormat="false" ht="12.75" hidden="false" customHeight="false" outlineLevel="0" collapsed="false">
      <c r="A136" s="95"/>
    </row>
    <row r="137" customFormat="false" ht="12.75" hidden="false" customHeight="false" outlineLevel="0" collapsed="false">
      <c r="A137" s="95"/>
    </row>
    <row r="138" customFormat="false" ht="12.75" hidden="false" customHeight="false" outlineLevel="0" collapsed="false">
      <c r="A138" s="95"/>
    </row>
    <row r="139" customFormat="false" ht="12.75" hidden="false" customHeight="false" outlineLevel="0" collapsed="false">
      <c r="A139" s="95"/>
    </row>
    <row r="140" customFormat="false" ht="12.75" hidden="false" customHeight="false" outlineLevel="0" collapsed="false">
      <c r="A140" s="95"/>
    </row>
    <row r="141" customFormat="false" ht="12.75" hidden="false" customHeight="false" outlineLevel="0" collapsed="false">
      <c r="A141" s="95"/>
    </row>
    <row r="142" customFormat="false" ht="12.75" hidden="false" customHeight="false" outlineLevel="0" collapsed="false">
      <c r="A142" s="95"/>
    </row>
    <row r="143" customFormat="false" ht="12.75" hidden="false" customHeight="false" outlineLevel="0" collapsed="false">
      <c r="A143" s="95"/>
    </row>
    <row r="144" customFormat="false" ht="12.75" hidden="false" customHeight="false" outlineLevel="0" collapsed="false">
      <c r="A144" s="95"/>
    </row>
    <row r="145" customFormat="false" ht="12.75" hidden="false" customHeight="false" outlineLevel="0" collapsed="false">
      <c r="A145" s="95"/>
    </row>
    <row r="146" customFormat="false" ht="12.75" hidden="false" customHeight="false" outlineLevel="0" collapsed="false">
      <c r="A146" s="95"/>
    </row>
    <row r="147" customFormat="false" ht="12.75" hidden="false" customHeight="false" outlineLevel="0" collapsed="false">
      <c r="A147" s="95"/>
    </row>
    <row r="148" customFormat="false" ht="12.75" hidden="false" customHeight="false" outlineLevel="0" collapsed="false">
      <c r="A148" s="95"/>
    </row>
    <row r="149" customFormat="false" ht="12.75" hidden="false" customHeight="false" outlineLevel="0" collapsed="false">
      <c r="A149" s="95"/>
    </row>
    <row r="150" customFormat="false" ht="12.75" hidden="false" customHeight="false" outlineLevel="0" collapsed="false">
      <c r="A150" s="95"/>
    </row>
    <row r="151" customFormat="false" ht="12.75" hidden="false" customHeight="false" outlineLevel="0" collapsed="false">
      <c r="A151" s="95"/>
    </row>
    <row r="152" customFormat="false" ht="12.75" hidden="false" customHeight="false" outlineLevel="0" collapsed="false">
      <c r="A152" s="95"/>
    </row>
    <row r="153" customFormat="false" ht="12.75" hidden="false" customHeight="false" outlineLevel="0" collapsed="false">
      <c r="A153" s="95"/>
    </row>
    <row r="154" customFormat="false" ht="12.75" hidden="false" customHeight="false" outlineLevel="0" collapsed="false">
      <c r="A154" s="95"/>
    </row>
    <row r="155" customFormat="false" ht="12.75" hidden="false" customHeight="false" outlineLevel="0" collapsed="false">
      <c r="A155" s="95"/>
    </row>
    <row r="156" customFormat="false" ht="12.75" hidden="false" customHeight="false" outlineLevel="0" collapsed="false">
      <c r="A156" s="95"/>
    </row>
    <row r="157" customFormat="false" ht="12.75" hidden="false" customHeight="false" outlineLevel="0" collapsed="false">
      <c r="A157" s="95"/>
    </row>
    <row r="158" customFormat="false" ht="12.75" hidden="false" customHeight="false" outlineLevel="0" collapsed="false">
      <c r="A158" s="95"/>
    </row>
    <row r="159" customFormat="false" ht="12.75" hidden="false" customHeight="false" outlineLevel="0" collapsed="false">
      <c r="A159" s="95"/>
    </row>
    <row r="160" customFormat="false" ht="12.75" hidden="false" customHeight="false" outlineLevel="0" collapsed="false">
      <c r="A160" s="95"/>
    </row>
    <row r="161" customFormat="false" ht="12.75" hidden="false" customHeight="false" outlineLevel="0" collapsed="false">
      <c r="A161" s="95"/>
    </row>
    <row r="162" customFormat="false" ht="12.75" hidden="false" customHeight="false" outlineLevel="0" collapsed="false">
      <c r="A162" s="95"/>
    </row>
    <row r="163" customFormat="false" ht="12.75" hidden="false" customHeight="false" outlineLevel="0" collapsed="false">
      <c r="A163" s="95"/>
    </row>
    <row r="164" customFormat="false" ht="12.75" hidden="false" customHeight="false" outlineLevel="0" collapsed="false">
      <c r="A164" s="95"/>
    </row>
    <row r="165" customFormat="false" ht="12.75" hidden="false" customHeight="false" outlineLevel="0" collapsed="false">
      <c r="A165" s="95"/>
    </row>
    <row r="166" customFormat="false" ht="12.75" hidden="false" customHeight="false" outlineLevel="0" collapsed="false">
      <c r="A166" s="95"/>
    </row>
    <row r="167" customFormat="false" ht="12.75" hidden="false" customHeight="false" outlineLevel="0" collapsed="false">
      <c r="A167" s="95"/>
    </row>
    <row r="168" customFormat="false" ht="12.75" hidden="false" customHeight="false" outlineLevel="0" collapsed="false">
      <c r="A168" s="95"/>
    </row>
    <row r="169" customFormat="false" ht="12.75" hidden="false" customHeight="false" outlineLevel="0" collapsed="false">
      <c r="A169" s="95"/>
    </row>
    <row r="170" customFormat="false" ht="12.75" hidden="false" customHeight="false" outlineLevel="0" collapsed="false">
      <c r="A170" s="95"/>
    </row>
    <row r="171" customFormat="false" ht="12.75" hidden="false" customHeight="false" outlineLevel="0" collapsed="false">
      <c r="A171" s="95"/>
    </row>
    <row r="172" customFormat="false" ht="12.75" hidden="false" customHeight="false" outlineLevel="0" collapsed="false">
      <c r="A172" s="95"/>
    </row>
    <row r="173" customFormat="false" ht="12.75" hidden="false" customHeight="false" outlineLevel="0" collapsed="false">
      <c r="A173" s="95"/>
    </row>
    <row r="174" customFormat="false" ht="12.75" hidden="false" customHeight="false" outlineLevel="0" collapsed="false">
      <c r="A174" s="95"/>
    </row>
    <row r="175" customFormat="false" ht="12.75" hidden="false" customHeight="false" outlineLevel="0" collapsed="false">
      <c r="A175" s="95"/>
    </row>
    <row r="176" customFormat="false" ht="12.75" hidden="false" customHeight="false" outlineLevel="0" collapsed="false">
      <c r="A176" s="95"/>
    </row>
    <row r="177" customFormat="false" ht="12.75" hidden="false" customHeight="false" outlineLevel="0" collapsed="false">
      <c r="A177" s="95"/>
    </row>
    <row r="178" customFormat="false" ht="12.75" hidden="false" customHeight="false" outlineLevel="0" collapsed="false">
      <c r="A178" s="95"/>
    </row>
    <row r="179" customFormat="false" ht="12.75" hidden="false" customHeight="false" outlineLevel="0" collapsed="false">
      <c r="A179" s="95"/>
    </row>
    <row r="180" customFormat="false" ht="12.75" hidden="false" customHeight="false" outlineLevel="0" collapsed="false">
      <c r="A180" s="95"/>
    </row>
    <row r="181" customFormat="false" ht="12.75" hidden="false" customHeight="false" outlineLevel="0" collapsed="false">
      <c r="A181" s="95"/>
    </row>
    <row r="182" customFormat="false" ht="12.75" hidden="false" customHeight="false" outlineLevel="0" collapsed="false">
      <c r="A182" s="95"/>
    </row>
    <row r="183" customFormat="false" ht="12.75" hidden="false" customHeight="false" outlineLevel="0" collapsed="false">
      <c r="A183" s="95"/>
    </row>
    <row r="184" customFormat="false" ht="12.75" hidden="false" customHeight="false" outlineLevel="0" collapsed="false">
      <c r="A184" s="95"/>
    </row>
    <row r="185" customFormat="false" ht="12.75" hidden="false" customHeight="false" outlineLevel="0" collapsed="false">
      <c r="A185" s="95"/>
    </row>
    <row r="186" customFormat="false" ht="12.75" hidden="false" customHeight="false" outlineLevel="0" collapsed="false">
      <c r="A186" s="95"/>
    </row>
    <row r="187" customFormat="false" ht="12.75" hidden="false" customHeight="false" outlineLevel="0" collapsed="false">
      <c r="A187" s="95"/>
    </row>
    <row r="188" customFormat="false" ht="12.75" hidden="false" customHeight="false" outlineLevel="0" collapsed="false">
      <c r="A188" s="95"/>
    </row>
    <row r="189" customFormat="false" ht="12.75" hidden="false" customHeight="false" outlineLevel="0" collapsed="false">
      <c r="A189" s="95"/>
    </row>
    <row r="190" customFormat="false" ht="12.75" hidden="false" customHeight="false" outlineLevel="0" collapsed="false">
      <c r="A190" s="95"/>
    </row>
    <row r="191" customFormat="false" ht="12.75" hidden="false" customHeight="false" outlineLevel="0" collapsed="false">
      <c r="A191" s="95"/>
    </row>
    <row r="192" customFormat="false" ht="12.75" hidden="false" customHeight="false" outlineLevel="0" collapsed="false">
      <c r="A192" s="95"/>
    </row>
    <row r="193" customFormat="false" ht="12.75" hidden="false" customHeight="false" outlineLevel="0" collapsed="false">
      <c r="A193" s="95"/>
    </row>
    <row r="194" customFormat="false" ht="12.75" hidden="false" customHeight="false" outlineLevel="0" collapsed="false">
      <c r="A194" s="95"/>
    </row>
    <row r="195" customFormat="false" ht="12.75" hidden="false" customHeight="false" outlineLevel="0" collapsed="false">
      <c r="A195" s="95"/>
    </row>
    <row r="196" customFormat="false" ht="12.75" hidden="false" customHeight="false" outlineLevel="0" collapsed="false">
      <c r="A196" s="95"/>
    </row>
    <row r="197" customFormat="false" ht="12.75" hidden="false" customHeight="false" outlineLevel="0" collapsed="false">
      <c r="A197" s="95"/>
    </row>
    <row r="198" customFormat="false" ht="12.75" hidden="false" customHeight="false" outlineLevel="0" collapsed="false">
      <c r="A198" s="95"/>
    </row>
    <row r="199" customFormat="false" ht="12.75" hidden="false" customHeight="false" outlineLevel="0" collapsed="false">
      <c r="A199" s="95"/>
    </row>
    <row r="200" customFormat="false" ht="12.75" hidden="false" customHeight="false" outlineLevel="0" collapsed="false">
      <c r="A200" s="95"/>
    </row>
    <row r="201" customFormat="false" ht="12.75" hidden="false" customHeight="false" outlineLevel="0" collapsed="false">
      <c r="A201" s="95"/>
    </row>
    <row r="202" customFormat="false" ht="12.75" hidden="false" customHeight="false" outlineLevel="0" collapsed="false">
      <c r="A202" s="95"/>
    </row>
    <row r="203" customFormat="false" ht="12.75" hidden="false" customHeight="false" outlineLevel="0" collapsed="false">
      <c r="A203" s="95"/>
    </row>
    <row r="204" customFormat="false" ht="12.75" hidden="false" customHeight="false" outlineLevel="0" collapsed="false">
      <c r="A204" s="95"/>
    </row>
    <row r="205" customFormat="false" ht="12.75" hidden="false" customHeight="false" outlineLevel="0" collapsed="false">
      <c r="A205" s="9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2000-02-09T20:50:56Z</dcterms:created>
  <dc:creator>Eric Bass</dc:creator>
  <dc:description/>
  <dc:language>en-US</dc:language>
  <cp:lastModifiedBy>Eric Bass</cp:lastModifiedBy>
  <cp:lastPrinted>2000-02-22T20:46:37Z</cp:lastPrinted>
  <cp:revision>0</cp:revision>
  <dc:subject/>
  <dc:title/>
</cp:coreProperties>
</file>