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comments12.xml" ContentType="application/vnd.openxmlformats-officedocument.spreadsheetml.comments+xml"/>
  <Override PartName="/xl/comments13.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vmlDrawing2.vml" ContentType="application/vnd.openxmlformats-officedocument.vmlDrawing"/>
  <Override PartName="/xl/drawings/vmlDrawing4.vml" ContentType="application/vnd.openxmlformats-officedocument.vmlDrawing"/>
  <Override PartName="/xl/drawings/vmlDrawing5.vml" ContentType="application/vnd.openxmlformats-officedocument.vmlDrawing"/>
  <Override PartName="/xl/drawings/vmlDrawing6.vml" ContentType="application/vnd.openxmlformats-officedocument.vmlDrawing"/>
  <Override PartName="/xl/drawings/vmlDrawing7.vml" ContentType="application/vnd.openxmlformats-officedocument.vmlDrawing"/>
  <Override PartName="/xl/theme/theme1.xml" ContentType="application/vnd.openxmlformats-officedocument.theme+xml"/>
  <Override PartName="/xl/comments5.xml" ContentType="application/vnd.openxmlformats-officedocument.spreadsheetml.comments+xml"/>
  <Override PartName="/xl/comments15.xml" ContentType="application/vnd.openxmlformats-officedocument.spreadsheetml.comments+xml"/>
  <Override PartName="/xl/worksheets/_rels/sheet15.xml.rels" ContentType="application/vnd.openxmlformats-package.relationships+xml"/>
  <Override PartName="/xl/worksheets/_rels/sheet4.xml.rels" ContentType="application/vnd.openxmlformats-package.relationships+xml"/>
  <Override PartName="/xl/worksheets/_rels/sheet10.xml.rels" ContentType="application/vnd.openxmlformats-package.relationships+xml"/>
  <Override PartName="/xl/worksheets/_rels/sheet12.xml.rels" ContentType="application/vnd.openxmlformats-package.relationships+xml"/>
  <Override PartName="/xl/worksheets/_rels/sheet6.xml.rels" ContentType="application/vnd.openxmlformats-package.relationships+xml"/>
  <Override PartName="/xl/worksheets/_rels/sheet13.xml.rels" ContentType="application/vnd.openxmlformats-package.relationships+xml"/>
  <Override PartName="/xl/worksheets/_rels/sheet5.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_rels/externalLink4.xml.rels" ContentType="application/vnd.openxmlformats-package.relationship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4.xml" ContentType="application/vnd.openxmlformats-officedocument.spreadsheetml.externalLink+xml"/>
  <Override PartName="/xl/comments6.xml" ContentType="application/vnd.openxmlformats-officedocument.spreadsheetml.comments+xml"/>
  <Override PartName="/xl/styles.xml" ContentType="application/vnd.openxmlformats-officedocument.spreadsheetml.styles+xml"/>
  <Override PartName="/xl/sharedStrings.xml" ContentType="application/vnd.openxmlformats-officedocument.spreadsheetml.sharedStrings+xml"/>
  <Override PartName="/xl/ctrlProps/ctrlProps2.xml" ContentType="application/vnd.ms-excel.controlproperties+xml"/>
  <Override PartName="/xl/ctrlProps/ctrlProps3.xml" ContentType="application/vnd.ms-excel.controlproperties+xml"/>
  <Override PartName="/xl/comments10.xml" ContentType="application/vnd.openxmlformats-officedocument.spreadsheetml.comments+xml"/>
  <Override PartName="/xl/workbook.xml" ContentType="application/vnd.openxmlformats-officedocument.spreadsheetml.sheet.main+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1" activeTab="1"/>
  </bookViews>
  <sheets>
    <sheet name="monci" sheetId="1" state="hidden" r:id="rId3"/>
    <sheet name="Tracking sheet" sheetId="2" state="visible" r:id="rId4"/>
    <sheet name="Value" sheetId="3" state="visible" r:id="rId5"/>
    <sheet name="Project Assumptions" sheetId="4" state="visible" r:id="rId6"/>
    <sheet name="PPA Assumptions &amp;Summary" sheetId="5" state="visible" r:id="rId7"/>
    <sheet name="Operations" sheetId="6" state="visible" r:id="rId8"/>
    <sheet name="Debt Amortization" sheetId="7" state="visible" r:id="rId9"/>
    <sheet name="Returns Summary" sheetId="8" state="visible" r:id="rId10"/>
    <sheet name="Book Income Statement" sheetId="9" state="visible" r:id="rId11"/>
    <sheet name="Cash Flow Statement" sheetId="10" state="visible" r:id="rId12"/>
    <sheet name="BS" sheetId="11" state="visible" r:id="rId13"/>
    <sheet name="Tax Calculations" sheetId="12" state="visible" r:id="rId14"/>
    <sheet name="Depreciation" sheetId="13" state="visible" r:id="rId15"/>
    <sheet name="Interest During Construction" sheetId="14" state="visible" r:id="rId16"/>
    <sheet name="Maintenance Reserves" sheetId="15" state="visible" r:id="rId17"/>
  </sheets>
  <externalReferences>
    <externalReference r:id="rId18"/>
    <externalReference r:id="rId19"/>
    <externalReference r:id="rId20"/>
    <externalReference r:id="rId21"/>
  </externalReferences>
  <definedNames>
    <definedName function="false" hidden="false" localSheetId="8" name="_xlnm.Print_Area" vbProcedure="false">'Book Income Statement'!$B$1:$X$75</definedName>
    <definedName function="false" hidden="false" localSheetId="8" name="_xlnm.Print_Titles" vbProcedure="false">'Book Income Statement'!$B:$C</definedName>
    <definedName function="false" hidden="false" localSheetId="9" name="_xlnm.Print_Area" vbProcedure="false">'Cash Flow Statement'!$A$1:$X$36</definedName>
    <definedName function="false" hidden="false" localSheetId="9" name="_xlnm.Print_Titles" vbProcedure="false">'Cash Flow Statement'!$A:$C</definedName>
    <definedName function="false" hidden="false" localSheetId="6" name="_xlnm.Print_Area" vbProcedure="false">'Debt Amortization'!$A$1:$Y$59</definedName>
    <definedName function="false" hidden="false" localSheetId="6" name="_xlnm.Print_Titles" vbProcedure="false">'Debt Amortization'!$A:$C</definedName>
    <definedName function="false" hidden="false" localSheetId="12" name="_xlnm.Print_Area" vbProcedure="false">Depreciation!$A$1:$W$98</definedName>
    <definedName function="false" hidden="false" localSheetId="12" name="_xlnm.Print_Titles" vbProcedure="false">Depreciation!$A:$B</definedName>
    <definedName function="false" hidden="false" localSheetId="14" name="_xlnm.Print_Area" vbProcedure="false">'Maintenance Reserves'!$A$1:$X$16</definedName>
    <definedName function="false" hidden="false" localSheetId="14" name="_xlnm.Print_Titles" vbProcedure="false">'Maintenance Reserves'!$A:$B</definedName>
    <definedName function="false" hidden="false" localSheetId="5" name="_xlnm.Print_Area" vbProcedure="false">Operations!$A$1:$W$48</definedName>
    <definedName function="false" hidden="false" localSheetId="5" name="_xlnm.Print_Titles" vbProcedure="false">Operations!$A:$B</definedName>
    <definedName function="false" hidden="false" localSheetId="4" name="_xlnm.Print_Area" vbProcedure="false">'PPA Assumptions &amp;Summary'!$A$1:$V$80</definedName>
    <definedName function="false" hidden="false" localSheetId="4" name="_xlnm.Print_Titles" vbProcedure="false">'PPA Assumptions &amp;Summary'!$A:$B</definedName>
    <definedName function="false" hidden="false" localSheetId="3" name="_xlnm.Print_Area" vbProcedure="false">'Project Assumptions'!$A$2:$N$77</definedName>
    <definedName function="false" hidden="false" localSheetId="3" name="_xlnm.Print_Titles" vbProcedure="false">'Project Assumptions'!$1:$4</definedName>
    <definedName function="false" hidden="false" localSheetId="7" name="_xlnm.Print_Area" vbProcedure="false">'Returns Summary'!$A$1:$W$42</definedName>
    <definedName function="false" hidden="false" localSheetId="7" name="_xlnm.Print_Titles" vbProcedure="false">'Returns Summary'!$A:$B</definedName>
    <definedName function="false" hidden="false" localSheetId="11" name="_xlnm.Print_Area" vbProcedure="false">'Tax Calculations'!$A$1:$V$51</definedName>
    <definedName function="false" hidden="false" localSheetId="11" name="_xlnm.Print_Titles" vbProcedure="false">'Tax Calculations'!$A:$B</definedName>
    <definedName function="false" hidden="false" localSheetId="1" name="_xlnm.Print_Area" vbProcedure="false">'Tracking sheet'!$A$2:$G$285</definedName>
    <definedName function="false" hidden="false" localSheetId="1" name="_xlnm.Print_Titles" vbProcedure="false">'Tracking sheet'!$2:$6</definedName>
    <definedName function="false" hidden="false" name="AnnualHours" vbProcedure="false">'Project Assumptions'!$G$14</definedName>
    <definedName function="false" hidden="false" name="AssessedValueMultiplier" vbProcedure="false">'Project Assumptions'!$U$6</definedName>
    <definedName function="false" hidden="false" name="BI" vbProcedure="false">'Book Income Statement'!$B$1:$AB$75</definedName>
    <definedName function="false" hidden="false" name="BS" vbProcedure="false">BS!$A$1:$X$38</definedName>
    <definedName function="false" hidden="false" name="BusnIInsr" vbProcedure="false">'Project Assumptions'!$N$30</definedName>
    <definedName function="false" hidden="false" name="Cap_Factor_Energy" vbProcedure="false">'Project Assumptions'!$I$23</definedName>
    <definedName function="false" hidden="false" name="CF" vbProcedure="false">'Cash Flow Statement'!$A$1:$AB$36</definedName>
    <definedName function="false" hidden="false" name="CityTaxRate" vbProcedure="false">'Project Assumptions'!$U$12</definedName>
    <definedName function="false" hidden="false" name="CountyMillageTaxRate" vbProcedure="false">'Project Assumptions'!$U$10</definedName>
    <definedName function="false" hidden="false" name="Debt" vbProcedure="false">'Debt Amortization'!$A$1:$Y$59</definedName>
    <definedName function="false" hidden="false" name="DebtTerm" vbProcedure="false">'Project Assumptions'!$I$39</definedName>
    <definedName function="false" hidden="false" name="Deg_Rate" vbProcedure="false">'Project Assumptions'!$F$11</definedName>
    <definedName function="false" hidden="false" name="Deprec" vbProcedure="false">Depreciation!$A$1:$AB$51</definedName>
    <definedName function="false" hidden="false" name="Ebitda" vbProcedure="false">'Book Income Statement'!$B$63:$AB$63</definedName>
    <definedName function="false" hidden="false" name="Energy_Margin" vbProcedure="false">'Project Assumptions'!$F$23</definedName>
    <definedName function="false" hidden="false" name="Equity_Copy" vbProcedure="false">BS!$D$35:$X$35</definedName>
    <definedName function="false" hidden="false" name="Equity_Paste" vbProcedure="false">BS!$D$45:$X$45</definedName>
    <definedName function="false" hidden="false" name="FercMWh" vbProcedure="false">'Project Assumptions'!$N$9</definedName>
    <definedName function="false" hidden="false" name="Fixed" vbProcedure="false">'Project Assumptions'!$N$21</definedName>
    <definedName function="false" hidden="false" name="FracYr1" vbProcedure="false">'Project Assumptions'!$I$16</definedName>
    <definedName function="false" hidden="false" name="Fuel_Start" vbProcedure="false">'Project Assumptions'!$N$16</definedName>
    <definedName function="false" hidden="false" name="Grace1" vbProcedure="false">'[3]Project Assumptions'!$F$40</definedName>
    <definedName function="false" hidden="false" name="Grace2" vbProcedure="false">'[3]Project Assumptions'!$G$40</definedName>
    <definedName function="false" hidden="false" name="Grace3" vbProcedure="false">'[3]Project Assumptions'!$H$40</definedName>
    <definedName function="false" hidden="false" name="HeatRate" vbProcedure="false">'Project Assumptions'!$I$12</definedName>
    <definedName function="false" hidden="false" name="idc" vbProcedure="false">'Interest During Construction'!$A$1:$I$57</definedName>
    <definedName function="false" hidden="false" name="Int1" vbProcedure="false">'Project Assumptions'!$F$40</definedName>
    <definedName function="false" hidden="false" name="Int2" vbProcedure="false">'Project Assumptions'!$G$40</definedName>
    <definedName function="false" hidden="false" name="Int3" vbProcedure="false">'Project Assumptions'!$H$40</definedName>
    <definedName function="false" hidden="false" name="InterestExpense" vbProcedure="false">'Debt Amortization'!$D$90:$AC$90</definedName>
    <definedName function="false" hidden="false" name="ISO_NetMW" vbProcedure="false">'Project Assumptions'!$I$9</definedName>
    <definedName function="false" hidden="false" name="Labor" vbProcedure="false">'Project Assumptions'!$N$20</definedName>
    <definedName function="false" hidden="false" name="LiabInsr" vbProcedure="false">'Project Assumptions'!$N$29</definedName>
    <definedName function="false" hidden="false" name="Loan_Copy" vbProcedure="false">BS!$D$28:$X$28</definedName>
    <definedName function="false" hidden="false" name="Loan_Paste" vbProcedure="false">BS!$D$44:$X$44</definedName>
    <definedName function="false" hidden="false" name="Loop" vbProcedure="false">BS!$A$43</definedName>
    <definedName function="false" hidden="false" name="MAIN" vbProcedure="false">'Maintenance Reserves'!$A$1:$AB$44</definedName>
    <definedName function="false" hidden="false" name="MainMWh" vbProcedure="false">'Project Assumptions'!$N$10</definedName>
    <definedName function="false" hidden="false" name="Maint_Accrual" vbProcedure="false">#REF!</definedName>
    <definedName function="false" hidden="false" name="Main_Escal" vbProcedure="false">'Project Assumptions'!$P$15</definedName>
    <definedName function="false" hidden="false" name="Main_Start" vbProcedure="false">'Project Assumptions'!$N$15</definedName>
    <definedName function="false" hidden="false" name="Main_Table" vbProcedure="false">'Maintenance Reserves'!$E$19:$J$44</definedName>
    <definedName function="false" hidden="false" name="NetMW" vbProcedure="false">'Project Assumptions'!$I$10</definedName>
    <definedName function="false" hidden="false" name="OM_Escal" vbProcedure="false">'Project Assumptions'!$N$40</definedName>
    <definedName function="false" hidden="false" name="Opcostescalation" vbProcedure="false">'Project Assumptions'!$N$41</definedName>
    <definedName function="false" hidden="false" name="OpMachInsr" vbProcedure="false">'Project Assumptions'!$N$31</definedName>
    <definedName function="false" hidden="false" name="ops" vbProcedure="false">Operations!$A$1:$W$48</definedName>
    <definedName function="false" hidden="false" name="ppa" vbProcedure="false">'PPA Assumptions &amp;Summary'!$A$1:$AA$79</definedName>
    <definedName function="false" hidden="false" name="PPACAPACITY" vbProcedure="false">'Project Assumptions'!$I$27</definedName>
    <definedName function="false" hidden="false" name="PPAHours" vbProcedure="false">'Project Assumptions'!$I$28</definedName>
    <definedName function="false" hidden="false" name="PPATerm" vbProcedure="false">'Project Assumptions'!$I$26</definedName>
    <definedName function="false" hidden="false" name="principal" vbProcedure="false">'Debt Amortization'!$D$91:$AC$91</definedName>
    <definedName function="false" hidden="false" name="Principal1" vbProcedure="false">'Project Assumptions'!$F$38</definedName>
    <definedName function="false" hidden="false" name="Principal2" vbProcedure="false">'Project Assumptions'!$G$38</definedName>
    <definedName function="false" hidden="false" name="Principal3" vbProcedure="false">'Project Assumptions'!$H$38</definedName>
    <definedName function="false" hidden="false" name="ProjectLife" vbProcedure="false">'Project Assumptions'!$I$15</definedName>
    <definedName function="false" hidden="false" name="Pro_Ass" vbProcedure="false">'Project Assumptions'!$A$1:$U$71</definedName>
    <definedName function="false" hidden="false" name="Returns" vbProcedure="false">'Returns Summary'!$A$1:$W$42</definedName>
    <definedName function="false" hidden="false" name="s" vbProcedure="false">'Tracking sheet'!$A$6:$X$12</definedName>
    <definedName function="false" hidden="false" name="SchoolMillageTaxRate" vbProcedure="false">'Project Assumptions'!$U$7</definedName>
    <definedName function="false" hidden="false" name="StartDate" vbProcedure="false">'Project Assumptions'!$G$16</definedName>
    <definedName function="false" hidden="false" name="StartMWh" vbProcedure="false">#REF!</definedName>
    <definedName function="false" hidden="false" name="START_PAY" vbProcedure="false">'[2]Project Assumptions'!$F$21</definedName>
    <definedName function="false" hidden="false" name="Tax" vbProcedure="false">'Tax Calculations'!$A$1:$W$57</definedName>
    <definedName function="false" hidden="false" name="Term1" vbProcedure="false">'Project Assumptions'!$F$39</definedName>
    <definedName function="false" hidden="false" name="Term2" vbProcedure="false">'Project Assumptions'!$G$39</definedName>
    <definedName function="false" hidden="false" name="Term3" vbProcedure="false">'Project Assumptions'!$H$39</definedName>
    <definedName function="false" hidden="false" name="TVA_hours" vbProcedure="false">'Project Assumptions'!$I$14</definedName>
    <definedName function="false" hidden="false" name="Variable" vbProcedure="false">'Project Assumptions'!$L$10</definedName>
    <definedName function="false" hidden="false" name="VariableMwh" vbProcedure="false">'Project Assumptions'!$N$11</definedName>
    <definedName function="false" hidden="false" name="VEP" vbProcedure="false">'Project Assumptions'!$F$21</definedName>
    <definedName function="false" hidden="false" name="VEP_ESCAL" vbProcedure="false">'Project Assumptions'!$I$21</definedName>
    <definedName function="false" hidden="false" name="WaterMWh" vbProcedure="false">'Project Assumptions'!$N$8</definedName>
    <definedName function="false" hidden="false" name="WaterTreatmentVar" vbProcedure="false">'Project Assumptions'!$L$8</definedName>
    <definedName function="false" hidden="false" name="wrn_test1_" vbProcedure="false">{"Income Statement",#N/A,FALSE,"CFMODEL";"Balance Sheet",#N/A,FALSE,"CFMODEL"}</definedName>
    <definedName function="false" hidden="false" name="wrn_test2_" vbProcedure="false">{"SourcesUses",#N/A,TRUE,"CFMODEL";"TransOverview",#N/A,TRUE,"CFMODEL"}</definedName>
    <definedName function="false" hidden="false" name="wrn_test3_" vbProcedure="false">{"SourcesUses",#N/A,TRUE,#N/A;"TransOverview",#N/A,TRUE,"CFMODEL"}</definedName>
    <definedName function="false" hidden="false" name="wrn_test4_" vbProcedure="false">{"SourcesUses",#N/A,TRUE,"FundsFlow";"TransOverview",#N/A,TRUE,"FundsFlow"}</definedName>
    <definedName function="false" hidden="false" localSheetId="3" name="solver_adj" vbProcedure="false">'Project Assumptions'!$I$29</definedName>
    <definedName function="false" hidden="false" localSheetId="3" name="solver_cvg" vbProcedure="false">0.001</definedName>
    <definedName function="false" hidden="false" localSheetId="3" name="solver_drv" vbProcedure="false">1</definedName>
    <definedName function="false" hidden="false" localSheetId="3" name="solver_est" vbProcedure="false">1</definedName>
    <definedName function="false" hidden="false" localSheetId="3" name="solver_itr" vbProcedure="false">100</definedName>
    <definedName function="false" hidden="false" localSheetId="3" name="solver_lin" vbProcedure="false">2</definedName>
    <definedName function="false" hidden="false" localSheetId="3" name="solver_neg" vbProcedure="false">2</definedName>
    <definedName function="false" hidden="false" localSheetId="3" name="solver_num" vbProcedure="false">0</definedName>
    <definedName function="false" hidden="false" localSheetId="3" name="solver_nwt" vbProcedure="false">1</definedName>
    <definedName function="false" hidden="false" localSheetId="3" name="solver_opt" vbProcedure="false">'Project Assumptions'!$I$60</definedName>
    <definedName function="false" hidden="false" localSheetId="3" name="solver_pre" vbProcedure="false">0.000001</definedName>
    <definedName function="false" hidden="false" localSheetId="3" name="solver_scl" vbProcedure="false">2</definedName>
    <definedName function="false" hidden="false" localSheetId="3" name="solver_sho" vbProcedure="false">2</definedName>
    <definedName function="false" hidden="false" localSheetId="3" name="solver_tim" vbProcedure="false">100</definedName>
    <definedName function="false" hidden="false" localSheetId="3" name="solver_tol" vbProcedure="false">0.05</definedName>
    <definedName function="false" hidden="false" localSheetId="3" name="solver_typ" vbProcedure="false">3</definedName>
    <definedName function="false" hidden="false" localSheetId="3" name="solver_val" vbProcedure="false">0.12</definedName>
    <definedName function="false" hidden="false" localSheetId="3" name="Z_9D7575BF_255B_11D2_8267_00A0D1027254__wvu_PrintArea" vbProcedure="false">'Project Assumptions'!$A$1:$N$62</definedName>
    <definedName function="false" hidden="false" localSheetId="6" name="wrn_test1_" vbProcedure="false">{"Income Statement",#N/A,FALSE,"CFMODEL";"Balance Sheet",#N/A,FALSE,"CFMODEL"}</definedName>
    <definedName function="false" hidden="false" localSheetId="6" name="wrn_test2_" vbProcedure="false">{"SourcesUses",#N/A,TRUE,"CFMODEL";"TransOverview",#N/A,TRUE,"CFMODEL"}</definedName>
    <definedName function="false" hidden="false" localSheetId="6" name="wrn_test3_" vbProcedure="false">{"SourcesUses",#N/A,TRUE,#N/A;"TransOverview",#N/A,TRUE,"CFMODEL"}</definedName>
    <definedName function="false" hidden="false" localSheetId="6" name="wrn_test4_" vbProcedure="false">{"SourcesUses",#N/A,TRUE,"FundsFlow";"TransOverview",#N/A,TRUE,"FundsFlow"}</definedName>
    <definedName function="false" hidden="false" localSheetId="6" name="Z_9D7575BF_255B_11D2_8267_00A0D1027254__wvu_PrintTitles" vbProcedure="false">'Debt Amortization'!$A:$B</definedName>
    <definedName function="false" hidden="false" localSheetId="7" name="wrn_test1_" vbProcedure="false">{"Income Statement",#N/A,FALSE,"CFMODEL";"Balance Sheet",#N/A,FALSE,"CFMODEL"}</definedName>
    <definedName function="false" hidden="false" localSheetId="7" name="wrn_test2_" vbProcedure="false">{"SourcesUses",#N/A,TRUE,"CFMODEL";"TransOverview",#N/A,TRUE,"CFMODEL"}</definedName>
    <definedName function="false" hidden="false" localSheetId="7" name="wrn_test3_" vbProcedure="false">{"SourcesUses",#N/A,TRUE,#N/A;"TransOverview",#N/A,TRUE,"CFMODEL"}</definedName>
    <definedName function="false" hidden="false" localSheetId="7" name="wrn_test4_" vbProcedure="false">{"SourcesUses",#N/A,TRUE,"FundsFlow";"TransOverview",#N/A,TRUE,"FundsFlow"}</definedName>
    <definedName function="false" hidden="false" localSheetId="7" name="Z_9D7575BF_255B_11D2_8267_00A0D1027254__wvu_PrintArea" vbProcedure="false">'Returns Summary'!$C$1:$AA$37</definedName>
    <definedName function="false" hidden="false" localSheetId="8" name="Z_9D7575BF_255B_11D2_8267_00A0D1027254__wvu_PrintArea" vbProcedure="false">'Book Income Statement'!$B$1:$AB$75</definedName>
    <definedName function="false" hidden="false" localSheetId="8" name="Z_9D7575BF_255B_11D2_8267_00A0D1027254__wvu_Rows" vbProcedure="false">'Book Income Statement'!$5:$8,#REF!</definedName>
    <definedName function="false" hidden="false" localSheetId="9" name="Z_9D7575BF_255B_11D2_8267_00A0D1027254__wvu_PrintArea" vbProcedure="false">'Cash Flow Statement'!$D$1:$AB$36</definedName>
    <definedName function="false" hidden="false" localSheetId="13" name="Z_87D5054C_0AAC_11D2_824B_00A0D1027254__wvu_PrintArea" vbProcedure="false">'Interest During Construction'!$A$2:$I$63</definedName>
    <definedName function="false" hidden="false" localSheetId="14" name="wrn_test1_" vbProcedure="false">{"Income Statement",#N/A,FALSE,"CFMODEL";"Balance Sheet",#N/A,FALSE,"CFMODEL"}</definedName>
    <definedName function="false" hidden="false" localSheetId="14" name="wrn_test2_" vbProcedure="false">{"SourcesUses",#N/A,TRUE,"CFMODEL";"TransOverview",#N/A,TRUE,"CFMODEL"}</definedName>
    <definedName function="false" hidden="false" localSheetId="14" name="wrn_test3_" vbProcedure="false">{"SourcesUses",#N/A,TRUE,#N/A;"TransOverview",#N/A,TRUE,"CFMODEL"}</definedName>
    <definedName function="false" hidden="false" localSheetId="14" name="wrn_test4_" vbProcedure="false">{"SourcesUses",#N/A,TRUE,"FundsFlow";"TransOverview",#N/A,TRUE,"FundsFlow"}</definedName>
    <definedName function="false" hidden="false" localSheetId="14" name="Z_14FB3146_3CEF_11D2_B9CE_0060080D6A65__wvu_PrintArea" vbProcedure="false">'Maintenance Reserves'!$C$1:$AB$34</definedName>
    <definedName function="false" hidden="false" localSheetId="14" name="Z_14FB3146_3CEF_11D2_B9CE_0060080D6A65__wvu_PrintTitles" vbProcedure="false">'Maintenance Reserves'!$A:$B</definedName>
    <definedName function="false" hidden="false" localSheetId="14" name="Z_14FB3146_3CEF_11D2_B9CE_0060080D6A65__wvu_Rows" vbProcedure="false">'Maintenance Reserves'!$15:$15,'Maintenance Reserves'!$27:$34</definedName>
    <definedName function="false" hidden="false" localSheetId="14" name="Z_9D7575BF_255B_11D2_8267_00A0D1027254__wvu_PrintArea" vbProcedure="false">'Maintenance Reserves'!$C$1:$AB$34</definedName>
    <definedName function="false" hidden="false" localSheetId="14" name="Z_9D7575BF_255B_11D2_8267_00A0D1027254__wvu_PrintTitles" vbProcedure="false">'Maintenance Reserves'!$A:$B</definedName>
    <definedName function="false" hidden="false" localSheetId="14" name="Z_9D7575BF_255B_11D2_8267_00A0D1027254__wvu_Rows" vbProcedure="false">'Maintenance Reserves'!$15:$15,'Maintenance Reserves'!$27:$34</definedName>
  </definedNames>
  <calcPr iterateCount="100" refMode="A1" iterate="false" iterateDelta="0.001"/>
  <extLst>
    <ext xmlns:loext="http://schemas.libreoffice.org/" uri="{7626C862-2A13-11E5-B345-FEFF819CDC9F}">
      <loext:extCalcPr stringRefSyntax="CalcA1"/>
    </ext>
  </extLst>
</workbook>
</file>

<file path=xl/comments10.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0" authorId="0">
      <text>
        <r>
          <rPr>
            <b val="true"/>
            <sz val="8"/>
            <color rgb="FF000000"/>
            <rFont val="Tahoma"/>
            <family val="0"/>
          </rPr>
          <t xml:space="preserve">Sheetal J Bajoria x3-5692:
</t>
        </r>
        <r>
          <rPr>
            <sz val="8"/>
            <color rgb="FF000000"/>
            <rFont val="Tahoma"/>
            <family val="0"/>
          </rPr>
          <t xml:space="preserve">CHANGED FORMULA</t>
        </r>
      </text>
      <mc:AlternateContent>
        <mc:Choice Requires="v2">
          <commentPr autoFill="true" autoScale="false" colHidden="false" locked="false" rowHidden="false" textHAlign="justify" textVAlign="top">
            <anchor moveWithCells="false" sizeWithCells="false">
              <xdr:from>
                <xdr:col>1</xdr:col>
                <xdr:colOff>16</xdr:colOff>
                <xdr:row>18</xdr:row>
                <xdr:rowOff>6</xdr:rowOff>
              </xdr:from>
              <xdr:to>
                <xdr:col>2</xdr:col>
                <xdr:colOff>42</xdr:colOff>
                <xdr:row>22</xdr:row>
                <xdr:rowOff>15</xdr:rowOff>
              </xdr:to>
            </anchor>
          </commentPr>
        </mc:Choice>
        <mc:Fallback/>
      </mc:AlternateContent>
    </comment>
    <comment ref="D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4</xdr:col>
                <xdr:colOff>16</xdr:colOff>
                <xdr:row>12</xdr:row>
                <xdr:rowOff>4</xdr:rowOff>
              </xdr:from>
              <xdr:to>
                <xdr:col>6</xdr:col>
                <xdr:colOff>13</xdr:colOff>
                <xdr:row>16</xdr:row>
                <xdr:rowOff>15</xdr:rowOff>
              </xdr:to>
            </anchor>
          </commentPr>
        </mc:Choice>
        <mc:Fallback/>
      </mc:AlternateContent>
    </comment>
    <comment ref="D20" authorId="0">
      <text>
        <r>
          <rPr>
            <b val="true"/>
            <sz val="8"/>
            <color rgb="FF000000"/>
            <rFont val="Tahoma"/>
            <family val="0"/>
          </rPr>
          <t xml:space="preserve">Sheetal J Bajoria x3-5692:
</t>
        </r>
        <r>
          <rPr>
            <sz val="8"/>
            <color rgb="FF000000"/>
            <rFont val="Tahoma"/>
            <family val="0"/>
          </rPr>
          <t xml:space="preserve">chca</t>
        </r>
      </text>
      <mc:AlternateContent>
        <mc:Choice Requires="v2">
          <commentPr autoFill="true" autoScale="false" colHidden="false" locked="false" rowHidden="false" textHAlign="justify" textVAlign="top">
            <anchor moveWithCells="false" sizeWithCells="false">
              <xdr:from>
                <xdr:col>4</xdr:col>
                <xdr:colOff>16</xdr:colOff>
                <xdr:row>18</xdr:row>
                <xdr:rowOff>6</xdr:rowOff>
              </xdr:from>
              <xdr:to>
                <xdr:col>6</xdr:col>
                <xdr:colOff>14</xdr:colOff>
                <xdr:row>22</xdr:row>
                <xdr:rowOff>15</xdr:rowOff>
              </xdr:to>
            </anchor>
          </commentPr>
        </mc:Choice>
        <mc:Fallback/>
      </mc:AlternateContent>
    </comment>
    <comment ref="E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5</xdr:col>
                <xdr:colOff>16</xdr:colOff>
                <xdr:row>12</xdr:row>
                <xdr:rowOff>4</xdr:rowOff>
              </xdr:from>
              <xdr:to>
                <xdr:col>7</xdr:col>
                <xdr:colOff>13</xdr:colOff>
                <xdr:row>16</xdr:row>
                <xdr:rowOff>15</xdr:rowOff>
              </xdr:to>
            </anchor>
          </commentPr>
        </mc:Choice>
        <mc:Fallback/>
      </mc:AlternateContent>
    </comment>
    <comment ref="F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6</xdr:col>
                <xdr:colOff>16</xdr:colOff>
                <xdr:row>12</xdr:row>
                <xdr:rowOff>4</xdr:rowOff>
              </xdr:from>
              <xdr:to>
                <xdr:col>8</xdr:col>
                <xdr:colOff>13</xdr:colOff>
                <xdr:row>16</xdr:row>
                <xdr:rowOff>15</xdr:rowOff>
              </xdr:to>
            </anchor>
          </commentPr>
        </mc:Choice>
        <mc:Fallback/>
      </mc:AlternateContent>
    </comment>
    <comment ref="G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7</xdr:col>
                <xdr:colOff>16</xdr:colOff>
                <xdr:row>12</xdr:row>
                <xdr:rowOff>4</xdr:rowOff>
              </xdr:from>
              <xdr:to>
                <xdr:col>9</xdr:col>
                <xdr:colOff>13</xdr:colOff>
                <xdr:row>16</xdr:row>
                <xdr:rowOff>15</xdr:rowOff>
              </xdr:to>
            </anchor>
          </commentPr>
        </mc:Choice>
        <mc:Fallback/>
      </mc:AlternateContent>
    </comment>
    <comment ref="H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8</xdr:col>
                <xdr:colOff>16</xdr:colOff>
                <xdr:row>12</xdr:row>
                <xdr:rowOff>4</xdr:rowOff>
              </xdr:from>
              <xdr:to>
                <xdr:col>10</xdr:col>
                <xdr:colOff>13</xdr:colOff>
                <xdr:row>16</xdr:row>
                <xdr:rowOff>15</xdr:rowOff>
              </xdr:to>
            </anchor>
          </commentPr>
        </mc:Choice>
        <mc:Fallback/>
      </mc:AlternateContent>
    </comment>
    <comment ref="I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9</xdr:col>
                <xdr:colOff>16</xdr:colOff>
                <xdr:row>12</xdr:row>
                <xdr:rowOff>4</xdr:rowOff>
              </xdr:from>
              <xdr:to>
                <xdr:col>11</xdr:col>
                <xdr:colOff>13</xdr:colOff>
                <xdr:row>16</xdr:row>
                <xdr:rowOff>15</xdr:rowOff>
              </xdr:to>
            </anchor>
          </commentPr>
        </mc:Choice>
        <mc:Fallback/>
      </mc:AlternateContent>
    </comment>
    <comment ref="J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10</xdr:col>
                <xdr:colOff>16</xdr:colOff>
                <xdr:row>12</xdr:row>
                <xdr:rowOff>4</xdr:rowOff>
              </xdr:from>
              <xdr:to>
                <xdr:col>12</xdr:col>
                <xdr:colOff>13</xdr:colOff>
                <xdr:row>16</xdr:row>
                <xdr:rowOff>15</xdr:rowOff>
              </xdr:to>
            </anchor>
          </commentPr>
        </mc:Choice>
        <mc:Fallback/>
      </mc:AlternateContent>
    </comment>
    <comment ref="K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11</xdr:col>
                <xdr:colOff>16</xdr:colOff>
                <xdr:row>12</xdr:row>
                <xdr:rowOff>4</xdr:rowOff>
              </xdr:from>
              <xdr:to>
                <xdr:col>13</xdr:col>
                <xdr:colOff>13</xdr:colOff>
                <xdr:row>16</xdr:row>
                <xdr:rowOff>15</xdr:rowOff>
              </xdr:to>
            </anchor>
          </commentPr>
        </mc:Choice>
        <mc:Fallback/>
      </mc:AlternateContent>
    </comment>
    <comment ref="L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12</xdr:col>
                <xdr:colOff>16</xdr:colOff>
                <xdr:row>12</xdr:row>
                <xdr:rowOff>4</xdr:rowOff>
              </xdr:from>
              <xdr:to>
                <xdr:col>14</xdr:col>
                <xdr:colOff>13</xdr:colOff>
                <xdr:row>16</xdr:row>
                <xdr:rowOff>15</xdr:rowOff>
              </xdr:to>
            </anchor>
          </commentPr>
        </mc:Choice>
        <mc:Fallback/>
      </mc:AlternateContent>
    </comment>
    <comment ref="M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13</xdr:col>
                <xdr:colOff>16</xdr:colOff>
                <xdr:row>12</xdr:row>
                <xdr:rowOff>4</xdr:rowOff>
              </xdr:from>
              <xdr:to>
                <xdr:col>15</xdr:col>
                <xdr:colOff>13</xdr:colOff>
                <xdr:row>16</xdr:row>
                <xdr:rowOff>15</xdr:rowOff>
              </xdr:to>
            </anchor>
          </commentPr>
        </mc:Choice>
        <mc:Fallback/>
      </mc:AlternateContent>
    </comment>
    <comment ref="N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14</xdr:col>
                <xdr:colOff>16</xdr:colOff>
                <xdr:row>12</xdr:row>
                <xdr:rowOff>4</xdr:rowOff>
              </xdr:from>
              <xdr:to>
                <xdr:col>16</xdr:col>
                <xdr:colOff>13</xdr:colOff>
                <xdr:row>16</xdr:row>
                <xdr:rowOff>15</xdr:rowOff>
              </xdr:to>
            </anchor>
          </commentPr>
        </mc:Choice>
        <mc:Fallback/>
      </mc:AlternateContent>
    </comment>
    <comment ref="O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15</xdr:col>
                <xdr:colOff>16</xdr:colOff>
                <xdr:row>12</xdr:row>
                <xdr:rowOff>4</xdr:rowOff>
              </xdr:from>
              <xdr:to>
                <xdr:col>17</xdr:col>
                <xdr:colOff>13</xdr:colOff>
                <xdr:row>16</xdr:row>
                <xdr:rowOff>15</xdr:rowOff>
              </xdr:to>
            </anchor>
          </commentPr>
        </mc:Choice>
        <mc:Fallback/>
      </mc:AlternateContent>
    </comment>
    <comment ref="P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16</xdr:col>
                <xdr:colOff>16</xdr:colOff>
                <xdr:row>12</xdr:row>
                <xdr:rowOff>4</xdr:rowOff>
              </xdr:from>
              <xdr:to>
                <xdr:col>18</xdr:col>
                <xdr:colOff>13</xdr:colOff>
                <xdr:row>16</xdr:row>
                <xdr:rowOff>15</xdr:rowOff>
              </xdr:to>
            </anchor>
          </commentPr>
        </mc:Choice>
        <mc:Fallback/>
      </mc:AlternateContent>
    </comment>
    <comment ref="Q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17</xdr:col>
                <xdr:colOff>16</xdr:colOff>
                <xdr:row>12</xdr:row>
                <xdr:rowOff>4</xdr:rowOff>
              </xdr:from>
              <xdr:to>
                <xdr:col>19</xdr:col>
                <xdr:colOff>13</xdr:colOff>
                <xdr:row>16</xdr:row>
                <xdr:rowOff>15</xdr:rowOff>
              </xdr:to>
            </anchor>
          </commentPr>
        </mc:Choice>
        <mc:Fallback/>
      </mc:AlternateContent>
    </comment>
    <comment ref="R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18</xdr:col>
                <xdr:colOff>16</xdr:colOff>
                <xdr:row>12</xdr:row>
                <xdr:rowOff>4</xdr:rowOff>
              </xdr:from>
              <xdr:to>
                <xdr:col>20</xdr:col>
                <xdr:colOff>13</xdr:colOff>
                <xdr:row>16</xdr:row>
                <xdr:rowOff>15</xdr:rowOff>
              </xdr:to>
            </anchor>
          </commentPr>
        </mc:Choice>
        <mc:Fallback/>
      </mc:AlternateContent>
    </comment>
    <comment ref="S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19</xdr:col>
                <xdr:colOff>16</xdr:colOff>
                <xdr:row>12</xdr:row>
                <xdr:rowOff>4</xdr:rowOff>
              </xdr:from>
              <xdr:to>
                <xdr:col>21</xdr:col>
                <xdr:colOff>13</xdr:colOff>
                <xdr:row>16</xdr:row>
                <xdr:rowOff>15</xdr:rowOff>
              </xdr:to>
            </anchor>
          </commentPr>
        </mc:Choice>
        <mc:Fallback/>
      </mc:AlternateContent>
    </comment>
    <comment ref="T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20</xdr:col>
                <xdr:colOff>16</xdr:colOff>
                <xdr:row>12</xdr:row>
                <xdr:rowOff>4</xdr:rowOff>
              </xdr:from>
              <xdr:to>
                <xdr:col>22</xdr:col>
                <xdr:colOff>13</xdr:colOff>
                <xdr:row>16</xdr:row>
                <xdr:rowOff>15</xdr:rowOff>
              </xdr:to>
            </anchor>
          </commentPr>
        </mc:Choice>
        <mc:Fallback/>
      </mc:AlternateContent>
    </comment>
    <comment ref="U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21</xdr:col>
                <xdr:colOff>16</xdr:colOff>
                <xdr:row>12</xdr:row>
                <xdr:rowOff>4</xdr:rowOff>
              </xdr:from>
              <xdr:to>
                <xdr:col>23</xdr:col>
                <xdr:colOff>13</xdr:colOff>
                <xdr:row>16</xdr:row>
                <xdr:rowOff>15</xdr:rowOff>
              </xdr:to>
            </anchor>
          </commentPr>
        </mc:Choice>
        <mc:Fallback/>
      </mc:AlternateContent>
    </comment>
    <comment ref="V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22</xdr:col>
                <xdr:colOff>16</xdr:colOff>
                <xdr:row>12</xdr:row>
                <xdr:rowOff>4</xdr:rowOff>
              </xdr:from>
              <xdr:to>
                <xdr:col>24</xdr:col>
                <xdr:colOff>13</xdr:colOff>
                <xdr:row>16</xdr:row>
                <xdr:rowOff>15</xdr:rowOff>
              </xdr:to>
            </anchor>
          </commentPr>
        </mc:Choice>
        <mc:Fallback/>
      </mc:AlternateContent>
    </comment>
    <comment ref="W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23</xdr:col>
                <xdr:colOff>16</xdr:colOff>
                <xdr:row>12</xdr:row>
                <xdr:rowOff>4</xdr:rowOff>
              </xdr:from>
              <xdr:to>
                <xdr:col>25</xdr:col>
                <xdr:colOff>13</xdr:colOff>
                <xdr:row>16</xdr:row>
                <xdr:rowOff>15</xdr:rowOff>
              </xdr:to>
            </anchor>
          </commentPr>
        </mc:Choice>
        <mc:Fallback/>
      </mc:AlternateContent>
    </comment>
    <comment ref="X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24</xdr:col>
                <xdr:colOff>16</xdr:colOff>
                <xdr:row>12</xdr:row>
                <xdr:rowOff>4</xdr:rowOff>
              </xdr:from>
              <xdr:to>
                <xdr:col>26</xdr:col>
                <xdr:colOff>13</xdr:colOff>
                <xdr:row>16</xdr:row>
                <xdr:rowOff>15</xdr:rowOff>
              </xdr:to>
            </anchor>
          </commentPr>
        </mc:Choice>
        <mc:Fallback/>
      </mc:AlternateContent>
    </comment>
    <comment ref="Y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25</xdr:col>
                <xdr:colOff>16</xdr:colOff>
                <xdr:row>12</xdr:row>
                <xdr:rowOff>4</xdr:rowOff>
              </xdr:from>
              <xdr:to>
                <xdr:col>27</xdr:col>
                <xdr:colOff>13</xdr:colOff>
                <xdr:row>16</xdr:row>
                <xdr:rowOff>15</xdr:rowOff>
              </xdr:to>
            </anchor>
          </commentPr>
        </mc:Choice>
        <mc:Fallback/>
      </mc:AlternateContent>
    </comment>
    <comment ref="Z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26</xdr:col>
                <xdr:colOff>16</xdr:colOff>
                <xdr:row>12</xdr:row>
                <xdr:rowOff>4</xdr:rowOff>
              </xdr:from>
              <xdr:to>
                <xdr:col>28</xdr:col>
                <xdr:colOff>13</xdr:colOff>
                <xdr:row>16</xdr:row>
                <xdr:rowOff>15</xdr:rowOff>
              </xdr:to>
            </anchor>
          </commentPr>
        </mc:Choice>
        <mc:Fallback/>
      </mc:AlternateContent>
    </comment>
    <comment ref="AA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27</xdr:col>
                <xdr:colOff>16</xdr:colOff>
                <xdr:row>12</xdr:row>
                <xdr:rowOff>4</xdr:rowOff>
              </xdr:from>
              <xdr:to>
                <xdr:col>29</xdr:col>
                <xdr:colOff>13</xdr:colOff>
                <xdr:row>16</xdr:row>
                <xdr:rowOff>15</xdr:rowOff>
              </xdr:to>
            </anchor>
          </commentPr>
        </mc:Choice>
        <mc:Fallback/>
      </mc:AlternateContent>
    </comment>
    <comment ref="AB14" authorId="0">
      <text>
        <r>
          <rPr>
            <b val="true"/>
            <sz val="8"/>
            <color rgb="FF000000"/>
            <rFont val="Tahoma"/>
            <family val="0"/>
          </rPr>
          <t xml:space="preserve">Sheetal J Bajoria x3-5692:
</t>
        </r>
        <r>
          <rPr>
            <sz val="8"/>
            <color rgb="FF000000"/>
            <rFont val="Tahoma"/>
            <family val="0"/>
          </rPr>
          <t xml:space="preserve">changed to add interest incomre</t>
        </r>
      </text>
      <mc:AlternateContent>
        <mc:Choice Requires="v2">
          <commentPr autoFill="true" autoScale="false" colHidden="false" locked="false" rowHidden="false" textHAlign="justify" textVAlign="top">
            <anchor moveWithCells="false" sizeWithCells="false">
              <xdr:from>
                <xdr:col>28</xdr:col>
                <xdr:colOff>16</xdr:colOff>
                <xdr:row>12</xdr:row>
                <xdr:rowOff>4</xdr:rowOff>
              </xdr:from>
              <xdr:to>
                <xdr:col>30</xdr:col>
                <xdr:colOff>13</xdr:colOff>
                <xdr:row>16</xdr:row>
                <xdr:rowOff>15</xdr:rowOff>
              </xdr:to>
            </anchor>
          </commentPr>
        </mc:Choice>
        <mc:Fallback/>
      </mc:AlternateContent>
    </comment>
  </commentList>
</comments>
</file>

<file path=xl/comments1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b val="true"/>
            <sz val="8"/>
            <color rgb="FF000000"/>
            <rFont val="Tahoma"/>
            <family val="0"/>
          </rPr>
          <t xml:space="preserve">Neil S-C; 3/15/99
</t>
        </r>
        <r>
          <rPr>
            <sz val="8"/>
            <color rgb="FF000000"/>
            <rFont val="Tahoma"/>
            <family val="2"/>
          </rPr>
          <t xml:space="preserve">
This includes Capital Stock (Contributed Capital), Paid in Capital, Surplus and Retained Earnings and Loans from affiliates of Shareholders.   Basically everything on the right side of the balance sheet.
</t>
        </r>
      </text>
      <mc:AlternateContent>
        <mc:Choice Requires="v2">
          <commentPr autoFill="true" autoScale="false" colHidden="false" locked="false" rowHidden="false" textHAlign="justify" textVAlign="top">
            <anchor moveWithCells="false" sizeWithCells="false">
              <xdr:from>
                <xdr:col>1</xdr:col>
                <xdr:colOff>16</xdr:colOff>
                <xdr:row>6</xdr:row>
                <xdr:rowOff>5</xdr:rowOff>
              </xdr:from>
              <xdr:to>
                <xdr:col>4</xdr:col>
                <xdr:colOff>7</xdr:colOff>
                <xdr:row>18</xdr:row>
                <xdr:rowOff>4</xdr:rowOff>
              </xdr:to>
            </anchor>
          </commentPr>
        </mc:Choice>
        <mc:Fallback/>
      </mc:AlternateContent>
    </comment>
    <comment ref="A13" authorId="0">
      <text>
        <r>
          <rPr>
            <b val="true"/>
            <sz val="8"/>
            <color rgb="FF000000"/>
            <rFont val="Tahoma"/>
            <family val="0"/>
          </rPr>
          <t xml:space="preserve">Sheetal J Bajoria x3-5692:
</t>
        </r>
        <r>
          <rPr>
            <sz val="8"/>
            <color rgb="FF000000"/>
            <rFont val="Tahoma"/>
            <family val="0"/>
          </rPr>
          <t xml:space="preserve">
CHANGED FROM GROSS RECEIPTS ON TOTAL REVENUE.</t>
        </r>
      </text>
      <mc:AlternateContent>
        <mc:Choice Requires="v2">
          <commentPr autoFill="true" autoScale="false" colHidden="false" locked="false" rowHidden="false" textHAlign="justify" textVAlign="top">
            <anchor moveWithCells="false" sizeWithCells="false">
              <xdr:from>
                <xdr:col>1</xdr:col>
                <xdr:colOff>20</xdr:colOff>
                <xdr:row>12</xdr:row>
                <xdr:rowOff>3</xdr:rowOff>
              </xdr:from>
              <xdr:to>
                <xdr:col>2</xdr:col>
                <xdr:colOff>45</xdr:colOff>
                <xdr:row>17</xdr:row>
                <xdr:rowOff>8</xdr:rowOff>
              </xdr:to>
            </anchor>
          </commentPr>
        </mc:Choice>
        <mc:Fallback/>
      </mc:AlternateContent>
    </comment>
  </commentList>
</comments>
</file>

<file path=xl/comments1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34" authorId="0">
      <text>
        <r>
          <rPr>
            <b val="true"/>
            <sz val="8"/>
            <color rgb="FF000000"/>
            <rFont val="Tahoma"/>
            <family val="0"/>
          </rPr>
          <t xml:space="preserve">bgarret:
</t>
        </r>
        <r>
          <rPr>
            <sz val="8"/>
            <color rgb="FF000000"/>
            <rFont val="Tahoma"/>
            <family val="0"/>
          </rPr>
          <t xml:space="preserve">should vary with term of debt.
</t>
        </r>
      </text>
      <mc:AlternateContent>
        <mc:Choice Requires="v2">
          <commentPr autoFill="true" autoScale="false" colHidden="false" locked="false" rowHidden="false" textHAlign="justify" textVAlign="top">
            <anchor moveWithCells="false" sizeWithCells="false">
              <xdr:from>
                <xdr:col>1</xdr:col>
                <xdr:colOff>62</xdr:colOff>
                <xdr:row>32</xdr:row>
                <xdr:rowOff>5</xdr:rowOff>
              </xdr:from>
              <xdr:to>
                <xdr:col>3</xdr:col>
                <xdr:colOff>22</xdr:colOff>
                <xdr:row>36</xdr:row>
                <xdr:rowOff>15</xdr:rowOff>
              </xdr:to>
            </anchor>
          </commentPr>
        </mc:Choice>
        <mc:Fallback/>
      </mc:AlternateContent>
    </comment>
  </commentList>
</comments>
</file>

<file path=xl/comments15.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2" authorId="0">
      <text>
        <r>
          <rPr>
            <b val="true"/>
            <sz val="8"/>
            <color rgb="FF000000"/>
            <rFont val="Tahoma"/>
            <family val="0"/>
          </rPr>
          <t xml:space="preserve">Estimated Maintenance Cost:
</t>
        </r>
        <r>
          <rPr>
            <sz val="8"/>
            <color rgb="FF000000"/>
            <rFont val="Tahoma"/>
            <family val="2"/>
          </rPr>
          <t xml:space="preserve">
This comes directly from the vender recommended repair and replace schedules provided by the OEC</t>
        </r>
      </text>
      <mc:AlternateContent>
        <mc:Choice Requires="v2">
          <commentPr autoFill="true" autoScale="false" colHidden="false" locked="false" rowHidden="false" textHAlign="justify" textVAlign="top">
            <anchor moveWithCells="false" sizeWithCells="false">
              <xdr:from>
                <xdr:col>1</xdr:col>
                <xdr:colOff>16</xdr:colOff>
                <xdr:row>10</xdr:row>
                <xdr:rowOff>5</xdr:rowOff>
              </xdr:from>
              <xdr:to>
                <xdr:col>3</xdr:col>
                <xdr:colOff>37</xdr:colOff>
                <xdr:row>16</xdr:row>
                <xdr:rowOff>6</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4" authorId="0">
      <text>
        <r>
          <rPr>
            <b val="true"/>
            <sz val="8"/>
            <color rgb="FF000000"/>
            <rFont val="Tahoma"/>
            <family val="0"/>
          </rPr>
          <t xml:space="preserve">Uses of Funds:
</t>
        </r>
        <r>
          <rPr>
            <sz val="8"/>
            <color rgb="FF000000"/>
            <rFont val="Tahoma"/>
            <family val="2"/>
          </rPr>
          <t xml:space="preserve">
All cost figures come from the Control Budget put together by the Accounting Dept.</t>
        </r>
      </text>
      <mc:AlternateContent>
        <mc:Choice Requires="v2">
          <commentPr autoFill="true" autoScale="false" colHidden="false" locked="false" rowHidden="false" textHAlign="justify" textVAlign="top">
            <anchor moveWithCells="false" sizeWithCells="false">
              <xdr:from>
                <xdr:col>1</xdr:col>
                <xdr:colOff>16</xdr:colOff>
                <xdr:row>12</xdr:row>
                <xdr:rowOff>11</xdr:rowOff>
              </xdr:from>
              <xdr:to>
                <xdr:col>3</xdr:col>
                <xdr:colOff>1</xdr:colOff>
                <xdr:row>15</xdr:row>
                <xdr:rowOff>11</xdr:rowOff>
              </xdr:to>
            </anchor>
          </commentPr>
        </mc:Choice>
        <mc:Fallback/>
      </mc:AlternateContent>
    </comment>
    <comment ref="B54" authorId="0">
      <text>
        <r>
          <rPr>
            <b val="true"/>
            <sz val="8"/>
            <color rgb="FF000000"/>
            <rFont val="Tahoma"/>
            <family val="0"/>
          </rPr>
          <t xml:space="preserve">IDC Rate:
Neil S-C: 2/16/99
</t>
        </r>
        <r>
          <rPr>
            <sz val="8"/>
            <color rgb="FF000000"/>
            <rFont val="Tahoma"/>
            <family val="2"/>
          </rPr>
          <t xml:space="preserve">
Enron Capital &amp; Trade Resources confirmation memo to Rodney Malcom for Swap Transaction Deal No. M140023</t>
        </r>
      </text>
      <mc:AlternateContent>
        <mc:Choice Requires="v2">
          <commentPr autoFill="true" autoScale="false" colHidden="false" locked="false" rowHidden="false" textHAlign="justify" textVAlign="top">
            <anchor moveWithCells="false" sizeWithCells="false">
              <xdr:from>
                <xdr:col>2</xdr:col>
                <xdr:colOff>9</xdr:colOff>
                <xdr:row>50</xdr:row>
                <xdr:rowOff>6</xdr:rowOff>
              </xdr:from>
              <xdr:to>
                <xdr:col>4</xdr:col>
                <xdr:colOff>22</xdr:colOff>
                <xdr:row>54</xdr:row>
                <xdr:rowOff>6</xdr:rowOff>
              </xdr:to>
            </anchor>
          </commentPr>
        </mc:Choice>
        <mc:Fallback/>
      </mc:AlternateContent>
    </comment>
    <comment ref="C16" authorId="0">
      <text>
        <r>
          <rPr>
            <b val="true"/>
            <sz val="8"/>
            <color rgb="FF000000"/>
            <rFont val="Tahoma"/>
            <family val="0"/>
          </rPr>
          <t xml:space="preserve">Turbines:
</t>
        </r>
        <r>
          <rPr>
            <sz val="8"/>
            <color rgb="FF000000"/>
            <rFont val="Tahoma"/>
            <family val="2"/>
          </rPr>
          <t xml:space="preserve">
This is the 501FD and the 501F which are broken out in the Control Budget.</t>
        </r>
      </text>
      <mc:AlternateContent>
        <mc:Choice Requires="v2">
          <commentPr autoFill="true" autoScale="false" colHidden="false" locked="false" rowHidden="false" textHAlign="justify" textVAlign="top">
            <anchor moveWithCells="false" sizeWithCells="false">
              <xdr:from>
                <xdr:col>3</xdr:col>
                <xdr:colOff>16</xdr:colOff>
                <xdr:row>14</xdr:row>
                <xdr:rowOff>11</xdr:rowOff>
              </xdr:from>
              <xdr:to>
                <xdr:col>4</xdr:col>
                <xdr:colOff>107</xdr:colOff>
                <xdr:row>18</xdr:row>
                <xdr:rowOff>15</xdr:rowOff>
              </xdr:to>
            </anchor>
          </commentPr>
        </mc:Choice>
        <mc:Fallback/>
      </mc:AlternateContent>
    </comment>
    <comment ref="C29" authorId="0">
      <text>
        <r>
          <rPr>
            <b val="true"/>
            <sz val="8"/>
            <color rgb="FF000000"/>
            <rFont val="Tahoma"/>
            <family val="2"/>
          </rPr>
          <t xml:space="preserve">SALES OF USE TAX ON EQUIPMENT
</t>
        </r>
        <r>
          <rPr>
            <sz val="8"/>
            <color rgb="FF000000"/>
            <rFont val="Tahoma"/>
            <family val="2"/>
          </rPr>
          <t xml:space="preserve">
</t>
        </r>
        <r>
          <rPr>
            <b val="true"/>
            <sz val="8"/>
            <color rgb="FF000000"/>
            <rFont val="Tahoma"/>
            <family val="2"/>
          </rPr>
          <t xml:space="preserve">Neil S-C; 3/31/99
</t>
        </r>
        <r>
          <rPr>
            <sz val="8"/>
            <color rgb="FF000000"/>
            <rFont val="Tahoma"/>
            <family val="2"/>
          </rPr>
          <t xml:space="preserve">The rate is 6% on all construction and non-manufacturing equipment.  The worst case expected by Tom Huntington is on Total Hard Costs less the Turbines, $5.8M for the transformers and the Spare Parts.  Verified with the Control Budget Version #2
Sheetal J Bajoria x3-5692: Jan 29,99
Verified as per Capital Control Budget from Tammy Sheppard, Revision#11: 13,896
</t>
        </r>
      </text>
      <mc:AlternateContent>
        <mc:Choice Requires="v2">
          <commentPr autoFill="true" autoScale="false" colHidden="false" locked="false" rowHidden="false" textHAlign="justify" textVAlign="top">
            <anchor moveWithCells="false" sizeWithCells="false">
              <xdr:from>
                <xdr:col>3</xdr:col>
                <xdr:colOff>6</xdr:colOff>
                <xdr:row>20</xdr:row>
                <xdr:rowOff>8</xdr:rowOff>
              </xdr:from>
              <xdr:to>
                <xdr:col>7</xdr:col>
                <xdr:colOff>17</xdr:colOff>
                <xdr:row>28</xdr:row>
                <xdr:rowOff>5</xdr:rowOff>
              </xdr:to>
            </anchor>
          </commentPr>
        </mc:Choice>
        <mc:Fallback/>
      </mc:AlternateContent>
    </comment>
    <comment ref="C41" authorId="0">
      <text>
        <r>
          <rPr>
            <b val="true"/>
            <sz val="8"/>
            <color rgb="FF000000"/>
            <rFont val="Tahoma"/>
            <family val="0"/>
          </rPr>
          <t xml:space="preserve">Gleason/Weakly Costs:
These costs are not Capitalized as the are expensed.  I am showing this expense in the 1st year.
</t>
        </r>
      </text>
      <mc:AlternateContent>
        <mc:Choice Requires="v2">
          <commentPr autoFill="true" autoScale="false" colHidden="false" locked="false" rowHidden="false" textHAlign="justify" textVAlign="top">
            <anchor moveWithCells="false" sizeWithCells="false">
              <xdr:from>
                <xdr:col>3</xdr:col>
                <xdr:colOff>16</xdr:colOff>
                <xdr:row>39</xdr:row>
                <xdr:rowOff>6</xdr:rowOff>
              </xdr:from>
              <xdr:to>
                <xdr:col>4</xdr:col>
                <xdr:colOff>107</xdr:colOff>
                <xdr:row>43</xdr:row>
                <xdr:rowOff>10</xdr:rowOff>
              </xdr:to>
            </anchor>
          </commentPr>
        </mc:Choice>
        <mc:Fallback/>
      </mc:AlternateContent>
    </comment>
    <comment ref="C42" authorId="0">
      <text>
        <r>
          <rPr>
            <b val="true"/>
            <sz val="8"/>
            <color rgb="FF000000"/>
            <rFont val="Tahoma"/>
            <family val="0"/>
          </rPr>
          <t xml:space="preserve">Gleason/Weakly Costs:
These costs are not Capitalized as the are expensed.  I am showing this expense in the 1st year.
</t>
        </r>
      </text>
      <mc:AlternateContent>
        <mc:Choice Requires="v2">
          <commentPr autoFill="true" autoScale="false" colHidden="false" locked="false" rowHidden="false" textHAlign="justify" textVAlign="top">
            <anchor moveWithCells="false" sizeWithCells="false">
              <xdr:from>
                <xdr:col>3</xdr:col>
                <xdr:colOff>16</xdr:colOff>
                <xdr:row>40</xdr:row>
                <xdr:rowOff>6</xdr:rowOff>
              </xdr:from>
              <xdr:to>
                <xdr:col>4</xdr:col>
                <xdr:colOff>107</xdr:colOff>
                <xdr:row>43</xdr:row>
                <xdr:rowOff>26</xdr:rowOff>
              </xdr:to>
            </anchor>
          </commentPr>
        </mc:Choice>
        <mc:Fallback/>
      </mc:AlternateContent>
    </comment>
    <comment ref="C54" authorId="0">
      <text>
        <r>
          <rPr>
            <b val="true"/>
            <sz val="8"/>
            <color rgb="FF000000"/>
            <rFont val="Tahoma"/>
            <family val="0"/>
          </rPr>
          <t xml:space="preserve">IDC:
</t>
        </r>
        <r>
          <rPr>
            <sz val="8"/>
            <color rgb="FF000000"/>
            <rFont val="Tahoma"/>
            <family val="2"/>
          </rPr>
          <t xml:space="preserve">
The IDC is not calculated in this model.  The model has the funcionality but see the Control Budget.  This includes; Interest SWAP, IDC, and the Commitment Fee.</t>
        </r>
      </text>
      <mc:AlternateContent>
        <mc:Choice Requires="v2">
          <commentPr autoFill="true" autoScale="false" colHidden="false" locked="false" rowHidden="false" textHAlign="justify" textVAlign="top">
            <anchor moveWithCells="false" sizeWithCells="false">
              <xdr:from>
                <xdr:col>3</xdr:col>
                <xdr:colOff>16</xdr:colOff>
                <xdr:row>49</xdr:row>
                <xdr:rowOff>13</xdr:rowOff>
              </xdr:from>
              <xdr:to>
                <xdr:col>6</xdr:col>
                <xdr:colOff>12</xdr:colOff>
                <xdr:row>56</xdr:row>
                <xdr:rowOff>9</xdr:rowOff>
              </xdr:to>
            </anchor>
          </commentPr>
        </mc:Choice>
        <mc:Fallback/>
      </mc:AlternateContent>
    </comment>
    <comment ref="C61" authorId="0">
      <text>
        <r>
          <rPr>
            <b val="true"/>
            <sz val="8"/>
            <color rgb="FF000000"/>
            <rFont val="Tahoma"/>
            <family val="0"/>
          </rPr>
          <t xml:space="preserve">Total Uses:
</t>
        </r>
        <r>
          <rPr>
            <sz val="8"/>
            <color rgb="FF000000"/>
            <rFont val="Tahoma"/>
            <family val="2"/>
          </rPr>
          <t xml:space="preserve">
This should tie out to the latest weekly Control Budget.</t>
        </r>
      </text>
      <mc:AlternateContent>
        <mc:Choice Requires="v2">
          <commentPr autoFill="true" autoScale="false" colHidden="false" locked="false" rowHidden="false" textHAlign="justify" textVAlign="top">
            <anchor moveWithCells="false" sizeWithCells="false">
              <xdr:from>
                <xdr:col>3</xdr:col>
                <xdr:colOff>16</xdr:colOff>
                <xdr:row>59</xdr:row>
                <xdr:rowOff>6</xdr:rowOff>
              </xdr:from>
              <xdr:to>
                <xdr:col>4</xdr:col>
                <xdr:colOff>107</xdr:colOff>
                <xdr:row>63</xdr:row>
                <xdr:rowOff>5</xdr:rowOff>
              </xdr:to>
            </anchor>
          </commentPr>
        </mc:Choice>
        <mc:Fallback/>
      </mc:AlternateContent>
    </comment>
    <comment ref="F38" authorId="0">
      <text>
        <r>
          <rPr>
            <b val="true"/>
            <sz val="8"/>
            <color rgb="FF000000"/>
            <rFont val="Tahoma"/>
            <family val="0"/>
          </rPr>
          <t xml:space="preserve">Tranche A:
</t>
        </r>
        <r>
          <rPr>
            <sz val="8"/>
            <color rgb="FF000000"/>
            <rFont val="Tahoma"/>
            <family val="2"/>
          </rPr>
          <t xml:space="preserve">
Used only for the Alternative Structure and is 16.2% of total debt based on the portfolio bond indenture.</t>
        </r>
      </text>
      <mc:AlternateContent>
        <mc:Choice Requires="v2">
          <commentPr autoFill="true" autoScale="false" colHidden="false" locked="false" rowHidden="false" textHAlign="justify" textVAlign="top">
            <anchor moveWithCells="false" sizeWithCells="false">
              <xdr:from>
                <xdr:col>6</xdr:col>
                <xdr:colOff>16</xdr:colOff>
                <xdr:row>36</xdr:row>
                <xdr:rowOff>9</xdr:rowOff>
              </xdr:from>
              <xdr:to>
                <xdr:col>7</xdr:col>
                <xdr:colOff>63</xdr:colOff>
                <xdr:row>40</xdr:row>
                <xdr:rowOff>15</xdr:rowOff>
              </xdr:to>
            </anchor>
          </commentPr>
        </mc:Choice>
        <mc:Fallback/>
      </mc:AlternateContent>
    </comment>
    <comment ref="G14" authorId="0">
      <text>
        <r>
          <rPr>
            <b val="true"/>
            <sz val="8"/>
            <color rgb="FF000000"/>
            <rFont val="Tahoma"/>
            <family val="0"/>
          </rPr>
          <t xml:space="preserve">ANNUAL PEAK OPERATING HOURS
Sheetal J Bajoria x3-5692:
</t>
        </r>
        <r>
          <rPr>
            <sz val="8"/>
            <color rgb="FF000000"/>
            <rFont val="Tahoma"/>
            <family val="0"/>
          </rPr>
          <t xml:space="preserve">Based on document EE&amp;CC, Mike Nanny 12/22/98.  PROBABLY WILL BE MUCH LOWER THAN THIS. PROBABLY IN RANGE OF 750-1200. Unless the permits are changed.
Does not affect NPV
</t>
        </r>
        <r>
          <rPr>
            <b val="true"/>
            <sz val="8"/>
            <color rgb="FF000000"/>
            <rFont val="Tahoma"/>
            <family val="2"/>
          </rPr>
          <t xml:space="preserve">B.Rogers:</t>
        </r>
        <r>
          <rPr>
            <sz val="8"/>
            <color rgb="FF000000"/>
            <rFont val="Tahoma"/>
            <family val="0"/>
          </rPr>
          <t xml:space="preserve"> Changed to 1200 Hrs. per Doug Sewel and Kevin Presto request</t>
        </r>
      </text>
      <mc:AlternateContent>
        <mc:Choice Requires="v2">
          <commentPr autoFill="true" autoScale="false" colHidden="false" locked="false" rowHidden="false" textHAlign="justify" textVAlign="top">
            <anchor moveWithCells="false" sizeWithCells="false">
              <xdr:from>
                <xdr:col>7</xdr:col>
                <xdr:colOff>67</xdr:colOff>
                <xdr:row>11</xdr:row>
                <xdr:rowOff>13</xdr:rowOff>
              </xdr:from>
              <xdr:to>
                <xdr:col>10</xdr:col>
                <xdr:colOff>68</xdr:colOff>
                <xdr:row>19</xdr:row>
                <xdr:rowOff>9</xdr:rowOff>
              </xdr:to>
            </anchor>
          </commentPr>
        </mc:Choice>
        <mc:Fallback/>
      </mc:AlternateContent>
    </comment>
    <comment ref="G38" authorId="0">
      <text>
        <r>
          <rPr>
            <b val="true"/>
            <sz val="8"/>
            <color rgb="FF000000"/>
            <rFont val="Tahoma"/>
            <family val="0"/>
          </rPr>
          <t xml:space="preserve">Tranche B:
</t>
        </r>
        <r>
          <rPr>
            <sz val="8"/>
            <color rgb="FF000000"/>
            <rFont val="Tahoma"/>
            <family val="2"/>
          </rPr>
          <t xml:space="preserve">
Used only for the Alternative Debt and is 30% of cost based on the portfolio structure in the consolidated model.</t>
        </r>
      </text>
      <mc:AlternateContent>
        <mc:Choice Requires="v2">
          <commentPr autoFill="true" autoScale="false" colHidden="false" locked="false" rowHidden="false" textHAlign="justify" textVAlign="top">
            <anchor moveWithCells="false" sizeWithCells="false">
              <xdr:from>
                <xdr:col>7</xdr:col>
                <xdr:colOff>16</xdr:colOff>
                <xdr:row>36</xdr:row>
                <xdr:rowOff>9</xdr:rowOff>
              </xdr:from>
              <xdr:to>
                <xdr:col>8</xdr:col>
                <xdr:colOff>59</xdr:colOff>
                <xdr:row>40</xdr:row>
                <xdr:rowOff>15</xdr:rowOff>
              </xdr:to>
            </anchor>
          </commentPr>
        </mc:Choice>
        <mc:Fallback/>
      </mc:AlternateContent>
    </comment>
    <comment ref="H7" authorId="0">
      <text>
        <r>
          <rPr>
            <b val="true"/>
            <u val="single"/>
            <sz val="8"/>
            <color rgb="FF000000"/>
            <rFont val="Tahoma"/>
            <family val="2"/>
          </rPr>
          <t xml:space="preserve">TYPE OF TURBINE
</t>
        </r>
        <r>
          <rPr>
            <sz val="8"/>
            <color rgb="FF000000"/>
            <rFont val="Tahoma"/>
            <family val="2"/>
          </rPr>
          <t xml:space="preserve">Sheetal: feb 2, changed to GT 501 D5A and D5
</t>
        </r>
        <r>
          <rPr>
            <b val="true"/>
            <sz val="8"/>
            <color rgb="FF000000"/>
            <rFont val="Tahoma"/>
            <family val="0"/>
          </rPr>
          <t xml:space="preserve">
Bryan Garrett:
</t>
        </r>
        <r>
          <rPr>
            <sz val="8"/>
            <color rgb="FF000000"/>
            <rFont val="Tahoma"/>
            <family val="0"/>
          </rPr>
          <t xml:space="preserve">These are the machines that were previously slated for installation at the Fulton site.</t>
        </r>
      </text>
      <mc:AlternateContent>
        <mc:Choice Requires="v2">
          <commentPr autoFill="true" autoScale="false" colHidden="false" locked="false" rowHidden="false" textHAlign="justify" textVAlign="top">
            <anchor moveWithCells="false" sizeWithCells="false">
              <xdr:from>
                <xdr:col>8</xdr:col>
                <xdr:colOff>24</xdr:colOff>
                <xdr:row>5</xdr:row>
                <xdr:rowOff>3</xdr:rowOff>
              </xdr:from>
              <xdr:to>
                <xdr:col>10</xdr:col>
                <xdr:colOff>63</xdr:colOff>
                <xdr:row>12</xdr:row>
                <xdr:rowOff>21</xdr:rowOff>
              </xdr:to>
            </anchor>
          </commentPr>
        </mc:Choice>
        <mc:Fallback/>
      </mc:AlternateContent>
    </comment>
    <comment ref="H38" authorId="0">
      <text>
        <r>
          <rPr>
            <b val="true"/>
            <sz val="8"/>
            <color rgb="FF000000"/>
            <rFont val="Tahoma"/>
            <family val="0"/>
          </rPr>
          <t xml:space="preserve">Tranche C:
</t>
        </r>
        <r>
          <rPr>
            <sz val="8"/>
            <color rgb="FF000000"/>
            <rFont val="Tahoma"/>
            <family val="2"/>
          </rPr>
          <t xml:space="preserve">
Used only for the Alternative Structure and assumes 54.2% of total debt based on portfolio.  See consolidated model.</t>
        </r>
      </text>
      <mc:AlternateContent>
        <mc:Choice Requires="v2">
          <commentPr autoFill="true" autoScale="false" colHidden="false" locked="false" rowHidden="false" textHAlign="justify" textVAlign="top">
            <anchor moveWithCells="false" sizeWithCells="false">
              <xdr:from>
                <xdr:col>8</xdr:col>
                <xdr:colOff>16</xdr:colOff>
                <xdr:row>36</xdr:row>
                <xdr:rowOff>9</xdr:rowOff>
              </xdr:from>
              <xdr:to>
                <xdr:col>10</xdr:col>
                <xdr:colOff>22</xdr:colOff>
                <xdr:row>40</xdr:row>
                <xdr:rowOff>15</xdr:rowOff>
              </xdr:to>
            </anchor>
          </commentPr>
        </mc:Choice>
        <mc:Fallback/>
      </mc:AlternateContent>
    </comment>
    <comment ref="I7" authorId="0">
      <text>
        <r>
          <rPr>
            <b val="true"/>
            <u val="single"/>
            <sz val="8"/>
            <color rgb="FF000000"/>
            <rFont val="Tahoma"/>
            <family val="2"/>
          </rPr>
          <t xml:space="preserve">TYPE OF TURBINE
</t>
        </r>
        <r>
          <rPr>
            <sz val="8"/>
            <color rgb="FF000000"/>
            <rFont val="Tahoma"/>
            <family val="2"/>
          </rPr>
          <t xml:space="preserve">Sheetal: feb 2, changed to GT 501 D5A and D5
</t>
        </r>
        <r>
          <rPr>
            <b val="true"/>
            <sz val="8"/>
            <color rgb="FF000000"/>
            <rFont val="Tahoma"/>
            <family val="0"/>
          </rPr>
          <t xml:space="preserve">
Bryan Garrett:
</t>
        </r>
        <r>
          <rPr>
            <sz val="8"/>
            <color rgb="FF000000"/>
            <rFont val="Tahoma"/>
            <family val="0"/>
          </rPr>
          <t xml:space="preserve">These are the machines that were previously slated for installation at the Fulton site.</t>
        </r>
      </text>
      <mc:AlternateContent>
        <mc:Choice Requires="v2">
          <commentPr autoFill="true" autoScale="false" colHidden="false" locked="false" rowHidden="false" textHAlign="justify" textVAlign="top">
            <anchor moveWithCells="false" sizeWithCells="false">
              <xdr:from>
                <xdr:col>9</xdr:col>
                <xdr:colOff>0</xdr:colOff>
                <xdr:row>6</xdr:row>
                <xdr:rowOff>6</xdr:rowOff>
              </xdr:from>
              <xdr:to>
                <xdr:col>10</xdr:col>
                <xdr:colOff>123</xdr:colOff>
                <xdr:row>13</xdr:row>
                <xdr:rowOff>20</xdr:rowOff>
              </xdr:to>
            </anchor>
          </commentPr>
        </mc:Choice>
        <mc:Fallback/>
      </mc:AlternateContent>
    </comment>
    <comment ref="I10" authorId="0">
      <text>
        <r>
          <rPr>
            <b val="true"/>
            <sz val="10"/>
            <color rgb="FF000000"/>
            <rFont val="Tahoma"/>
            <family val="2"/>
          </rPr>
          <t xml:space="preserve">NET MW:
Neil S-C, 3/1/99
</t>
        </r>
        <r>
          <rPr>
            <sz val="10"/>
            <color rgb="FF000000"/>
            <rFont val="Tahoma"/>
            <family val="2"/>
          </rPr>
          <t xml:space="preserve">
Tom Huntington has confirmed that the site MW are between 500 and 510.  See memo in Specs section of binder
</t>
        </r>
        <r>
          <rPr>
            <b val="true"/>
            <sz val="10"/>
            <color rgb="FF000000"/>
            <rFont val="Tahoma"/>
            <family val="2"/>
          </rPr>
          <t xml:space="preserve">
Neil S-C, 2/21/99
</t>
        </r>
        <r>
          <rPr>
            <sz val="10"/>
            <color rgb="FF000000"/>
            <rFont val="Tahoma"/>
            <family val="2"/>
          </rPr>
          <t xml:space="preserve">This was 509 and Rodney related that it is really 480 MW Site
</t>
        </r>
      </text>
      <mc:AlternateContent>
        <mc:Choice Requires="v2">
          <commentPr autoFill="true" autoScale="false" colHidden="false" locked="false" rowHidden="false" textHAlign="justify" textVAlign="top">
            <anchor moveWithCells="false" sizeWithCells="false">
              <xdr:from>
                <xdr:col>9</xdr:col>
                <xdr:colOff>24</xdr:colOff>
                <xdr:row>3</xdr:row>
                <xdr:rowOff>13</xdr:rowOff>
              </xdr:from>
              <xdr:to>
                <xdr:col>11</xdr:col>
                <xdr:colOff>52</xdr:colOff>
                <xdr:row>19</xdr:row>
                <xdr:rowOff>20</xdr:rowOff>
              </xdr:to>
            </anchor>
          </commentPr>
        </mc:Choice>
        <mc:Fallback/>
      </mc:AlternateContent>
    </comment>
    <comment ref="I12" authorId="0">
      <text>
        <r>
          <rPr>
            <b val="true"/>
            <sz val="10"/>
            <color rgb="FF000000"/>
            <rFont val="Tahoma"/>
            <family val="2"/>
          </rPr>
          <t xml:space="preserve">HEAT RATE
Sheetal J Bajoria x3-5692 Feb 2, 99:
</t>
        </r>
        <r>
          <rPr>
            <sz val="10"/>
            <color rgb="FF000000"/>
            <rFont val="Tahoma"/>
            <family val="2"/>
          </rPr>
          <t xml:space="preserve">changed from 11,461 to 11,344 wrt to document from Azim Javin (EE&amp;CC) dated 2/1/99. 11,344 represents the Net Heat Rate, Btu/kWh HHV at a 90 degree ambient temperature.
</t>
        </r>
      </text>
      <mc:AlternateContent>
        <mc:Choice Requires="v2">
          <commentPr autoFill="true" autoScale="false" colHidden="false" locked="false" rowHidden="false" textHAlign="justify" textVAlign="top">
            <anchor moveWithCells="false" sizeWithCells="false">
              <xdr:from>
                <xdr:col>9</xdr:col>
                <xdr:colOff>24</xdr:colOff>
                <xdr:row>8</xdr:row>
                <xdr:rowOff>0</xdr:rowOff>
              </xdr:from>
              <xdr:to>
                <xdr:col>13</xdr:col>
                <xdr:colOff>17</xdr:colOff>
                <xdr:row>15</xdr:row>
                <xdr:rowOff>13</xdr:rowOff>
              </xdr:to>
            </anchor>
          </commentPr>
        </mc:Choice>
        <mc:Fallback/>
      </mc:AlternateContent>
    </comment>
    <comment ref="I28" authorId="0">
      <text>
        <r>
          <rPr>
            <b val="true"/>
            <sz val="8"/>
            <color rgb="FF000000"/>
            <rFont val="Tahoma"/>
            <family val="0"/>
          </rPr>
          <t xml:space="preserve">2/10/99
Sheetal J Bajoria x3-5692:
</t>
        </r>
      </text>
      <mc:AlternateContent>
        <mc:Choice Requires="v2">
          <commentPr autoFill="true" autoScale="false" colHidden="false" locked="false" rowHidden="false" textHAlign="justify" textVAlign="top">
            <anchor moveWithCells="false" sizeWithCells="false">
              <xdr:from>
                <xdr:col>8</xdr:col>
                <xdr:colOff>10</xdr:colOff>
                <xdr:row>24</xdr:row>
                <xdr:rowOff>18</xdr:rowOff>
              </xdr:from>
              <xdr:to>
                <xdr:col>10</xdr:col>
                <xdr:colOff>16</xdr:colOff>
                <xdr:row>29</xdr:row>
                <xdr:rowOff>3</xdr:rowOff>
              </xdr:to>
            </anchor>
          </commentPr>
        </mc:Choice>
        <mc:Fallback/>
      </mc:AlternateContent>
    </comment>
    <comment ref="I34" authorId="0">
      <text>
        <r>
          <rPr>
            <b val="true"/>
            <sz val="8"/>
            <color rgb="FF000000"/>
            <rFont val="Tahoma"/>
            <family val="0"/>
          </rPr>
          <t xml:space="preserve">Debt Structure:
</t>
        </r>
        <r>
          <rPr>
            <sz val="8"/>
            <color rgb="FF000000"/>
            <rFont val="Tahoma"/>
            <family val="2"/>
          </rPr>
          <t xml:space="preserve">
The Alternate Structure follows the CSFB bond offering and the Normal Structure is driven off of the coverage ratios.</t>
        </r>
      </text>
      <mc:AlternateContent>
        <mc:Choice Requires="v2">
          <commentPr autoFill="true" autoScale="false" colHidden="false" locked="false" rowHidden="false" textHAlign="justify" textVAlign="top">
            <anchor moveWithCells="false" sizeWithCells="false">
              <xdr:from>
                <xdr:col>9</xdr:col>
                <xdr:colOff>16</xdr:colOff>
                <xdr:row>32</xdr:row>
                <xdr:rowOff>11</xdr:rowOff>
              </xdr:from>
              <xdr:to>
                <xdr:col>10</xdr:col>
                <xdr:colOff>104</xdr:colOff>
                <xdr:row>36</xdr:row>
                <xdr:rowOff>15</xdr:rowOff>
              </xdr:to>
            </anchor>
          </commentPr>
        </mc:Choice>
        <mc:Fallback/>
      </mc:AlternateContent>
    </comment>
    <comment ref="I38" authorId="0">
      <text>
        <r>
          <rPr>
            <b val="true"/>
            <sz val="8"/>
            <color rgb="FF000000"/>
            <rFont val="Tahoma"/>
            <family val="0"/>
          </rPr>
          <t xml:space="preserve">Debt:
</t>
        </r>
        <r>
          <rPr>
            <sz val="8"/>
            <color rgb="FF000000"/>
            <rFont val="Tahoma"/>
            <family val="2"/>
          </rPr>
          <t xml:space="preserve">
Back into 75% leverage to stay consistent with the CSFB terms and the consolidated model.</t>
        </r>
      </text>
      <mc:AlternateContent>
        <mc:Choice Requires="v2">
          <commentPr autoFill="true" autoScale="false" colHidden="false" locked="false" rowHidden="false" textHAlign="justify" textVAlign="top">
            <anchor moveWithCells="false" sizeWithCells="false">
              <xdr:from>
                <xdr:col>9</xdr:col>
                <xdr:colOff>16</xdr:colOff>
                <xdr:row>36</xdr:row>
                <xdr:rowOff>9</xdr:rowOff>
              </xdr:from>
              <xdr:to>
                <xdr:col>10</xdr:col>
                <xdr:colOff>104</xdr:colOff>
                <xdr:row>40</xdr:row>
                <xdr:rowOff>15</xdr:rowOff>
              </xdr:to>
            </anchor>
          </commentPr>
        </mc:Choice>
        <mc:Fallback/>
      </mc:AlternateContent>
    </comment>
    <comment ref="L7" authorId="0">
      <text>
        <r>
          <rPr>
            <b val="true"/>
            <sz val="8"/>
            <color rgb="FF000000"/>
            <rFont val="Tahoma"/>
            <family val="0"/>
          </rPr>
          <t xml:space="preserve">Variable O&amp;M Hours
Neil S-C: 2/16/99
</t>
        </r>
        <r>
          <rPr>
            <sz val="8"/>
            <color rgb="FF000000"/>
            <rFont val="Tahoma"/>
            <family val="2"/>
          </rPr>
          <t xml:space="preserve">I have left 1200 here as the estimates were done on this run time.  Rodney had asked why this was different than the Operating Hours., which the expense calc's are based on.</t>
        </r>
      </text>
      <mc:AlternateContent>
        <mc:Choice Requires="v2">
          <commentPr autoFill="true" autoScale="false" colHidden="false" locked="false" rowHidden="false" textHAlign="justify" textVAlign="top">
            <anchor moveWithCells="false" sizeWithCells="false">
              <xdr:from>
                <xdr:col>11</xdr:col>
                <xdr:colOff>59</xdr:colOff>
                <xdr:row>5</xdr:row>
                <xdr:rowOff>9</xdr:rowOff>
              </xdr:from>
              <xdr:to>
                <xdr:col>15</xdr:col>
                <xdr:colOff>1</xdr:colOff>
                <xdr:row>9</xdr:row>
                <xdr:rowOff>19</xdr:rowOff>
              </xdr:to>
            </anchor>
          </commentPr>
        </mc:Choice>
        <mc:Fallback/>
      </mc:AlternateContent>
    </comment>
    <comment ref="L8" authorId="0">
      <text>
        <r>
          <rPr>
            <b val="true"/>
            <sz val="8"/>
            <color rgb="FF000000"/>
            <rFont val="Tahoma"/>
            <family val="0"/>
          </rPr>
          <t xml:space="preserve">WATER VARIABLE O&amp;M
Neil S-C, 3/1/99
</t>
        </r>
        <r>
          <rPr>
            <sz val="8"/>
            <color rgb="FF000000"/>
            <rFont val="Tahoma"/>
            <family val="2"/>
          </rPr>
          <t xml:space="preserve">David Ehler sent out this correction in early Feb.  I received it this morning
</t>
        </r>
        <r>
          <rPr>
            <b val="true"/>
            <sz val="8"/>
            <color rgb="FF000000"/>
            <rFont val="Tahoma"/>
            <family val="0"/>
          </rPr>
          <t xml:space="preserve">
Sheetal J Bajoria x3-5692, 1/27/99:
</t>
        </r>
        <r>
          <rPr>
            <sz val="8"/>
            <color rgb="FF000000"/>
            <rFont val="Tahoma"/>
            <family val="2"/>
          </rPr>
          <t xml:space="preserve">SE Peaking power projects, O&amp;M Estimates, D Ehler,  B Scmitt, dated 1/22/99: -Confirmed 746. Rewired to be truly variable with hours and MW</t>
        </r>
      </text>
      <mc:AlternateContent>
        <mc:Choice Requires="v2">
          <commentPr autoFill="true" autoScale="false" colHidden="false" locked="false" rowHidden="false" textHAlign="justify" textVAlign="top">
            <anchor moveWithCells="false" sizeWithCells="false">
              <xdr:from>
                <xdr:col>12</xdr:col>
                <xdr:colOff>40</xdr:colOff>
                <xdr:row>6</xdr:row>
                <xdr:rowOff>16</xdr:rowOff>
              </xdr:from>
              <xdr:to>
                <xdr:col>20</xdr:col>
                <xdr:colOff>59</xdr:colOff>
                <xdr:row>9</xdr:row>
                <xdr:rowOff>19</xdr:rowOff>
              </xdr:to>
            </anchor>
          </commentPr>
        </mc:Choice>
        <mc:Fallback/>
      </mc:AlternateContent>
    </comment>
    <comment ref="L10" authorId="0">
      <text>
        <r>
          <rPr>
            <b val="true"/>
            <sz val="8"/>
            <color rgb="FF000000"/>
            <rFont val="Tahoma"/>
            <family val="0"/>
          </rPr>
          <t xml:space="preserve">VARIABLE MAINTENANCE
Sheetal J Bajoria x3-5692, 1/27/99:
</t>
        </r>
        <r>
          <rPr>
            <sz val="8"/>
            <color rgb="FF000000"/>
            <rFont val="Tahoma"/>
            <family val="2"/>
          </rPr>
          <t xml:space="preserve">SE Peaking power projects, O&amp;M Estimates, D Ehler,  B Scmitt, dated 1/22/99: -Confirmed 746. Rewired to be truly variable with hours and MW</t>
        </r>
      </text>
      <mc:AlternateContent>
        <mc:Choice Requires="v2">
          <commentPr autoFill="true" autoScale="false" colHidden="false" locked="false" rowHidden="false" textHAlign="justify" textVAlign="top">
            <anchor moveWithCells="false" sizeWithCells="false">
              <xdr:from>
                <xdr:col>13</xdr:col>
                <xdr:colOff>21</xdr:colOff>
                <xdr:row>8</xdr:row>
                <xdr:rowOff>4</xdr:rowOff>
              </xdr:from>
              <xdr:to>
                <xdr:col>21</xdr:col>
                <xdr:colOff>57</xdr:colOff>
                <xdr:row>12</xdr:row>
                <xdr:rowOff>5</xdr:rowOff>
              </xdr:to>
            </anchor>
          </commentPr>
        </mc:Choice>
        <mc:Fallback/>
      </mc:AlternateContent>
    </comment>
    <comment ref="M8" authorId="0">
      <text>
        <r>
          <rPr>
            <b val="true"/>
            <sz val="8"/>
            <color rgb="FF000000"/>
            <rFont val="Tahoma"/>
            <family val="0"/>
          </rPr>
          <t xml:space="preserve">Variable MW's
Neil S-C: 2/16/99
</t>
        </r>
        <r>
          <rPr>
            <sz val="8"/>
            <color rgb="FF000000"/>
            <rFont val="Tahoma"/>
            <family val="2"/>
          </rPr>
          <t xml:space="preserve">Directly from the OEC cost estimate.</t>
        </r>
      </text>
      <mc:AlternateContent>
        <mc:Choice Requires="v2">
          <commentPr autoFill="true" autoScale="false" colHidden="false" locked="false" rowHidden="false" textHAlign="justify" textVAlign="top">
            <anchor moveWithCells="false" sizeWithCells="false">
              <xdr:from>
                <xdr:col>11</xdr:col>
                <xdr:colOff>20</xdr:colOff>
                <xdr:row>6</xdr:row>
                <xdr:rowOff>16</xdr:rowOff>
              </xdr:from>
              <xdr:to>
                <xdr:col>12</xdr:col>
                <xdr:colOff>68</xdr:colOff>
                <xdr:row>9</xdr:row>
                <xdr:rowOff>19</xdr:rowOff>
              </xdr:to>
            </anchor>
          </commentPr>
        </mc:Choice>
        <mc:Fallback/>
      </mc:AlternateContent>
    </comment>
    <comment ref="N20" authorId="0">
      <text>
        <r>
          <rPr>
            <b val="true"/>
            <sz val="12"/>
            <color rgb="FF000000"/>
            <rFont val="Tahoma"/>
            <family val="2"/>
          </rPr>
          <t xml:space="preserve">
PAYROLL AND BURDEN
Sheetal J Bajoria x3-5692, 1/27/99:
SE Peaking power projects, </t>
        </r>
        <r>
          <rPr>
            <sz val="12"/>
            <color rgb="FF000000"/>
            <rFont val="Tahoma"/>
            <family val="2"/>
          </rPr>
          <t xml:space="preserve">O&amp;M Estimates, D Ehler,  B Scmitt, dated 1/22/99
was 428, now 465.69, based on 454 MW</t>
        </r>
      </text>
      <mc:AlternateContent>
        <mc:Choice Requires="v2">
          <commentPr autoFill="true" autoScale="false" colHidden="false" locked="false" rowHidden="false" textHAlign="justify" textVAlign="top">
            <anchor moveWithCells="false" sizeWithCells="false">
              <xdr:from>
                <xdr:col>15</xdr:col>
                <xdr:colOff>12</xdr:colOff>
                <xdr:row>16</xdr:row>
                <xdr:rowOff>13</xdr:rowOff>
              </xdr:from>
              <xdr:to>
                <xdr:col>20</xdr:col>
                <xdr:colOff>43</xdr:colOff>
                <xdr:row>24</xdr:row>
                <xdr:rowOff>4</xdr:rowOff>
              </xdr:to>
            </anchor>
          </commentPr>
        </mc:Choice>
        <mc:Fallback/>
      </mc:AlternateContent>
    </comment>
    <comment ref="N21" authorId="0">
      <text>
        <r>
          <rPr>
            <sz val="10"/>
            <color rgb="FF000000"/>
            <rFont val="Tahoma"/>
            <family val="2"/>
          </rPr>
          <t xml:space="preserve">OTHER O&amp;M EXPENSES
Sheetal J Bajoria x3-5692, 1/27/99:
SE Peaking power projects, O&amp;M Estimates, D Ehler,  B Scmitt, dated 1/22/99
was 230.changed to 235.76, calc based on 454</t>
        </r>
      </text>
      <mc:AlternateContent>
        <mc:Choice Requires="v2">
          <commentPr autoFill="true" autoScale="false" colHidden="false" locked="false" rowHidden="false" textHAlign="justify" textVAlign="top">
            <anchor moveWithCells="false" sizeWithCells="false">
              <xdr:from>
                <xdr:col>15</xdr:col>
                <xdr:colOff>12</xdr:colOff>
                <xdr:row>17</xdr:row>
                <xdr:rowOff>15</xdr:rowOff>
              </xdr:from>
              <xdr:to>
                <xdr:col>20</xdr:col>
                <xdr:colOff>43</xdr:colOff>
                <xdr:row>25</xdr:row>
                <xdr:rowOff>17</xdr:rowOff>
              </xdr:to>
            </anchor>
          </commentPr>
        </mc:Choice>
        <mc:Fallback/>
      </mc:AlternateContent>
    </comment>
    <comment ref="N24" authorId="0">
      <text>
        <r>
          <rPr>
            <b val="true"/>
            <sz val="10"/>
            <color rgb="FF000000"/>
            <rFont val="Tahoma"/>
            <family val="2"/>
          </rPr>
          <t xml:space="preserve">MANAGEMENT FEE
Sheetal J Bajoria x3-5692, 1/27/99:
SE Peaking power projects, </t>
        </r>
        <r>
          <rPr>
            <sz val="10"/>
            <color rgb="FF000000"/>
            <rFont val="Tahoma"/>
            <family val="2"/>
          </rPr>
          <t xml:space="preserve">O&amp;M Estimates, D Ehler,  B Scmitt, dated 1/22/99
was 429, now 200. Based on 454 MW</t>
        </r>
      </text>
      <mc:AlternateContent>
        <mc:Choice Requires="v2">
          <commentPr autoFill="true" autoScale="false" colHidden="false" locked="false" rowHidden="false" textHAlign="justify" textVAlign="top">
            <anchor moveWithCells="false" sizeWithCells="false">
              <xdr:from>
                <xdr:col>15</xdr:col>
                <xdr:colOff>12</xdr:colOff>
                <xdr:row>20</xdr:row>
                <xdr:rowOff>13</xdr:rowOff>
              </xdr:from>
              <xdr:to>
                <xdr:col>20</xdr:col>
                <xdr:colOff>43</xdr:colOff>
                <xdr:row>28</xdr:row>
                <xdr:rowOff>13</xdr:rowOff>
              </xdr:to>
            </anchor>
          </commentPr>
        </mc:Choice>
        <mc:Fallback/>
      </mc:AlternateContent>
    </comment>
    <comment ref="N29" authorId="0">
      <text>
        <r>
          <rPr>
            <b val="true"/>
            <sz val="10"/>
            <color rgb="FF000000"/>
            <rFont val="Tahoma"/>
            <family val="2"/>
          </rPr>
          <t xml:space="preserve">LIABILITY INSURANCE
Sheetal J Bajoria x3-5692, </t>
        </r>
        <r>
          <rPr>
            <sz val="10"/>
            <color rgb="FF000000"/>
            <rFont val="Tahoma"/>
            <family val="2"/>
          </rPr>
          <t xml:space="preserve">1/29/99:
wrt Email from Paul Clayton, CORP INSR, to Agatha Andraczke on 1/20/99.   Number based on corporate allocation of costs.
Was zero now 10</t>
        </r>
      </text>
      <mc:AlternateContent>
        <mc:Choice Requires="v2">
          <commentPr autoFill="true" autoScale="false" colHidden="false" locked="false" rowHidden="false" textHAlign="justify" textVAlign="top">
            <anchor moveWithCells="false" sizeWithCells="false">
              <xdr:from>
                <xdr:col>14</xdr:col>
                <xdr:colOff>62</xdr:colOff>
                <xdr:row>26</xdr:row>
                <xdr:rowOff>13</xdr:rowOff>
              </xdr:from>
              <xdr:to>
                <xdr:col>18</xdr:col>
                <xdr:colOff>54</xdr:colOff>
                <xdr:row>34</xdr:row>
                <xdr:rowOff>3</xdr:rowOff>
              </xdr:to>
            </anchor>
          </commentPr>
        </mc:Choice>
        <mc:Fallback/>
      </mc:AlternateContent>
    </comment>
    <comment ref="N30" authorId="0">
      <text>
        <r>
          <rPr>
            <b val="true"/>
            <sz val="10"/>
            <color rgb="FF000000"/>
            <rFont val="Tahoma"/>
            <family val="2"/>
          </rPr>
          <t xml:space="preserve">BUSINESS INTERUPTION INSURANCE
Sheetal J Bajoria x3-5692, </t>
        </r>
        <r>
          <rPr>
            <sz val="10"/>
            <color rgb="FF000000"/>
            <rFont val="Tahoma"/>
            <family val="2"/>
          </rPr>
          <t xml:space="preserve">1/29/99:
wrt Email from Paul Clayton, CORP INSR, to Agatha Andraczke on 1/20/99.   Number based on corporate allocation of costs.
Was 77 now 30</t>
        </r>
      </text>
      <mc:AlternateContent>
        <mc:Choice Requires="v2">
          <commentPr autoFill="true" autoScale="false" colHidden="false" locked="false" rowHidden="false" textHAlign="justify" textVAlign="top">
            <anchor moveWithCells="false" sizeWithCells="false">
              <xdr:from>
                <xdr:col>14</xdr:col>
                <xdr:colOff>62</xdr:colOff>
                <xdr:row>27</xdr:row>
                <xdr:rowOff>3</xdr:rowOff>
              </xdr:from>
              <xdr:to>
                <xdr:col>18</xdr:col>
                <xdr:colOff>54</xdr:colOff>
                <xdr:row>35</xdr:row>
                <xdr:rowOff>8</xdr:rowOff>
              </xdr:to>
            </anchor>
          </commentPr>
        </mc:Choice>
        <mc:Fallback/>
      </mc:AlternateContent>
    </comment>
    <comment ref="N31" authorId="0">
      <text>
        <r>
          <rPr>
            <b val="true"/>
            <sz val="10"/>
            <color rgb="FF000000"/>
            <rFont val="Tahoma"/>
            <family val="2"/>
          </rPr>
          <t xml:space="preserve">OPS. AND MACHINERT INSURANCE
Neil S-C; 3/29/99
</t>
        </r>
        <r>
          <rPr>
            <sz val="10"/>
            <color rgb="FF000000"/>
            <rFont val="Tahoma"/>
            <family val="2"/>
          </rPr>
          <t xml:space="preserve">I have based this off of the 1999 estimates from David Marshall of 0.128% of Replacement Value.
</t>
        </r>
        <r>
          <rPr>
            <b val="true"/>
            <sz val="10"/>
            <color rgb="FF000000"/>
            <rFont val="Tahoma"/>
            <family val="2"/>
          </rPr>
          <t xml:space="preserve">
Sheetal J Bajoria x3-5692, </t>
        </r>
        <r>
          <rPr>
            <sz val="10"/>
            <color rgb="FF000000"/>
            <rFont val="Tahoma"/>
            <family val="2"/>
          </rPr>
          <t xml:space="preserve">1/29/99:
wrt Email from Paul Clayton, CORP INSR, to Agatha Andraczke on 1/20/99.   Number based on corporate allocation of costs. Was 125 now 180</t>
        </r>
      </text>
      <mc:AlternateContent>
        <mc:Choice Requires="v2">
          <commentPr autoFill="true" autoScale="false" colHidden="false" locked="false" rowHidden="false" textHAlign="justify" textVAlign="top">
            <anchor moveWithCells="false" sizeWithCells="false">
              <xdr:from>
                <xdr:col>14</xdr:col>
                <xdr:colOff>62</xdr:colOff>
                <xdr:row>27</xdr:row>
                <xdr:rowOff>3</xdr:rowOff>
              </xdr:from>
              <xdr:to>
                <xdr:col>18</xdr:col>
                <xdr:colOff>54</xdr:colOff>
                <xdr:row>34</xdr:row>
                <xdr:rowOff>9</xdr:rowOff>
              </xdr:to>
            </anchor>
          </commentPr>
        </mc:Choice>
        <mc:Fallback/>
      </mc:AlternateContent>
    </comment>
    <comment ref="N33" authorId="0">
      <text>
        <r>
          <rPr>
            <b val="true"/>
            <sz val="8"/>
            <color rgb="FF000000"/>
            <rFont val="Tahoma"/>
            <family val="0"/>
          </rPr>
          <t xml:space="preserve">UTILITIES:
</t>
        </r>
        <r>
          <rPr>
            <sz val="8"/>
            <color rgb="FF000000"/>
            <rFont val="Tahoma"/>
            <family val="2"/>
          </rPr>
          <t xml:space="preserve">
Neil S-C, 3/2/99
This is off of Brownsville and reduced according to # of turbines.</t>
        </r>
      </text>
      <mc:AlternateContent>
        <mc:Choice Requires="v2">
          <commentPr autoFill="true" autoScale="false" colHidden="false" locked="false" rowHidden="false" textHAlign="justify" textVAlign="top">
            <anchor moveWithCells="false" sizeWithCells="false">
              <xdr:from>
                <xdr:col>13</xdr:col>
                <xdr:colOff>12</xdr:colOff>
                <xdr:row>30</xdr:row>
                <xdr:rowOff>3</xdr:rowOff>
              </xdr:from>
              <xdr:to>
                <xdr:col>15</xdr:col>
                <xdr:colOff>65</xdr:colOff>
                <xdr:row>37</xdr:row>
                <xdr:rowOff>15</xdr:rowOff>
              </xdr:to>
            </anchor>
          </commentPr>
        </mc:Choice>
        <mc:Fallback/>
      </mc:AlternateContent>
    </comment>
    <comment ref="N34" authorId="0">
      <text>
        <r>
          <rPr>
            <b val="true"/>
            <sz val="8"/>
            <color rgb="FF000000"/>
            <rFont val="Tahoma"/>
            <family val="0"/>
          </rPr>
          <t xml:space="preserve">UTILITIES:
</t>
        </r>
        <r>
          <rPr>
            <sz val="8"/>
            <color rgb="FF000000"/>
            <rFont val="Tahoma"/>
            <family val="2"/>
          </rPr>
          <t xml:space="preserve">
Neil S-C, 3/2/99
I am using Brownsville as a proxy.</t>
        </r>
      </text>
      <mc:AlternateContent>
        <mc:Choice Requires="v2">
          <commentPr autoFill="true" autoScale="false" colHidden="false" locked="false" rowHidden="false" textHAlign="justify" textVAlign="top">
            <anchor moveWithCells="false" sizeWithCells="false">
              <xdr:from>
                <xdr:col>14</xdr:col>
                <xdr:colOff>16</xdr:colOff>
                <xdr:row>32</xdr:row>
                <xdr:rowOff>5</xdr:rowOff>
              </xdr:from>
              <xdr:to>
                <xdr:col>17</xdr:col>
                <xdr:colOff>31</xdr:colOff>
                <xdr:row>40</xdr:row>
                <xdr:rowOff>4</xdr:rowOff>
              </xdr:to>
            </anchor>
          </commentPr>
        </mc:Choice>
        <mc:Fallback/>
      </mc:AlternateContent>
    </comment>
    <comment ref="N59" authorId="0">
      <text>
        <r>
          <rPr>
            <b val="true"/>
            <sz val="8"/>
            <color rgb="FF000000"/>
            <rFont val="Tahoma"/>
            <family val="0"/>
          </rPr>
          <t xml:space="preserve">START UP FUEL:
</t>
        </r>
        <r>
          <rPr>
            <sz val="8"/>
            <color rgb="FF000000"/>
            <rFont val="Tahoma"/>
            <family val="2"/>
          </rPr>
          <t xml:space="preserve">
The volume per start comes from Kevin Presto's Gencon group but the model is not reflecting a cost as it is a true pass through and the consolidated model is not reflecting it.</t>
        </r>
      </text>
      <mc:AlternateContent>
        <mc:Choice Requires="v2">
          <commentPr autoFill="true" autoScale="false" colHidden="false" locked="false" rowHidden="false" textHAlign="justify" textVAlign="top">
            <anchor moveWithCells="false" sizeWithCells="false">
              <xdr:from>
                <xdr:col>13</xdr:col>
                <xdr:colOff>83</xdr:colOff>
                <xdr:row>50</xdr:row>
                <xdr:rowOff>3</xdr:rowOff>
              </xdr:from>
              <xdr:to>
                <xdr:col>17</xdr:col>
                <xdr:colOff>20</xdr:colOff>
                <xdr:row>58</xdr:row>
                <xdr:rowOff>4</xdr:rowOff>
              </xdr:to>
            </anchor>
          </commentPr>
        </mc:Choice>
        <mc:Fallback/>
      </mc:AlternateContent>
    </comment>
    <comment ref="N63" authorId="0">
      <text>
        <r>
          <rPr>
            <b val="true"/>
            <sz val="8"/>
            <color rgb="FF000000"/>
            <rFont val="Tahoma"/>
            <family val="0"/>
          </rPr>
          <t xml:space="preserve">STATE INCOME TAX RATE
Sheetal J Bajoria x3-5692:
</t>
        </r>
        <r>
          <rPr>
            <sz val="8"/>
            <color rgb="FF000000"/>
            <rFont val="Tahoma"/>
            <family val="0"/>
          </rPr>
          <t xml:space="preserve">2/10/99 : PER MEMO From PAT MALOY TO Clay spears dated 6/29/98 wrt. TN taxes. The state income tax rate was changed from 5% (in Bryans model as of 1/25/99) to 6%.</t>
        </r>
      </text>
      <mc:AlternateContent>
        <mc:Choice Requires="v2">
          <commentPr autoFill="true" autoScale="false" colHidden="false" locked="false" rowHidden="false" textHAlign="justify" textVAlign="top">
            <anchor moveWithCells="false" sizeWithCells="false">
              <xdr:from>
                <xdr:col>14</xdr:col>
                <xdr:colOff>31</xdr:colOff>
                <xdr:row>46</xdr:row>
                <xdr:rowOff>0</xdr:rowOff>
              </xdr:from>
              <xdr:to>
                <xdr:col>21</xdr:col>
                <xdr:colOff>47</xdr:colOff>
                <xdr:row>63</xdr:row>
                <xdr:rowOff>9</xdr:rowOff>
              </xdr:to>
            </anchor>
          </commentPr>
        </mc:Choice>
        <mc:Fallback/>
      </mc:AlternateContent>
    </comment>
    <comment ref="N66" authorId="0">
      <text>
        <r>
          <rPr>
            <sz val="8"/>
            <color rgb="FF000000"/>
            <rFont val="Tahoma"/>
            <family val="2"/>
          </rPr>
          <t xml:space="preserve">STATE UTILITY GROSS RECEIPTS TAX RATE ON GROSS REVENUE
Sheetal J Bajoria x3-5692: 2/2/99:
Per memo from Patrick Maloy to Clay Spears wrt taxes in TN, DATED 6/29/98
</t>
        </r>
        <r>
          <rPr>
            <b val="true"/>
            <sz val="8"/>
            <color rgb="FF000000"/>
            <rFont val="Tahoma"/>
            <family val="0"/>
          </rPr>
          <t xml:space="preserve">
2/11/99 Per KEvin Presto, gross receipts refers to only the Energy payment and furthermore is payable on non-TVA hours.
</t>
        </r>
        <r>
          <rPr>
            <sz val="8"/>
            <color rgb="FF000000"/>
            <rFont val="Tahoma"/>
            <family val="0"/>
          </rPr>
          <t xml:space="preserve">
Pay greater of 
(state util gross receipts) or  (excise util + Franchise) 
</t>
        </r>
      </text>
      <mc:AlternateContent>
        <mc:Choice Requires="v2">
          <commentPr autoFill="true" autoScale="false" colHidden="false" locked="false" rowHidden="false" textHAlign="justify" textVAlign="top">
            <anchor moveWithCells="false" sizeWithCells="false">
              <xdr:from>
                <xdr:col>15</xdr:col>
                <xdr:colOff>12</xdr:colOff>
                <xdr:row>59</xdr:row>
                <xdr:rowOff>14</xdr:rowOff>
              </xdr:from>
              <xdr:to>
                <xdr:col>18</xdr:col>
                <xdr:colOff>54</xdr:colOff>
                <xdr:row>69</xdr:row>
                <xdr:rowOff>14</xdr:rowOff>
              </xdr:to>
            </anchor>
          </commentPr>
        </mc:Choice>
        <mc:Fallback/>
      </mc:AlternateContent>
    </comment>
    <comment ref="N67" authorId="0">
      <text>
        <r>
          <rPr>
            <b val="true"/>
            <sz val="8"/>
            <color rgb="FF000000"/>
            <rFont val="Tahoma"/>
            <family val="2"/>
          </rPr>
          <t xml:space="preserve">STATE FRANCHISE TAX RATE ON CAPITAL 
Neil S-C 5/20/99
</t>
        </r>
        <r>
          <rPr>
            <sz val="8"/>
            <color rgb="FF000000"/>
            <rFont val="Tahoma"/>
            <family val="2"/>
          </rPr>
          <t xml:space="preserve">It has been determined and confirmed by Patrick Maloy that as a public service company the LLC is exempted.
Sheetal J Bajoria x3-5692: 2/2/99:
Per memo from Patrick Maloy to Clay Spears wrt taxes in TN, DATED 6/29/98
</t>
        </r>
        <r>
          <rPr>
            <sz val="8"/>
            <color rgb="FF000000"/>
            <rFont val="Tahoma"/>
            <family val="0"/>
          </rPr>
          <t xml:space="preserve">
Pay greater of 
(state util gross rec) or  (excise util + Franchise ) </t>
        </r>
      </text>
      <mc:AlternateContent>
        <mc:Choice Requires="v2">
          <commentPr autoFill="true" autoScale="false" colHidden="false" locked="false" rowHidden="false" textHAlign="justify" textVAlign="top">
            <anchor moveWithCells="false" sizeWithCells="false">
              <xdr:from>
                <xdr:col>14</xdr:col>
                <xdr:colOff>31</xdr:colOff>
                <xdr:row>61</xdr:row>
                <xdr:rowOff>4</xdr:rowOff>
              </xdr:from>
              <xdr:to>
                <xdr:col>18</xdr:col>
                <xdr:colOff>10</xdr:colOff>
                <xdr:row>72</xdr:row>
                <xdr:rowOff>5</xdr:rowOff>
              </xdr:to>
            </anchor>
          </commentPr>
        </mc:Choice>
        <mc:Fallback/>
      </mc:AlternateContent>
    </comment>
    <comment ref="N68" authorId="0">
      <text>
        <r>
          <rPr>
            <b val="true"/>
            <sz val="8"/>
            <color rgb="FF000000"/>
            <rFont val="Tahoma"/>
            <family val="2"/>
          </rPr>
          <t xml:space="preserve">STATE SALES AND USE TAS RATE ON FUEL:
</t>
        </r>
        <r>
          <rPr>
            <sz val="8"/>
            <color rgb="FF000000"/>
            <rFont val="Tahoma"/>
            <family val="2"/>
          </rPr>
          <t xml:space="preserve">
</t>
        </r>
        <r>
          <rPr>
            <b val="true"/>
            <sz val="8"/>
            <color rgb="FF000000"/>
            <rFont val="Tahoma"/>
            <family val="2"/>
          </rPr>
          <t xml:space="preserve">Neil S-C, 3/15/99 
</t>
        </r>
        <r>
          <rPr>
            <sz val="8"/>
            <color rgb="FF000000"/>
            <rFont val="Tahoma"/>
            <family val="2"/>
          </rPr>
          <t xml:space="preserve">From the Ogden Newell &amp; Welch document an example highlights the mechanics.  All fuel cost is exempted except for 3% of the total production cost.
</t>
        </r>
        <r>
          <rPr>
            <b val="true"/>
            <sz val="8"/>
            <color rgb="FF000000"/>
            <rFont val="Tahoma"/>
            <family val="0"/>
          </rPr>
          <t xml:space="preserve">
Gas used in power production is exempt from Sales and use tax.
</t>
        </r>
      </text>
      <mc:AlternateContent>
        <mc:Choice Requires="v2">
          <commentPr autoFill="true" autoScale="false" colHidden="false" locked="false" rowHidden="false" textHAlign="justify" textVAlign="top">
            <anchor moveWithCells="false" sizeWithCells="false">
              <xdr:from>
                <xdr:col>15</xdr:col>
                <xdr:colOff>12</xdr:colOff>
                <xdr:row>50</xdr:row>
                <xdr:rowOff>1</xdr:rowOff>
              </xdr:from>
              <xdr:to>
                <xdr:col>19</xdr:col>
                <xdr:colOff>59</xdr:colOff>
                <xdr:row>60</xdr:row>
                <xdr:rowOff>19</xdr:rowOff>
              </xdr:to>
            </anchor>
          </commentPr>
        </mc:Choice>
        <mc:Fallback/>
      </mc:AlternateContent>
    </comment>
    <comment ref="N69" authorId="0">
      <text>
        <r>
          <rPr>
            <b val="true"/>
            <sz val="8"/>
            <color rgb="FF000000"/>
            <rFont val="Tahoma"/>
            <family val="0"/>
          </rPr>
          <t xml:space="preserve">Tom Huntington:  </t>
        </r>
        <r>
          <rPr>
            <sz val="8"/>
            <color rgb="FF000000"/>
            <rFont val="Tahoma"/>
            <family val="2"/>
          </rPr>
          <t xml:space="preserve">This principal amount plus interest equates to state tax credits available under the KREDA program.  The principal is a</t>
        </r>
        <r>
          <rPr>
            <sz val="8"/>
            <color rgb="FF000000"/>
            <rFont val="Tahoma"/>
            <family val="0"/>
          </rPr>
          <t xml:space="preserve"> negotiated amount with the state of KY.</t>
        </r>
      </text>
      <mc:AlternateContent>
        <mc:Choice Requires="v2">
          <commentPr autoFill="true" autoScale="false" colHidden="false" locked="false" rowHidden="false" textHAlign="justify" textVAlign="top">
            <anchor moveWithCells="false" sizeWithCells="false">
              <xdr:from>
                <xdr:col>13</xdr:col>
                <xdr:colOff>78</xdr:colOff>
                <xdr:row>64</xdr:row>
                <xdr:rowOff>14</xdr:rowOff>
              </xdr:from>
              <xdr:to>
                <xdr:col>18</xdr:col>
                <xdr:colOff>12</xdr:colOff>
                <xdr:row>68</xdr:row>
                <xdr:rowOff>16</xdr:rowOff>
              </xdr:to>
            </anchor>
          </commentPr>
        </mc:Choice>
        <mc:Fallback/>
      </mc:AlternateContent>
    </comment>
    <comment ref="U7" authorId="0">
      <text>
        <r>
          <rPr>
            <b val="true"/>
            <sz val="8"/>
            <color rgb="FF000000"/>
            <rFont val="Tahoma"/>
            <family val="0"/>
          </rPr>
          <t xml:space="preserve">SCHOOL MILLAGE RATE:
Sheetal J Bajoria x3-5692:
2/10/99
Need verification from Clay Spears
</t>
        </r>
      </text>
      <mc:AlternateContent>
        <mc:Choice Requires="v2">
          <commentPr autoFill="true" autoScale="false" colHidden="false" locked="false" rowHidden="false" textHAlign="justify" textVAlign="top">
            <anchor moveWithCells="false" sizeWithCells="false">
              <xdr:from>
                <xdr:col>20</xdr:col>
                <xdr:colOff>52</xdr:colOff>
                <xdr:row>5</xdr:row>
                <xdr:rowOff>3</xdr:rowOff>
              </xdr:from>
              <xdr:to>
                <xdr:col>22</xdr:col>
                <xdr:colOff>51</xdr:colOff>
                <xdr:row>9</xdr:row>
                <xdr:rowOff>8</xdr:rowOff>
              </xdr:to>
            </anchor>
          </commentPr>
        </mc:Choice>
        <mc:Fallback/>
      </mc:AlternateContent>
    </comment>
    <comment ref="U10" authorId="0">
      <text>
        <r>
          <rPr>
            <b val="true"/>
            <sz val="8"/>
            <color rgb="FF000000"/>
            <rFont val="Tahoma"/>
            <family val="0"/>
          </rPr>
          <t xml:space="preserve">COUNTY MILLAGE RATE:
Sheetal J Bajoria x3-5692: 2/10/99 NEED VERIFICATION FROM Clay Spears
</t>
        </r>
      </text>
      <mc:AlternateContent>
        <mc:Choice Requires="v2">
          <commentPr autoFill="true" autoScale="false" colHidden="false" locked="false" rowHidden="false" textHAlign="justify" textVAlign="top">
            <anchor moveWithCells="false" sizeWithCells="false">
              <xdr:from>
                <xdr:col>20</xdr:col>
                <xdr:colOff>52</xdr:colOff>
                <xdr:row>8</xdr:row>
                <xdr:rowOff>4</xdr:rowOff>
              </xdr:from>
              <xdr:to>
                <xdr:col>22</xdr:col>
                <xdr:colOff>51</xdr:colOff>
                <xdr:row>11</xdr:row>
                <xdr:rowOff>16</xdr:rowOff>
              </xdr:to>
            </anchor>
          </commentPr>
        </mc:Choice>
        <mc:Fallback/>
      </mc:AlternateContent>
    </comment>
    <comment ref="U12" authorId="0">
      <text>
        <r>
          <rPr>
            <b val="true"/>
            <sz val="8"/>
            <color rgb="FF000000"/>
            <rFont val="Tahoma"/>
            <family val="0"/>
          </rPr>
          <t xml:space="preserve">CITY RATE:
Sheetal J Bajoria x3-5692: 2/10/99 NEED VERIFICATION FROM Clay Spears
</t>
        </r>
      </text>
      <mc:AlternateContent>
        <mc:Choice Requires="v2">
          <commentPr autoFill="true" autoScale="false" colHidden="false" locked="false" rowHidden="false" textHAlign="justify" textVAlign="top">
            <anchor moveWithCells="false" sizeWithCells="false">
              <xdr:from>
                <xdr:col>20</xdr:col>
                <xdr:colOff>52</xdr:colOff>
                <xdr:row>9</xdr:row>
                <xdr:rowOff>3</xdr:rowOff>
              </xdr:from>
              <xdr:to>
                <xdr:col>22</xdr:col>
                <xdr:colOff>51</xdr:colOff>
                <xdr:row>13</xdr:row>
                <xdr:rowOff>15</xdr:rowOff>
              </xdr:to>
            </anchor>
          </commentPr>
        </mc:Choice>
        <mc:Fallback/>
      </mc:AlternateContent>
    </comment>
    <comment ref="U13" authorId="0">
      <text>
        <r>
          <rPr>
            <b val="true"/>
            <sz val="8"/>
            <color rgb="FF000000"/>
            <rFont val="Tahoma"/>
            <family val="0"/>
          </rPr>
          <t xml:space="preserve">PROPERTY TAXES
Sheetal J Bajoria x3-5692:
</t>
        </r>
        <r>
          <rPr>
            <sz val="8"/>
            <color rgb="FF000000"/>
            <rFont val="Tahoma"/>
            <family val="0"/>
          </rPr>
          <t xml:space="preserve">per the  "Real Property Lease Agreement" between Brownsville Power I, LLC and the Industrial Development Board of the City of Brownsville, Tennessee. Section  6.02.
This abatement is valid for 15  years.
The calculation after 15 years needs to checked and automated.</t>
        </r>
      </text>
      <mc:AlternateContent>
        <mc:Choice Requires="v2">
          <commentPr autoFill="true" autoScale="false" colHidden="false" locked="false" rowHidden="false" textHAlign="justify" textVAlign="top">
            <anchor moveWithCells="false" sizeWithCells="false">
              <xdr:from>
                <xdr:col>20</xdr:col>
                <xdr:colOff>52</xdr:colOff>
                <xdr:row>10</xdr:row>
                <xdr:rowOff>3</xdr:rowOff>
              </xdr:from>
              <xdr:to>
                <xdr:col>25</xdr:col>
                <xdr:colOff>58</xdr:colOff>
                <xdr:row>18</xdr:row>
                <xdr:rowOff>3</xdr:rowOff>
              </xdr:to>
            </anchor>
          </commentPr>
        </mc:Choice>
        <mc:Fallback/>
      </mc:AlternateContent>
    </comment>
  </commentList>
</comments>
</file>

<file path=xl/comments5.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9" authorId="0">
      <text>
        <r>
          <rPr>
            <b val="true"/>
            <sz val="8"/>
            <color rgb="FF000000"/>
            <rFont val="Tahoma"/>
            <family val="0"/>
          </rPr>
          <t xml:space="preserve">Sheetal J Bajoria x3-5692:
</t>
        </r>
        <r>
          <rPr>
            <sz val="8"/>
            <color rgb="FF000000"/>
            <rFont val="Tahoma"/>
            <family val="0"/>
          </rPr>
          <t xml:space="preserve">from ICF kaisiser presentationn dated Sept 23, 98, ppage 36,</t>
        </r>
      </text>
      <mc:AlternateContent>
        <mc:Choice Requires="v2">
          <commentPr autoFill="true" autoScale="false" colHidden="false" locked="false" rowHidden="false" textHAlign="justify" textVAlign="top">
            <anchor moveWithCells="false" sizeWithCells="false">
              <xdr:from>
                <xdr:col>0</xdr:col>
                <xdr:colOff>132</xdr:colOff>
                <xdr:row>61</xdr:row>
                <xdr:rowOff>15</xdr:rowOff>
              </xdr:from>
              <xdr:to>
                <xdr:col>2</xdr:col>
                <xdr:colOff>43</xdr:colOff>
                <xdr:row>70</xdr:row>
                <xdr:rowOff>13</xdr:rowOff>
              </xdr:to>
            </anchor>
          </commentPr>
        </mc:Choice>
        <mc:Fallback/>
      </mc:AlternateContent>
    </comment>
    <comment ref="A70" authorId="0">
      <text>
        <r>
          <rPr>
            <b val="true"/>
            <sz val="8"/>
            <color rgb="FF000000"/>
            <rFont val="Tahoma"/>
            <family val="0"/>
          </rPr>
          <t xml:space="preserve">Sheetal J Bajoria x3-5692:
</t>
        </r>
        <r>
          <rPr>
            <sz val="8"/>
            <color rgb="FF000000"/>
            <rFont val="Tahoma"/>
            <family val="0"/>
          </rPr>
          <t xml:space="preserve">from ICF kaisiser presentationn dated Sept 23, 98, ppage 36,</t>
        </r>
      </text>
      <mc:AlternateContent>
        <mc:Choice Requires="v2">
          <commentPr autoFill="true" autoScale="false" colHidden="false" locked="false" rowHidden="false" textHAlign="justify" textVAlign="top">
            <anchor moveWithCells="false" sizeWithCells="false">
              <xdr:from>
                <xdr:col>1</xdr:col>
                <xdr:colOff>16</xdr:colOff>
                <xdr:row>65</xdr:row>
                <xdr:rowOff>1</xdr:rowOff>
              </xdr:from>
              <xdr:to>
                <xdr:col>5</xdr:col>
                <xdr:colOff>0</xdr:colOff>
                <xdr:row>73</xdr:row>
                <xdr:rowOff>5</xdr:rowOff>
              </xdr:to>
            </anchor>
          </commentPr>
        </mc:Choice>
        <mc:Fallback/>
      </mc:AlternateContent>
    </comment>
    <comment ref="A78" authorId="0">
      <text>
        <r>
          <rPr>
            <b val="true"/>
            <sz val="8"/>
            <color rgb="FF000000"/>
            <rFont val="Tahoma"/>
            <family val="0"/>
          </rPr>
          <t xml:space="preserve">Energy Curve:
Neil S-C, 2/17/99
</t>
        </r>
        <r>
          <rPr>
            <sz val="8"/>
            <color rgb="FF000000"/>
            <rFont val="Tahoma"/>
            <family val="2"/>
          </rPr>
          <t xml:space="preserve">From the ICF Kaiser Market Assessment of TVA dated 9/23/98</t>
        </r>
      </text>
      <mc:AlternateContent>
        <mc:Choice Requires="v2">
          <commentPr autoFill="true" autoScale="false" colHidden="false" locked="false" rowHidden="false" textHAlign="justify" textVAlign="top">
            <anchor moveWithCells="false" sizeWithCells="false">
              <xdr:from>
                <xdr:col>1</xdr:col>
                <xdr:colOff>16</xdr:colOff>
                <xdr:row>73</xdr:row>
                <xdr:rowOff>12</xdr:rowOff>
              </xdr:from>
              <xdr:to>
                <xdr:col>4</xdr:col>
                <xdr:colOff>59</xdr:colOff>
                <xdr:row>79</xdr:row>
                <xdr:rowOff>2</xdr:rowOff>
              </xdr:to>
            </anchor>
          </commentPr>
        </mc:Choice>
        <mc:Fallback/>
      </mc:AlternateContent>
    </comment>
    <comment ref="A79" authorId="0">
      <text>
        <r>
          <rPr>
            <b val="true"/>
            <sz val="8"/>
            <color rgb="FF000000"/>
            <rFont val="Tahoma"/>
            <family val="0"/>
          </rPr>
          <t xml:space="preserve">Energy Curve:
Neil S-C, 2/17/99
</t>
        </r>
        <r>
          <rPr>
            <sz val="8"/>
            <color rgb="FF000000"/>
            <rFont val="Tahoma"/>
            <family val="2"/>
          </rPr>
          <t xml:space="preserve">From the ICF Kaiser Market Assessment of TVA dated 9/23/98</t>
        </r>
      </text>
      <mc:AlternateContent>
        <mc:Choice Requires="v2">
          <commentPr autoFill="true" autoScale="false" colHidden="false" locked="false" rowHidden="false" textHAlign="justify" textVAlign="top">
            <anchor moveWithCells="false" sizeWithCells="false">
              <xdr:from>
                <xdr:col>1</xdr:col>
                <xdr:colOff>16</xdr:colOff>
                <xdr:row>74</xdr:row>
                <xdr:rowOff>12</xdr:rowOff>
              </xdr:from>
              <xdr:to>
                <xdr:col>4</xdr:col>
                <xdr:colOff>59</xdr:colOff>
                <xdr:row>79</xdr:row>
                <xdr:rowOff>3</xdr:rowOff>
              </xdr:to>
            </anchor>
          </commentPr>
        </mc:Choice>
        <mc:Fallback/>
      </mc:AlternateContent>
    </comment>
    <comment ref="B73" authorId="0">
      <text>
        <r>
          <rPr>
            <b val="true"/>
            <sz val="8"/>
            <color rgb="FF000000"/>
            <rFont val="Tahoma"/>
            <family val="0"/>
          </rPr>
          <t xml:space="preserve">
Sheetal J Bajoria x3-5692:
</t>
        </r>
        <r>
          <rPr>
            <sz val="8"/>
            <color rgb="FF000000"/>
            <rFont val="Tahoma"/>
            <family val="0"/>
          </rPr>
          <t xml:space="preserve">`</t>
        </r>
      </text>
      <mc:AlternateContent>
        <mc:Choice Requires="v2">
          <commentPr autoFill="true" autoScale="false" colHidden="false" locked="false" rowHidden="false" textHAlign="justify" textVAlign="top">
            <anchor moveWithCells="false" sizeWithCells="false">
              <xdr:from>
                <xdr:col>2</xdr:col>
                <xdr:colOff>46</xdr:colOff>
                <xdr:row>54</xdr:row>
                <xdr:rowOff>12</xdr:rowOff>
              </xdr:from>
              <xdr:to>
                <xdr:col>4</xdr:col>
                <xdr:colOff>50</xdr:colOff>
                <xdr:row>59</xdr:row>
                <xdr:rowOff>15</xdr:rowOff>
              </xdr:to>
            </anchor>
          </commentPr>
        </mc:Choice>
        <mc:Fallback/>
      </mc:AlternateContent>
    </comment>
    <comment ref="C21" authorId="0">
      <text>
        <r>
          <rPr>
            <b val="true"/>
            <sz val="8"/>
            <color rgb="FF000000"/>
            <rFont val="Tahoma"/>
            <family val="0"/>
          </rPr>
          <t xml:space="preserve">Bryan Garrett:
</t>
        </r>
        <r>
          <rPr>
            <sz val="8"/>
            <color rgb="FF000000"/>
            <rFont val="Tahoma"/>
            <family val="0"/>
          </rPr>
          <t xml:space="preserve">This is lower because you have only a partial year's costs vs a full year's MWh output (this is due to the fact that the plant only runs during summer months.</t>
        </r>
      </text>
      <mc:AlternateContent>
        <mc:Choice Requires="v2">
          <commentPr autoFill="true" autoScale="false" colHidden="false" locked="false" rowHidden="false" textHAlign="justify" textVAlign="top">
            <anchor moveWithCells="false" sizeWithCells="false">
              <xdr:from>
                <xdr:col>2</xdr:col>
                <xdr:colOff>56</xdr:colOff>
                <xdr:row>19</xdr:row>
                <xdr:rowOff>3</xdr:rowOff>
              </xdr:from>
              <xdr:to>
                <xdr:col>4</xdr:col>
                <xdr:colOff>46</xdr:colOff>
                <xdr:row>26</xdr:row>
                <xdr:rowOff>4</xdr:rowOff>
              </xdr:to>
            </anchor>
          </commentPr>
        </mc:Choice>
        <mc:Fallback/>
      </mc:AlternateContent>
    </comment>
  </commentList>
</comments>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C27" authorId="0">
      <text>
        <r>
          <rPr>
            <b val="true"/>
            <sz val="8"/>
            <color rgb="FF000000"/>
            <rFont val="Tahoma"/>
            <family val="0"/>
          </rPr>
          <t xml:space="preserve">Bryan Garrett:
Must be linked to the dispatch line in the consolidated model or must insert a line for dispatch run hours.
</t>
        </r>
      </text>
      <mc:AlternateContent>
        <mc:Choice Requires="v2">
          <commentPr autoFill="true" autoScale="false" colHidden="false" locked="false" rowHidden="false" textHAlign="justify" textVAlign="top">
            <anchor moveWithCells="false" sizeWithCells="false">
              <xdr:from>
                <xdr:col>3</xdr:col>
                <xdr:colOff>2</xdr:colOff>
                <xdr:row>25</xdr:row>
                <xdr:rowOff>3</xdr:rowOff>
              </xdr:from>
              <xdr:to>
                <xdr:col>4</xdr:col>
                <xdr:colOff>34</xdr:colOff>
                <xdr:row>31</xdr:row>
                <xdr:rowOff>5</xdr:rowOff>
              </xdr:to>
            </anchor>
          </commentPr>
        </mc:Choice>
        <mc:Fallback/>
      </mc:AlternateContent>
    </comment>
  </commentList>
</comments>
</file>

<file path=xl/sharedStrings.xml><?xml version="1.0" encoding="utf-8"?>
<sst xmlns="http://schemas.openxmlformats.org/spreadsheetml/2006/main" count="1472" uniqueCount="693">
  <si>
    <t xml:space="preserve">Tracker </t>
  </si>
  <si>
    <t xml:space="preserve">This page is designed to track all the changes made to the model to be able to reconcile back to any number that was released.</t>
  </si>
  <si>
    <t xml:space="preserve">Current:  Linked to the Model</t>
  </si>
  <si>
    <t xml:space="preserve">NPV at 15% 20 years After Tax</t>
  </si>
  <si>
    <t xml:space="preserve">NPV at 15% 20 years Before Tax</t>
  </si>
  <si>
    <t xml:space="preserve">YEAR</t>
  </si>
  <si>
    <t xml:space="preserve">Total NPV</t>
  </si>
  <si>
    <t xml:space="preserve">Delta</t>
  </si>
  <si>
    <t xml:space="preserve">Annual Revenues</t>
  </si>
  <si>
    <t xml:space="preserve">Annual Expenses</t>
  </si>
  <si>
    <t xml:space="preserve">After Tax Book Income</t>
  </si>
  <si>
    <t xml:space="preserve">After Tax Cash Flow</t>
  </si>
  <si>
    <t xml:space="preserve">1.  Models Sent to Banks on 2/23/99 - Neil Sainsbury-Carter</t>
  </si>
  <si>
    <t xml:space="preserve">2.  New Site Capacity put in.  It went from 480 to 505MW according to Tom Huntington.</t>
  </si>
  <si>
    <t xml:space="preserve">3.  Changed EI O&amp;M Mobilization to a 1 Yr. Deprec. Table.  Only Book Income is effected.</t>
  </si>
  <si>
    <t xml:space="preserve">4.  Increased the Utility Fee based off of the increased estimate to Brownsville.</t>
  </si>
  <si>
    <t xml:space="preserve">5.  Changed the Start Up Fuel to be in line with Brownsville.  As this is a passthrough no change in the returns.  Revenues and Expenses change equally.</t>
  </si>
  <si>
    <t xml:space="preserve">6.  Increased the Water Treatment O&amp;M by 411.84 for Water injection that had been left out of the OEC assumption.  Only effect Variable which is a pass through.</t>
  </si>
  <si>
    <t xml:space="preserve">7.  Changed the Taxes according to Pat Maloy's schedule.  The order of the taxes has changed with the Franchise tax be a deductible for State Income Taxes</t>
  </si>
  <si>
    <t xml:space="preserve">8.  Changed the MACR table.</t>
  </si>
  <si>
    <t xml:space="preserve">9.  Added to Fixed G&amp;A $30k for Gas Pipeline Metering</t>
  </si>
  <si>
    <t xml:space="preserve">10.  New Drawdown Scedules dated 3/19/99</t>
  </si>
  <si>
    <t xml:space="preserve">11.  Revised the model for the Version #1 costs and increased the insurance based on the 1999 estimates.</t>
  </si>
  <si>
    <t xml:space="preserve">12.  Changed the IDC calculation to reflect half of the current months Draw.  This increases the total Capitalized Interest.</t>
  </si>
  <si>
    <t xml:space="preserve">13.  Version #2 of the Control Budget and small adjustments in the Drawdown.</t>
  </si>
  <si>
    <t xml:space="preserve">14.  Change the Franchise tax to include it in Book Income.</t>
  </si>
  <si>
    <t xml:space="preserve">15.  Added a full year to Yr. 20 to stay consistent with the 1999 models.</t>
  </si>
  <si>
    <t xml:space="preserve">16.   Rolled EI Mob into the Depreciable Base and increased the Book Deprec to 30 years.</t>
  </si>
  <si>
    <t xml:space="preserve">17.   Changed Interest Income to be 5% to 25% of EBITDA</t>
  </si>
  <si>
    <t xml:space="preserve">18.   Added a Admin fee of $1M which is prorated among the projects based on MW's</t>
  </si>
  <si>
    <t xml:space="preserve">19.  Changed the Major Maintenance to the new OEC Matrix for 120 starts.</t>
  </si>
  <si>
    <t xml:space="preserve">20.  Changed the Site MW's from 505 to 509.2</t>
  </si>
  <si>
    <t xml:space="preserve">21.  Start per year have gone from 115 to 120.  This is only effecting the cost of per start fuel.</t>
  </si>
  <si>
    <t xml:space="preserve">22.  Changed fuel curve to a Fixed price at $2.5</t>
  </si>
  <si>
    <t xml:space="preserve">23.  Added a Per Start Revenue which allows the Maj. Main to be passed through.  Reduced Capacity to 3.25</t>
  </si>
  <si>
    <t xml:space="preserve">24.  Version # 4 of the Control Budget and Took out the Debt Reserve.</t>
  </si>
  <si>
    <t xml:space="preserve">25.  Put in the new ICF Capacity Curve.</t>
  </si>
  <si>
    <t xml:space="preserve">26.  Changed the MMBTU / Start up fuel per Azim's latest estimates</t>
  </si>
  <si>
    <t xml:space="preserve">27.  Capacity has been confirmed at 510.  Up from 509.6</t>
  </si>
  <si>
    <t xml:space="preserve">28.  PPA Capacity Price</t>
  </si>
  <si>
    <t xml:space="preserve">29.  Broke out the Utilities Cost between Start Up Power and Facilities Cost.  I prorated the Brownsville Start Up cost based on Brownsville which caused the cost to go down.</t>
  </si>
  <si>
    <t xml:space="preserve">30.  New Quantity of fuel in MMBTUs for the Start Up fuel and Version # 5 of the Control Budget which only had a small change in IDC.</t>
  </si>
  <si>
    <t xml:space="preserve">31.  Start Date moved to 7/1/99 for 6/1/99</t>
  </si>
  <si>
    <t xml:space="preserve">32.  Added a 2% degredation of Capacity during the Merchant Period and a .07 / kw-mo Marketing Fee.</t>
  </si>
  <si>
    <t xml:space="preserve">33.  Modified the Kaiser Curve with their $1998</t>
  </si>
  <si>
    <t xml:space="preserve">34.  Adjusted the Start Up Fuel MMBTU's </t>
  </si>
  <si>
    <t xml:space="preserve">35.  Control Budget Version # 7</t>
  </si>
  <si>
    <t xml:space="preserve">36.  Put in the Major Maintenance Schedule</t>
  </si>
  <si>
    <t xml:space="preserve">37.  Moved the Start Date to June making 7 months of operations in Yr. 1</t>
  </si>
  <si>
    <t xml:space="preserve">38.  Included the Energy Margin on 2% of the capacity during the merchant period</t>
  </si>
  <si>
    <t xml:space="preserve">39.  Reduced the Maj. Main in the Block Payment to 1/3 of the expense as 2/3's are included by Kaiser in the Capacity Price.</t>
  </si>
  <si>
    <t xml:space="preserve">40.  Control Budget Version #8</t>
  </si>
  <si>
    <t xml:space="preserve">41.  Moved the Start Date to 5/30/20</t>
  </si>
  <si>
    <t xml:space="preserve">42.  Control Budget Version # 9</t>
  </si>
  <si>
    <t xml:space="preserve">43.  Revisisted the Sales and Use Tax on Fuel.  All fuel exept for 3% of the to cost of production is exempted.</t>
  </si>
  <si>
    <t xml:space="preserve">44.  Alternative Financing Plan.  Debt Financing Assumptions</t>
  </si>
  <si>
    <t xml:space="preserve">45.  Exemption of the Franchise Tax</t>
  </si>
  <si>
    <t xml:space="preserve">46.  Changed the excalation on the $.07 Marketing Fee.  Escalated from 2003</t>
  </si>
  <si>
    <t xml:space="preserve">47.  Control Budget Version # 10</t>
  </si>
  <si>
    <t xml:space="preserve">48.  Control Budget Version # 11</t>
  </si>
  <si>
    <t xml:space="preserve">49.  The Block Payment in the last year prorated the Major Main. While the cost was a full year</t>
  </si>
  <si>
    <t xml:space="preserve">50.  Added the Start Up Fuel back in </t>
  </si>
  <si>
    <t xml:space="preserve">51.  Control Budget Version #15</t>
  </si>
  <si>
    <t xml:space="preserve">52.  Took out the Franchise Tax again as per the tax minimization effort.</t>
  </si>
  <si>
    <t xml:space="preserve">53.  Control Budget revision # 18</t>
  </si>
  <si>
    <t xml:space="preserve">54.  Using ISO capacity numbers for the merchant periods</t>
  </si>
  <si>
    <t xml:space="preserve">55.  Control Budget Version #20</t>
  </si>
  <si>
    <t xml:space="preserve">56.  Control Budget Version #21</t>
  </si>
  <si>
    <t xml:space="preserve">57.  Adjusted the debt to be 75%.  The Project Cost has been increasing in the last few Control Budgets so this had sunk to about 70%</t>
  </si>
  <si>
    <t xml:space="preserve">58.  Expensed the Gleason/Weakly Expenses and other Project Expenses that are not capitalized in the 1st year.</t>
  </si>
  <si>
    <t xml:space="preserve">60.  Update costs from weekly control sheets</t>
  </si>
  <si>
    <t xml:space="preserve">61. No changes to model from control sheet</t>
  </si>
  <si>
    <t xml:space="preserve">62. No changes to model from control sheet</t>
  </si>
  <si>
    <t xml:space="preserve">63. No changes to model from control sheet</t>
  </si>
  <si>
    <t xml:space="preserve">64. No more water interconnection costs or total expense fees, changed Contingency, IDC, Startup fuel, and development</t>
  </si>
  <si>
    <t xml:space="preserve">65. Changes made to IDC </t>
  </si>
  <si>
    <t xml:space="preserve">66. Changes made to IDC </t>
  </si>
  <si>
    <t xml:space="preserve">67. Changes made to IDC and no more Contingency</t>
  </si>
  <si>
    <t xml:space="preserve">68. Changes made to development and nepco costs</t>
  </si>
  <si>
    <t xml:space="preserve">68. Changes made to power interconnect</t>
  </si>
  <si>
    <t xml:space="preserve">COPIED TO THE CONSOLIDATED FILE</t>
  </si>
  <si>
    <t xml:space="preserve">Plant Summary</t>
  </si>
  <si>
    <t xml:space="preserve">Capacity</t>
  </si>
  <si>
    <t xml:space="preserve">Heat Rate</t>
  </si>
  <si>
    <t xml:space="preserve">No. of Turbines</t>
  </si>
  <si>
    <t xml:space="preserve">Operating Hours</t>
  </si>
  <si>
    <t xml:space="preserve">Start Up MMBTU's</t>
  </si>
  <si>
    <t xml:space="preserve">Book Income 1999 Costs</t>
  </si>
  <si>
    <t xml:space="preserve">Fixed Operating Cost</t>
  </si>
  <si>
    <t xml:space="preserve">Variable Operating Cost</t>
  </si>
  <si>
    <t xml:space="preserve">Start Fuel</t>
  </si>
  <si>
    <t xml:space="preserve">Major Main.</t>
  </si>
  <si>
    <t xml:space="preserve">Insurance</t>
  </si>
  <si>
    <t xml:space="preserve">SG&amp;A Cost</t>
  </si>
  <si>
    <t xml:space="preserve">Utility: Start Up Power</t>
  </si>
  <si>
    <t xml:space="preserve">Property Taxes &amp; Other</t>
  </si>
  <si>
    <t xml:space="preserve">Debt Service</t>
  </si>
  <si>
    <t xml:space="preserve">Admin Fees</t>
  </si>
  <si>
    <t xml:space="preserve">O&amp;M Fees</t>
  </si>
  <si>
    <t xml:space="preserve">Variable Revenue</t>
  </si>
  <si>
    <t xml:space="preserve">Variable Energy Payment</t>
  </si>
  <si>
    <t xml:space="preserve">Start Payment/Turbine</t>
  </si>
  <si>
    <t xml:space="preserve">Consolidated Check</t>
  </si>
  <si>
    <t xml:space="preserve">EGC EITDA</t>
  </si>
  <si>
    <t xml:space="preserve">Calvert City</t>
  </si>
  <si>
    <t xml:space="preserve">Plus : L/C</t>
  </si>
  <si>
    <t xml:space="preserve">Less:  Interest</t>
  </si>
  <si>
    <t xml:space="preserve">    Difference</t>
  </si>
  <si>
    <t xml:space="preserve">GLEASON, TN</t>
  </si>
  <si>
    <t xml:space="preserve">ASSUMPTIONS AND SUMMARY</t>
  </si>
  <si>
    <t xml:space="preserve">SOURCES AND USES:</t>
  </si>
  <si>
    <t xml:space="preserve">PROJECT DESCRIPTION:</t>
  </si>
  <si>
    <t xml:space="preserve">VARIABLE OPERATING COSTS:</t>
  </si>
  <si>
    <t xml:space="preserve">PROPERTY TAX ASSUMPTIONS:</t>
  </si>
  <si>
    <t xml:space="preserve">Base Year</t>
  </si>
  <si>
    <t xml:space="preserve">Assessed Value Multiplier</t>
  </si>
  <si>
    <t xml:space="preserve">Sources of Funds</t>
  </si>
  <si>
    <t xml:space="preserve">Type of Turbines</t>
  </si>
  <si>
    <t xml:space="preserve">WH501F</t>
  </si>
  <si>
    <t xml:space="preserve">WH501FD</t>
  </si>
  <si>
    <t xml:space="preserve">OEC #'s per 1200 hrs</t>
  </si>
  <si>
    <t xml:space="preserve">MW'hrs</t>
  </si>
  <si>
    <t xml:space="preserve">$/MWh</t>
  </si>
  <si>
    <t xml:space="preserve">2000-2003 Ave</t>
  </si>
  <si>
    <t xml:space="preserve">Mileage Rate for School Tax</t>
  </si>
  <si>
    <t xml:space="preserve">    Equity Capital</t>
  </si>
  <si>
    <t xml:space="preserve">No. Turbines</t>
  </si>
  <si>
    <t xml:space="preserve">Water Treatment</t>
  </si>
  <si>
    <t xml:space="preserve">Years of School Tax Abatement</t>
  </si>
  <si>
    <t xml:space="preserve">N/A</t>
  </si>
  <si>
    <t xml:space="preserve">    Permanent Loan</t>
  </si>
  <si>
    <t xml:space="preserve">ISO Capacity Rating (MW)</t>
  </si>
  <si>
    <t xml:space="preserve">FERC Fee</t>
  </si>
  <si>
    <t xml:space="preserve">Mileage rate for State Tax</t>
  </si>
  <si>
    <t xml:space="preserve">Net Project MW -  Site</t>
  </si>
  <si>
    <t xml:space="preserve">Variable Maintenance</t>
  </si>
  <si>
    <t xml:space="preserve">Mileage rate for County Tax</t>
  </si>
  <si>
    <t xml:space="preserve">  Total Sources</t>
  </si>
  <si>
    <t xml:space="preserve">Degraded Capacity</t>
  </si>
  <si>
    <t xml:space="preserve">On Merchant Hours Only</t>
  </si>
  <si>
    <t xml:space="preserve">   TOTAL VEP</t>
  </si>
  <si>
    <t xml:space="preserve">Years of County Tax Abatement </t>
  </si>
  <si>
    <t xml:space="preserve">Heat Rate (HHV)</t>
  </si>
  <si>
    <t xml:space="preserve">Milleage Rate for City</t>
  </si>
  <si>
    <t xml:space="preserve">Power Capacity Factor</t>
  </si>
  <si>
    <t xml:space="preserve">COST PER START:</t>
  </si>
  <si>
    <t xml:space="preserve">Avg. Property Tax</t>
  </si>
  <si>
    <t xml:space="preserve">Uses of Funds</t>
  </si>
  <si>
    <t xml:space="preserve">Annual Peak Operating Hours</t>
  </si>
  <si>
    <t xml:space="preserve">TVA hours</t>
  </si>
  <si>
    <t xml:space="preserve">No of Starts (By 10's)</t>
  </si>
  <si>
    <t xml:space="preserve">Cost/Start/Turbine</t>
  </si>
  <si>
    <t xml:space="preserve">Cost/Start</t>
  </si>
  <si>
    <t xml:space="preserve">$Yr. (000's)</t>
  </si>
  <si>
    <t xml:space="preserve">Escalation</t>
  </si>
  <si>
    <t xml:space="preserve">Hard Costs:</t>
  </si>
  <si>
    <t xml:space="preserve">Project Life (Years)</t>
  </si>
  <si>
    <t xml:space="preserve">Major Maintenance</t>
  </si>
  <si>
    <t xml:space="preserve">BOOK INCOME ASSUMPTIONS:</t>
  </si>
  <si>
    <t xml:space="preserve">  Turbines</t>
  </si>
  <si>
    <t xml:space="preserve">Start of Commercial Operation</t>
  </si>
  <si>
    <t xml:space="preserve">Fraction of Yr1</t>
  </si>
  <si>
    <t xml:space="preserve">Start Up Fuel</t>
  </si>
  <si>
    <t xml:space="preserve">P/E in Year 2000:</t>
  </si>
  <si>
    <t xml:space="preserve">  ABB (Transformer and Curcuit Breakers</t>
  </si>
  <si>
    <t xml:space="preserve">End of Commercial Operation</t>
  </si>
  <si>
    <t xml:space="preserve">Book Depreciation Period</t>
  </si>
  <si>
    <t xml:space="preserve">  Overhead &amp; Fees - EECC</t>
  </si>
  <si>
    <t xml:space="preserve">Installed Cost ($/kW)</t>
  </si>
  <si>
    <t xml:space="preserve">W/Debt Res.</t>
  </si>
  <si>
    <t xml:space="preserve">W/O Debt Res.</t>
  </si>
  <si>
    <t xml:space="preserve">Book Residual</t>
  </si>
  <si>
    <t xml:space="preserve">  Overhead &amp; Fees - NEPCO</t>
  </si>
  <si>
    <t xml:space="preserve">FIXED OPERATING COSTS:</t>
  </si>
  <si>
    <t xml:space="preserve">Avg Annual Int Rate Earned on EBITDA and Maint Res.</t>
  </si>
  <si>
    <t xml:space="preserve">  Base Fee</t>
  </si>
  <si>
    <t xml:space="preserve">VARIABLE PAYMENTS:</t>
  </si>
  <si>
    <t xml:space="preserve">Payroll and Burden</t>
  </si>
  <si>
    <t xml:space="preserve">  NEPCO Scope (Balance of Plant Costs and Construction)</t>
  </si>
  <si>
    <t xml:space="preserve">$/ MW h</t>
  </si>
  <si>
    <t xml:space="preserve">Other O&amp;M expenses</t>
  </si>
  <si>
    <t xml:space="preserve">CHECKS:</t>
  </si>
  <si>
    <t xml:space="preserve">  Switchyard</t>
  </si>
  <si>
    <t xml:space="preserve">Start Up Payment</t>
  </si>
  <si>
    <t xml:space="preserve">$/Start/ Turbine</t>
  </si>
  <si>
    <t xml:space="preserve">Admin Fee</t>
  </si>
  <si>
    <t xml:space="preserve">  Union Adders/Others</t>
  </si>
  <si>
    <t xml:space="preserve">Energy Margin</t>
  </si>
  <si>
    <t xml:space="preserve">Capacity Factor</t>
  </si>
  <si>
    <t xml:space="preserve">Marketing Fee (Merchant Only)</t>
  </si>
  <si>
    <t xml:space="preserve">$/kw-mo</t>
  </si>
  <si>
    <t xml:space="preserve">Is the Balance Sheet Balanced?</t>
  </si>
  <si>
    <t xml:space="preserve">  Spare Parts </t>
  </si>
  <si>
    <t xml:space="preserve">O&amp;M Fee</t>
  </si>
  <si>
    <t xml:space="preserve">Total Depreciable Base</t>
  </si>
  <si>
    <t xml:space="preserve">  Land Acquisition</t>
  </si>
  <si>
    <t xml:space="preserve">PPA ASSUMPTIONS:</t>
  </si>
  <si>
    <t xml:space="preserve">   TOTAL FIXED O&amp;M</t>
  </si>
  <si>
    <t xml:space="preserve">Total Project Cost</t>
  </si>
  <si>
    <t xml:space="preserve">  Water Interconnect</t>
  </si>
  <si>
    <t xml:space="preserve">Term of ECT PPA (years)</t>
  </si>
  <si>
    <t xml:space="preserve">   Undepreciated Cost</t>
  </si>
  <si>
    <t xml:space="preserve">  Gas Interconnection Costs</t>
  </si>
  <si>
    <t xml:space="preserve">Total PPA Capacity (MW)</t>
  </si>
  <si>
    <t xml:space="preserve">FIXED G&amp;A:</t>
  </si>
  <si>
    <t xml:space="preserve">  Power Inteconnect</t>
  </si>
  <si>
    <t xml:space="preserve">Number of Hours Called under PPA</t>
  </si>
  <si>
    <t xml:space="preserve">Insurance Costs:</t>
  </si>
  <si>
    <t xml:space="preserve">   Land</t>
  </si>
  <si>
    <t xml:space="preserve">  Sales and Use Tax on Equipment</t>
  </si>
  <si>
    <t xml:space="preserve">Capacity Rate</t>
  </si>
  <si>
    <t xml:space="preserve">   Liability Insurance</t>
  </si>
  <si>
    <t xml:space="preserve">   Expensed Project Costs</t>
  </si>
  <si>
    <t xml:space="preserve">  Mobilization Fuel</t>
  </si>
  <si>
    <t xml:space="preserve">Capacity Rate Escalation</t>
  </si>
  <si>
    <t xml:space="preserve">   Bus Int Ins.</t>
  </si>
  <si>
    <t xml:space="preserve">Capacity Rate Escalation for Kaiser estimates</t>
  </si>
  <si>
    <t xml:space="preserve">   Property Insurance</t>
  </si>
  <si>
    <t xml:space="preserve">Soft Costs:</t>
  </si>
  <si>
    <t xml:space="preserve">Total Insurance Cost</t>
  </si>
  <si>
    <t xml:space="preserve">  EE&amp;CC Project Management</t>
  </si>
  <si>
    <t xml:space="preserve">DEBT FINANCING ASSUMPTIONS:</t>
  </si>
  <si>
    <t xml:space="preserve">Utilities:  Start Up Power</t>
  </si>
  <si>
    <t xml:space="preserve">  Mobilization of O&amp;M</t>
  </si>
  <si>
    <t xml:space="preserve">Use Normal Debt Structure or Alternate?</t>
  </si>
  <si>
    <t xml:space="preserve">Alternate</t>
  </si>
  <si>
    <t xml:space="preserve">Utilities  Facility Load</t>
  </si>
  <si>
    <t xml:space="preserve">  Environmental Permitting</t>
  </si>
  <si>
    <t xml:space="preserve">Interconnection Fees</t>
  </si>
  <si>
    <t xml:space="preserve">  Insurance During Construction</t>
  </si>
  <si>
    <t xml:space="preserve">Tranche A</t>
  </si>
  <si>
    <t xml:space="preserve">Tranche B</t>
  </si>
  <si>
    <t xml:space="preserve">Tranche C</t>
  </si>
  <si>
    <t xml:space="preserve">Total</t>
  </si>
  <si>
    <t xml:space="preserve">Gas Pipeline Metering</t>
  </si>
  <si>
    <t xml:space="preserve">  Capitalized Salaries</t>
  </si>
  <si>
    <t xml:space="preserve">Principal Amount</t>
  </si>
  <si>
    <t xml:space="preserve">Miscellaneous</t>
  </si>
  <si>
    <t xml:space="preserve">  Resale Handling Fee</t>
  </si>
  <si>
    <t xml:space="preserve">Principal Amount- Alternate</t>
  </si>
  <si>
    <t xml:space="preserve">   TOTAL FIXED G&amp;A</t>
  </si>
  <si>
    <t xml:space="preserve">  Development Expenses</t>
  </si>
  <si>
    <t xml:space="preserve">Term</t>
  </si>
  <si>
    <t xml:space="preserve">  Legal Expense</t>
  </si>
  <si>
    <t xml:space="preserve">Interest Rate</t>
  </si>
  <si>
    <t xml:space="preserve">O&amp;M Escalation</t>
  </si>
  <si>
    <t xml:space="preserve">  Total Expensed Costs</t>
  </si>
  <si>
    <t xml:space="preserve">DSCR</t>
  </si>
  <si>
    <t xml:space="preserve">Operating Cost Escalation</t>
  </si>
  <si>
    <t xml:space="preserve">  Gleason/Weakly Expenses</t>
  </si>
  <si>
    <t xml:space="preserve">Choose for Tranches B &amp; C </t>
  </si>
  <si>
    <t xml:space="preserve">Interest Only</t>
  </si>
  <si>
    <t xml:space="preserve">  Working Capital</t>
  </si>
  <si>
    <t xml:space="preserve">Avg. Life (years)</t>
  </si>
  <si>
    <t xml:space="preserve">OPERATING COST SUMMARY:</t>
  </si>
  <si>
    <t xml:space="preserve">1999 $000's</t>
  </si>
  <si>
    <t xml:space="preserve">DEBT RESERVE ASSUMPTIONS:</t>
  </si>
  <si>
    <t xml:space="preserve">Variable Operating Costs</t>
  </si>
  <si>
    <t xml:space="preserve">$/YR</t>
  </si>
  <si>
    <t xml:space="preserve">Financing Costs:</t>
  </si>
  <si>
    <t xml:space="preserve">Fund from Operations or Financing?</t>
  </si>
  <si>
    <t xml:space="preserve">Operations</t>
  </si>
  <si>
    <t xml:space="preserve">  Lender's Engineer</t>
  </si>
  <si>
    <t xml:space="preserve">Amount of Reserve Needed (6 mos DS)</t>
  </si>
  <si>
    <t xml:space="preserve">$/Start</t>
  </si>
  <si>
    <t xml:space="preserve">  Lender's Counsel</t>
  </si>
  <si>
    <t xml:space="preserve">Interest Rate Earned on Outstanding Debt Reserve Balance </t>
  </si>
  <si>
    <t xml:space="preserve">  Financing Fee</t>
  </si>
  <si>
    <t xml:space="preserve">   </t>
  </si>
  <si>
    <t xml:space="preserve">  Debt Reserves</t>
  </si>
  <si>
    <t xml:space="preserve">RETURNS TO EQUITY HOLDERS:</t>
  </si>
  <si>
    <t xml:space="preserve">Preferred Equity</t>
  </si>
  <si>
    <t xml:space="preserve">Term (yrs)</t>
  </si>
  <si>
    <t xml:space="preserve">Fixed Operating Costs</t>
  </si>
  <si>
    <t xml:space="preserve">$/KWm</t>
  </si>
  <si>
    <t xml:space="preserve">Coupon</t>
  </si>
  <si>
    <t xml:space="preserve">Fixed G&amp;A</t>
  </si>
  <si>
    <t xml:space="preserve">Capitalized Interest:</t>
  </si>
  <si>
    <t xml:space="preserve">Principal</t>
  </si>
  <si>
    <t xml:space="preserve">Property Tax ('02 Disc.)</t>
  </si>
  <si>
    <t xml:space="preserve">  Carrying Interest on Project Cost</t>
  </si>
  <si>
    <t xml:space="preserve">Operating Tax ('02 Disc.)</t>
  </si>
  <si>
    <t xml:space="preserve">RETURN ON EQUTIY:</t>
  </si>
  <si>
    <t xml:space="preserve">Required Return on Equity</t>
  </si>
  <si>
    <t xml:space="preserve">   Total  Operating Cost</t>
  </si>
  <si>
    <t xml:space="preserve">  Contingency on Hard &amp; Soft Costs</t>
  </si>
  <si>
    <t xml:space="preserve">Pre-Tax</t>
  </si>
  <si>
    <t xml:space="preserve">After-Tax</t>
  </si>
  <si>
    <t xml:space="preserve">*</t>
  </si>
  <si>
    <t xml:space="preserve">  Contingency on NEPCO</t>
  </si>
  <si>
    <t xml:space="preserve">Years</t>
  </si>
  <si>
    <t xml:space="preserve">XIRR</t>
  </si>
  <si>
    <t xml:space="preserve">Start Up Fuel (MMBTU/Turbine)</t>
  </si>
  <si>
    <t xml:space="preserve">   Total Contingency</t>
  </si>
  <si>
    <t xml:space="preserve">Startup Fuel Mmbtu/Turbine</t>
  </si>
  <si>
    <t xml:space="preserve">Total Uses</t>
  </si>
  <si>
    <t xml:space="preserve">STATE &amp; FEDERAL TAX ASSUMPTIONS:</t>
  </si>
  <si>
    <t xml:space="preserve">Federal Income Tax Rate</t>
  </si>
  <si>
    <t xml:space="preserve">MODEL TOGGLES:</t>
  </si>
  <si>
    <t xml:space="preserve">State Income Tax Rate</t>
  </si>
  <si>
    <t xml:space="preserve">Fixed Price or Index Gas Curve?</t>
  </si>
  <si>
    <t xml:space="preserve">Fixed</t>
  </si>
  <si>
    <t xml:space="preserve">XNPV</t>
  </si>
  <si>
    <t xml:space="preserve">Effective Income Tax Rate</t>
  </si>
  <si>
    <t xml:space="preserve">Fixed Gas Price</t>
  </si>
  <si>
    <t xml:space="preserve">Use Fed NOL Carryforward?</t>
  </si>
  <si>
    <t xml:space="preserve">Yes</t>
  </si>
  <si>
    <t xml:space="preserve">State Utility Gross Receipts Tax Rate (Gross Rev.)</t>
  </si>
  <si>
    <t xml:space="preserve">Use State NOL Carryforward?</t>
  </si>
  <si>
    <t xml:space="preserve">State Franchise Tax Rate (Capital or BV of assets)</t>
  </si>
  <si>
    <t xml:space="preserve">Maximum Term of Carryforward (years)</t>
  </si>
  <si>
    <t xml:space="preserve">State Sales and Use Tax Rate on Fuel</t>
  </si>
  <si>
    <t xml:space="preserve">Assumed run hours or dispatched?</t>
  </si>
  <si>
    <t xml:space="preserve">Assumed</t>
  </si>
  <si>
    <t xml:space="preserve">KREDA Intercompany Loan</t>
  </si>
  <si>
    <t xml:space="preserve">Allow Merchant Energy Revenue?</t>
  </si>
  <si>
    <t xml:space="preserve">No</t>
  </si>
  <si>
    <t xml:space="preserve">Allow Residual Capacity Value?</t>
  </si>
  <si>
    <t xml:space="preserve">Residual Capacity Value ($/kWmo)</t>
  </si>
  <si>
    <t xml:space="preserve">Kaiser Capacity Curve</t>
  </si>
  <si>
    <t xml:space="preserve">Base, Low, Mid or Percentage (1, 2, 3 or 4)</t>
  </si>
  <si>
    <t xml:space="preserve">Percentage for Option 4</t>
  </si>
  <si>
    <t xml:space="preserve">Energy Curve Selector</t>
  </si>
  <si>
    <t xml:space="preserve">Marginal Cost Curve</t>
  </si>
  <si>
    <t xml:space="preserve">Pass through Variable O&amp;M?</t>
  </si>
  <si>
    <t xml:space="preserve">Auction Value</t>
  </si>
  <si>
    <t xml:space="preserve">Multiples</t>
  </si>
  <si>
    <t xml:space="preserve">IPO Value</t>
  </si>
  <si>
    <t xml:space="preserve">Total Value</t>
  </si>
  <si>
    <t xml:space="preserve">TO DO</t>
  </si>
  <si>
    <t xml:space="preserve">Less Cost</t>
  </si>
  <si>
    <t xml:space="preserve">IDC amortized</t>
  </si>
  <si>
    <t xml:space="preserve">Net Value</t>
  </si>
  <si>
    <t xml:space="preserve">check util</t>
  </si>
  <si>
    <t xml:space="preserve">**</t>
  </si>
  <si>
    <t xml:space="preserve">IPO Equity Valuation*</t>
  </si>
  <si>
    <t xml:space="preserve">REIT Equity  Value**</t>
  </si>
  <si>
    <t xml:space="preserve">IPO = NPV of 2001 Earnings*Multiple-Equity-Capacity Delta</t>
  </si>
  <si>
    <t xml:space="preserve">Reit =NPV of 2001  EBT*Multiple-Equity-Capacity Delta</t>
  </si>
  <si>
    <t xml:space="preserve">Checked and verified</t>
  </si>
  <si>
    <t xml:space="preserve">Check with Tax</t>
  </si>
  <si>
    <t xml:space="preserve">Modelling or Assumption # change needed</t>
  </si>
  <si>
    <t xml:space="preserve">Need clarication of principle</t>
  </si>
  <si>
    <t xml:space="preserve">Changed</t>
  </si>
  <si>
    <t xml:space="preserve">PPA Assumptions and Pricing Summary</t>
  </si>
  <si>
    <t xml:space="preserve">Months of Operation</t>
  </si>
  <si>
    <t xml:space="preserve">Months of Year Under PPA</t>
  </si>
  <si>
    <t xml:space="preserve">Months of Year Merchant</t>
  </si>
  <si>
    <t xml:space="preserve">% of Capacity Under PPA</t>
  </si>
  <si>
    <t xml:space="preserve">Capacity Payment Terms</t>
  </si>
  <si>
    <t xml:space="preserve"> </t>
  </si>
  <si>
    <t xml:space="preserve">   Energy ($/MWH)</t>
  </si>
  <si>
    <t xml:space="preserve">   Capacity ($/kw-mo)</t>
  </si>
  <si>
    <t xml:space="preserve">   Capacity Escalation Index</t>
  </si>
  <si>
    <t xml:space="preserve">   Ancillary Services</t>
  </si>
  <si>
    <t xml:space="preserve">   Fees</t>
  </si>
  <si>
    <t xml:space="preserve">r</t>
  </si>
  <si>
    <t xml:space="preserve">Power Pricing Summary</t>
  </si>
  <si>
    <t xml:space="preserve">   All in Power Price $/MWH</t>
  </si>
  <si>
    <t xml:space="preserve">   Fuel $/MWH</t>
  </si>
  <si>
    <t xml:space="preserve">   Variable O&amp;M $/MWH</t>
  </si>
  <si>
    <t xml:space="preserve">   Marginal cost of Generation $/MWh</t>
  </si>
  <si>
    <t xml:space="preserve">Operations &amp; Maintenance Costs</t>
  </si>
  <si>
    <r>
      <rPr>
        <b val="true"/>
        <sz val="8"/>
        <rFont val="Times New Roman"/>
        <family val="1"/>
      </rPr>
      <t xml:space="preserve">   </t>
    </r>
    <r>
      <rPr>
        <b val="true"/>
        <u val="single"/>
        <sz val="8"/>
        <rFont val="Times New Roman"/>
        <family val="1"/>
      </rPr>
      <t xml:space="preserve">Annual Costs by Type:</t>
    </r>
  </si>
  <si>
    <t xml:space="preserve">Term Ave</t>
  </si>
  <si>
    <t xml:space="preserve">   Total Variable Operating Cost</t>
  </si>
  <si>
    <t xml:space="preserve">   Total Start Up Cost</t>
  </si>
  <si>
    <t xml:space="preserve">   Total Fixed (incl G&amp;A)</t>
  </si>
  <si>
    <t xml:space="preserve">   Total Property Taxes</t>
  </si>
  <si>
    <t xml:space="preserve">   Total Operating Taxes</t>
  </si>
  <si>
    <t xml:space="preserve">   Total Debt Service</t>
  </si>
  <si>
    <t xml:space="preserve">   Total Annual Expenses</t>
  </si>
  <si>
    <t xml:space="preserve">   Breakout of Total Fixed:</t>
  </si>
  <si>
    <t xml:space="preserve">   Fixed Operating Costs</t>
  </si>
  <si>
    <t xml:space="preserve">   Fixed G&amp;A</t>
  </si>
  <si>
    <r>
      <rPr>
        <b val="true"/>
        <sz val="8"/>
        <rFont val="Times New Roman"/>
        <family val="1"/>
      </rPr>
      <t xml:space="preserve">   </t>
    </r>
    <r>
      <rPr>
        <b val="true"/>
        <u val="single"/>
        <sz val="8"/>
        <rFont val="Times New Roman"/>
        <family val="1"/>
      </rPr>
      <t xml:space="preserve">$/kWmo Costs by Type:</t>
    </r>
  </si>
  <si>
    <t xml:space="preserve">   Variable Operating Costs $/kWmo</t>
  </si>
  <si>
    <t xml:space="preserve">   Start Up Cost $/KW mo</t>
  </si>
  <si>
    <t xml:space="preserve">   Fixed Operating Costs $/kWmo</t>
  </si>
  <si>
    <t xml:space="preserve">   Total Operating Costs $/kWmo</t>
  </si>
  <si>
    <t xml:space="preserve">   Total Op. Costs $/kWmo (excluding Debt Service)</t>
  </si>
  <si>
    <t xml:space="preserve">   Property Taxes</t>
  </si>
  <si>
    <t xml:space="preserve">   Operating Taxes $/Kwmo</t>
  </si>
  <si>
    <t xml:space="preserve">   Debt Service $/kWmo</t>
  </si>
  <si>
    <t xml:space="preserve">   Total Op. Cost $/kWmo (including Debt Service)</t>
  </si>
  <si>
    <r>
      <rPr>
        <b val="true"/>
        <sz val="8"/>
        <rFont val="Times New Roman"/>
        <family val="1"/>
      </rPr>
      <t xml:space="preserve">   </t>
    </r>
    <r>
      <rPr>
        <b val="true"/>
        <u val="single"/>
        <sz val="8"/>
        <rFont val="Times New Roman"/>
        <family val="1"/>
      </rPr>
      <t xml:space="preserve">$/MWh Costs by Type:</t>
    </r>
  </si>
  <si>
    <t xml:space="preserve">   Variable Operating Cost $/MWh</t>
  </si>
  <si>
    <t xml:space="preserve">   Start Up Cost $/ MWh</t>
  </si>
  <si>
    <t xml:space="preserve">   Fixed O&amp;M $/MWh</t>
  </si>
  <si>
    <t xml:space="preserve">   Total O&amp;M $/MWh</t>
  </si>
  <si>
    <t xml:space="preserve">Consultant's Capacity Curve</t>
  </si>
  <si>
    <t xml:space="preserve">Kaiser Base </t>
  </si>
  <si>
    <t xml:space="preserve">Kaiser Low </t>
  </si>
  <si>
    <t xml:space="preserve">Kaiser Mid (Average of Base and Low)</t>
  </si>
  <si>
    <t xml:space="preserve">Kaiser Percent (Percentage of Low and Mid)</t>
  </si>
  <si>
    <t xml:space="preserve">Kaiser TVA Base $/kw-year (in 1998 real $)</t>
  </si>
  <si>
    <t xml:space="preserve">REAL</t>
  </si>
  <si>
    <t xml:space="preserve">Kaiser TVA Low $/kw-year (in 1998 real $)</t>
  </si>
  <si>
    <t xml:space="preserve">Consultant's Energy Curve</t>
  </si>
  <si>
    <t xml:space="preserve">Kaiser Peak</t>
  </si>
  <si>
    <t xml:space="preserve">Kaiser Off peak</t>
  </si>
  <si>
    <t xml:space="preserve">ECT Peak Curve</t>
  </si>
  <si>
    <t xml:space="preserve">Kaiser Peak as of 1996 ( $ / MWh )</t>
  </si>
  <si>
    <t xml:space="preserve">Kaiser Off Peak as of 1996 ( $ / MWh )</t>
  </si>
  <si>
    <t xml:space="preserve">PPA Plant Output Summary</t>
  </si>
  <si>
    <t xml:space="preserve">   Capacity Degradation</t>
  </si>
  <si>
    <t xml:space="preserve">   Heat Rate Degradation</t>
  </si>
  <si>
    <t xml:space="preserve">   Degraded Capacity (MW)</t>
  </si>
  <si>
    <t xml:space="preserve">   Peak Capacity Sales Rate (MW)</t>
  </si>
  <si>
    <t xml:space="preserve">   Peak  Hours</t>
  </si>
  <si>
    <t xml:space="preserve">   Maximum Peak Generation (MWh)</t>
  </si>
  <si>
    <t xml:space="preserve">Merchant Plant Output Summary</t>
  </si>
  <si>
    <t xml:space="preserve">   Peak Energy Sales (MW)</t>
  </si>
  <si>
    <t xml:space="preserve">PPA to Merchant Split</t>
  </si>
  <si>
    <t xml:space="preserve">  PPA MWh</t>
  </si>
  <si>
    <t xml:space="preserve">      % of Total MWh Taken</t>
  </si>
  <si>
    <t xml:space="preserve">  Market MWh</t>
  </si>
  <si>
    <t xml:space="preserve">   Actual MWh Produced</t>
  </si>
  <si>
    <t xml:space="preserve">      % of Total MWH Available</t>
  </si>
  <si>
    <t xml:space="preserve">   Degraded Peak Heat Rate (Btu/kWh)</t>
  </si>
  <si>
    <t xml:space="preserve">   Peak Fuel MMBBtu</t>
  </si>
  <si>
    <t xml:space="preserve">   Peak Fuel Cost $000</t>
  </si>
  <si>
    <t xml:space="preserve">   Sales and Use Tax on Fuel</t>
  </si>
  <si>
    <t xml:space="preserve">   Start up fuel cost for all turbines</t>
  </si>
  <si>
    <t xml:space="preserve">      Total Fuel Cost</t>
  </si>
  <si>
    <t xml:space="preserve">Gas &amp; Power Curves</t>
  </si>
  <si>
    <t xml:space="preserve">   Avg Mid Gas Curve Price ($/MMBtu)</t>
  </si>
  <si>
    <t xml:space="preserve">   Fixed Price ($/MMBtu)</t>
  </si>
  <si>
    <t xml:space="preserve">   Sales Tax Rate </t>
  </si>
  <si>
    <t xml:space="preserve">   Delivered Gas Price</t>
  </si>
  <si>
    <t xml:space="preserve">   Desk Mid Peak Power Curve ($/MWh)</t>
  </si>
  <si>
    <t xml:space="preserve">   Assumed Residual Capacity Value Curve ($/kWmo)</t>
  </si>
  <si>
    <t xml:space="preserve">Debt Amortization</t>
  </si>
  <si>
    <t xml:space="preserve">EBITDA</t>
  </si>
  <si>
    <t xml:space="preserve">DSCR - Tranche A</t>
  </si>
  <si>
    <t xml:space="preserve">DSCR - Tranche B</t>
  </si>
  <si>
    <t xml:space="preserve">DSCR - Tranche C</t>
  </si>
  <si>
    <t xml:space="preserve">Interest Rate For Period, Tranche A</t>
  </si>
  <si>
    <t xml:space="preserve">Interest Rate For Period, Tranche B</t>
  </si>
  <si>
    <t xml:space="preserve">Interest Rate For Period, Tranche C</t>
  </si>
  <si>
    <t xml:space="preserve">Total Annual CFAFDS</t>
  </si>
  <si>
    <t xml:space="preserve">NPV of CFAFDS Tranche A</t>
  </si>
  <si>
    <t xml:space="preserve">NPV of CFAFDS Tranche B</t>
  </si>
  <si>
    <t xml:space="preserve">NPV of CFAFDS Tranche C</t>
  </si>
  <si>
    <t xml:space="preserve">NPV of Total CFAFDS</t>
  </si>
  <si>
    <t xml:space="preserve">  Beginning Balance</t>
  </si>
  <si>
    <t xml:space="preserve">  Interest </t>
  </si>
  <si>
    <t xml:space="preserve">  Principal</t>
  </si>
  <si>
    <t xml:space="preserve">  Total Debt Service</t>
  </si>
  <si>
    <t xml:space="preserve">  Ending Balance</t>
  </si>
  <si>
    <t xml:space="preserve">  Average Life (years)</t>
  </si>
  <si>
    <t xml:space="preserve">TOTAL ANNUAL DEBT AMORTIZATION</t>
  </si>
  <si>
    <t xml:space="preserve">  Check</t>
  </si>
  <si>
    <t xml:space="preserve">TRANCHE 1</t>
  </si>
  <si>
    <t xml:space="preserve">Beginning Prinipal</t>
  </si>
  <si>
    <t xml:space="preserve">Grace Period</t>
  </si>
  <si>
    <t xml:space="preserve">Project Period</t>
  </si>
  <si>
    <t xml:space="preserve">     Beginning Balance</t>
  </si>
  <si>
    <t xml:space="preserve">     Interests</t>
  </si>
  <si>
    <t xml:space="preserve">     Principal Payments</t>
  </si>
  <si>
    <t xml:space="preserve">     Debt Service</t>
  </si>
  <si>
    <t xml:space="preserve">     Ending Balance</t>
  </si>
  <si>
    <t xml:space="preserve">     Average Life (years)</t>
  </si>
  <si>
    <t xml:space="preserve">Percentage of Principal Repaid</t>
  </si>
  <si>
    <t xml:space="preserve">TRANCHE 2</t>
  </si>
  <si>
    <t xml:space="preserve">TRANCHE 3</t>
  </si>
  <si>
    <t xml:space="preserve">Returns Summary</t>
  </si>
  <si>
    <t xml:space="preserve">Equity Returns Analysis</t>
  </si>
  <si>
    <t xml:space="preserve">Date of Cashflow</t>
  </si>
  <si>
    <t xml:space="preserve">Pretax Cashflow</t>
  </si>
  <si>
    <t xml:space="preserve">Pre-Tax XIRR</t>
  </si>
  <si>
    <t xml:space="preserve">Pre-Tax XNPV</t>
  </si>
  <si>
    <t xml:space="preserve">After-Tax Cashflow</t>
  </si>
  <si>
    <t xml:space="preserve">After-Tax XIRR</t>
  </si>
  <si>
    <t xml:space="preserve">After-Tax XNPV</t>
  </si>
  <si>
    <t xml:space="preserve">Unlevered Pre-tax Cash Flow</t>
  </si>
  <si>
    <t xml:space="preserve">Pre-tax Unlevered XIRR</t>
  </si>
  <si>
    <t xml:space="preserve">Pre-tax Unlevered XNPV</t>
  </si>
  <si>
    <t xml:space="preserve">Discount Rate</t>
  </si>
  <si>
    <t xml:space="preserve">NPV</t>
  </si>
  <si>
    <t xml:space="preserve">IRR</t>
  </si>
  <si>
    <t xml:space="preserve">Debt Amounts and Annual Balances</t>
  </si>
  <si>
    <t xml:space="preserve">  Debt Payment, P+I ($MM)</t>
  </si>
  <si>
    <t xml:space="preserve">  Debt Service Coverage Ratio (EWG)</t>
  </si>
  <si>
    <t xml:space="preserve">  Remaining Debt Outstanding</t>
  </si>
  <si>
    <t xml:space="preserve">  Debt Reserve</t>
  </si>
  <si>
    <t xml:space="preserve">  Debt Service, P+I ($MM)</t>
  </si>
  <si>
    <t xml:space="preserve">  Min DSCR</t>
  </si>
  <si>
    <t xml:space="preserve">Income Statement</t>
  </si>
  <si>
    <t xml:space="preserve">REVENUE</t>
  </si>
  <si>
    <t xml:space="preserve">   Energy Revenues</t>
  </si>
  <si>
    <t xml:space="preserve">  Capacity Revenues</t>
  </si>
  <si>
    <t xml:space="preserve">  Variable Energy Payment</t>
  </si>
  <si>
    <t xml:space="preserve">   Block Revenue</t>
  </si>
  <si>
    <t xml:space="preserve">   Energy Margin</t>
  </si>
  <si>
    <t xml:space="preserve">   Total Revenue</t>
  </si>
  <si>
    <t xml:space="preserve">EXPENSES</t>
  </si>
  <si>
    <t xml:space="preserve">Variable Expenses:</t>
  </si>
  <si>
    <t xml:space="preserve">   Fuel and start up fuel</t>
  </si>
  <si>
    <t xml:space="preserve">  Water Treatment</t>
  </si>
  <si>
    <t xml:space="preserve">  FERC Fee</t>
  </si>
  <si>
    <t xml:space="preserve">  Variable Maintenance</t>
  </si>
  <si>
    <t xml:space="preserve">  Total Variabl Op. Costs</t>
  </si>
  <si>
    <t xml:space="preserve">  Total Variable Expenses</t>
  </si>
  <si>
    <t xml:space="preserve">Per Start Expenses:</t>
  </si>
  <si>
    <t xml:space="preserve">   Start-Up Fuel</t>
  </si>
  <si>
    <t xml:space="preserve">   Major Maintenance Accrual</t>
  </si>
  <si>
    <t xml:space="preserve">Total Per Start Expenses</t>
  </si>
  <si>
    <t xml:space="preserve">Fixed Expenses:</t>
  </si>
  <si>
    <t xml:space="preserve">   Payroll &amp; Burden</t>
  </si>
  <si>
    <t xml:space="preserve">   Other O&amp;M Expenses</t>
  </si>
  <si>
    <t xml:space="preserve">   Admin Fee</t>
  </si>
  <si>
    <t xml:space="preserve">   Marketing Fee</t>
  </si>
  <si>
    <t xml:space="preserve">   O&amp;M Fee</t>
  </si>
  <si>
    <t xml:space="preserve">   Total Fixed Expenses</t>
  </si>
  <si>
    <t xml:space="preserve">Fixed G&amp;A:</t>
  </si>
  <si>
    <t xml:space="preserve">   Total Insurance</t>
  </si>
  <si>
    <t xml:space="preserve">   Utilities : Start Up Power</t>
  </si>
  <si>
    <t xml:space="preserve">   Utilities : Facility Load</t>
  </si>
  <si>
    <t xml:space="preserve">   Interconnection Fees</t>
  </si>
  <si>
    <t xml:space="preserve">   Gas Pipeline Metering</t>
  </si>
  <si>
    <t xml:space="preserve">   Miscellaneous</t>
  </si>
  <si>
    <t xml:space="preserve">   Total Fixed G&amp;A</t>
  </si>
  <si>
    <t xml:space="preserve">Property Taxes</t>
  </si>
  <si>
    <t xml:space="preserve">Operating Taxes</t>
  </si>
  <si>
    <t xml:space="preserve">   Franchise Tax</t>
  </si>
  <si>
    <t xml:space="preserve">   Gross Receipts Tax</t>
  </si>
  <si>
    <t xml:space="preserve">TOTAL EXPENSES</t>
  </si>
  <si>
    <t xml:space="preserve">   Book Depreciation &amp; Amortization</t>
  </si>
  <si>
    <t xml:space="preserve">   Project Cost Expensed</t>
  </si>
  <si>
    <t xml:space="preserve">EBIT</t>
  </si>
  <si>
    <t xml:space="preserve">   Interest Expense</t>
  </si>
  <si>
    <t xml:space="preserve">   Interest Income</t>
  </si>
  <si>
    <t xml:space="preserve">   Net Interest Expense</t>
  </si>
  <si>
    <t xml:space="preserve">EBT</t>
  </si>
  <si>
    <t xml:space="preserve">   Book Provision for Taxes</t>
  </si>
  <si>
    <t xml:space="preserve">NPV of 2001 EBTD</t>
  </si>
  <si>
    <t xml:space="preserve">NPV of 2001 Earnings</t>
  </si>
  <si>
    <t xml:space="preserve">Cash Flow Statement</t>
  </si>
  <si>
    <t xml:space="preserve">Pretax Book Income</t>
  </si>
  <si>
    <t xml:space="preserve">  Plus Depreciation &amp; Amortization</t>
  </si>
  <si>
    <t xml:space="preserve">  Plus Accrued Prop Tax Expense</t>
  </si>
  <si>
    <t xml:space="preserve">  Less Property Tax Payment</t>
  </si>
  <si>
    <t xml:space="preserve">  Plus Accrued Interest Expense</t>
  </si>
  <si>
    <t xml:space="preserve">  Less Interest Payments</t>
  </si>
  <si>
    <t xml:space="preserve">  Less Principal Payments</t>
  </si>
  <si>
    <t xml:space="preserve">Subtotal </t>
  </si>
  <si>
    <t xml:space="preserve">  Less Debt Reserve Funding</t>
  </si>
  <si>
    <t xml:space="preserve">  Plus Release of Debt Reserve</t>
  </si>
  <si>
    <t xml:space="preserve">  Initial Working Capital Adjustment</t>
  </si>
  <si>
    <t xml:space="preserve">Pretax Cash Flow</t>
  </si>
  <si>
    <t xml:space="preserve">  Total Income Tax Expense (Benefit)</t>
  </si>
  <si>
    <t xml:space="preserve">  Cash Flow Available to Preferred Equity</t>
  </si>
  <si>
    <t xml:space="preserve">  Dividends </t>
  </si>
  <si>
    <t xml:space="preserve">  Accrued Dividends To Date</t>
  </si>
  <si>
    <t xml:space="preserve">  Dividends Paid</t>
  </si>
  <si>
    <t xml:space="preserve">  Ending Principal Amount</t>
  </si>
  <si>
    <t xml:space="preserve">Common Equity</t>
  </si>
  <si>
    <t xml:space="preserve">  Cash Flow Available to Common Equity</t>
  </si>
  <si>
    <t xml:space="preserve">Balance Sheet</t>
  </si>
  <si>
    <t xml:space="preserve">Assets:</t>
  </si>
  <si>
    <t xml:space="preserve">Cash</t>
  </si>
  <si>
    <t xml:space="preserve">Accounts Receivable</t>
  </si>
  <si>
    <t xml:space="preserve">Inventories</t>
  </si>
  <si>
    <t xml:space="preserve">Other Current Assets</t>
  </si>
  <si>
    <t xml:space="preserve">Debt Service Reserve</t>
  </si>
  <si>
    <t xml:space="preserve">Maintenance Reserve</t>
  </si>
  <si>
    <t xml:space="preserve">Total Current Assets</t>
  </si>
  <si>
    <t xml:space="preserve">Gross PP&amp;E</t>
  </si>
  <si>
    <t xml:space="preserve">Accumulated Depreciation</t>
  </si>
  <si>
    <t xml:space="preserve">Net PP&amp;E</t>
  </si>
  <si>
    <t xml:space="preserve">Land</t>
  </si>
  <si>
    <t xml:space="preserve">Other Assets</t>
  </si>
  <si>
    <t xml:space="preserve">Total Assets</t>
  </si>
  <si>
    <t xml:space="preserve">Liabilities</t>
  </si>
  <si>
    <t xml:space="preserve">Accounts Payable</t>
  </si>
  <si>
    <t xml:space="preserve">Accrued Expenses</t>
  </si>
  <si>
    <t xml:space="preserve">Deferred Tax Liability</t>
  </si>
  <si>
    <t xml:space="preserve">Working Capital Revolver</t>
  </si>
  <si>
    <t xml:space="preserve">Long Term Debt</t>
  </si>
  <si>
    <t xml:space="preserve">Other Non-Current Liabilities</t>
  </si>
  <si>
    <t xml:space="preserve">Total Long-term Liabilities</t>
  </si>
  <si>
    <t xml:space="preserve">Stockholders' Equity</t>
  </si>
  <si>
    <t xml:space="preserve">Paid-In-Capital</t>
  </si>
  <si>
    <t xml:space="preserve">Retained earnings</t>
  </si>
  <si>
    <t xml:space="preserve">Total stockholders' equity</t>
  </si>
  <si>
    <t xml:space="preserve">Total Liabilities &amp; Equity</t>
  </si>
  <si>
    <t xml:space="preserve">Proof</t>
  </si>
  <si>
    <t xml:space="preserve">Paste Range for Franchise Tax Calc</t>
  </si>
  <si>
    <t xml:space="preserve">Note:  If this range is moved the MACRO will not paste into the correct range.</t>
  </si>
  <si>
    <t xml:space="preserve">Stockholders Equity</t>
  </si>
  <si>
    <t xml:space="preserve">State and Federal Tax Calculation</t>
  </si>
  <si>
    <t xml:space="preserve">STATE TAXES</t>
  </si>
  <si>
    <t xml:space="preserve">State Franchise Taxes</t>
  </si>
  <si>
    <t xml:space="preserve">    Capital Employed</t>
  </si>
  <si>
    <t xml:space="preserve">   State Franchise Tax Rate</t>
  </si>
  <si>
    <t xml:space="preserve">   State Franchise Tax Liability</t>
  </si>
  <si>
    <t xml:space="preserve">State Gross Receipts Taxes</t>
  </si>
  <si>
    <t xml:space="preserve">   Gross Receipts on non TVA hours ONLY</t>
  </si>
  <si>
    <t xml:space="preserve">   Gross Receipts Tax Rate</t>
  </si>
  <si>
    <t xml:space="preserve">   Gross Receipts Tax Liability</t>
  </si>
  <si>
    <t xml:space="preserve">State Income Taxes</t>
  </si>
  <si>
    <t xml:space="preserve">   Pretax Book Income</t>
  </si>
  <si>
    <t xml:space="preserve">   Plus Book Depreciation &amp; Amortization</t>
  </si>
  <si>
    <t xml:space="preserve">   Less State Tax Depreciation</t>
  </si>
  <si>
    <t xml:space="preserve">   State Taxable Income</t>
  </si>
  <si>
    <t xml:space="preserve">   Taxable Income</t>
  </si>
  <si>
    <t xml:space="preserve">   State Income Tax Rate</t>
  </si>
  <si>
    <t xml:space="preserve">   State Income Tax Expense (Benefit)</t>
  </si>
  <si>
    <t xml:space="preserve">   Beginning NOL's</t>
  </si>
  <si>
    <t xml:space="preserve">   New NOL's</t>
  </si>
  <si>
    <t xml:space="preserve">   Expired NOL's</t>
  </si>
  <si>
    <t xml:space="preserve">20 Years</t>
  </si>
  <si>
    <t xml:space="preserve">   NOL Utilization</t>
  </si>
  <si>
    <t xml:space="preserve">   Ending NOL's</t>
  </si>
  <si>
    <t xml:space="preserve">   State Cash Income Taxes Payable/(Benefit)</t>
  </si>
  <si>
    <t xml:space="preserve">FEDERAL TAXES</t>
  </si>
  <si>
    <t xml:space="preserve">   Less: Federal Tax Depreciation</t>
  </si>
  <si>
    <t xml:space="preserve">   Less: State Taxes</t>
  </si>
  <si>
    <t xml:space="preserve">   Federal Tax Rate</t>
  </si>
  <si>
    <t xml:space="preserve">   Federal Tax Expense (Benefit)</t>
  </si>
  <si>
    <t xml:space="preserve">   NOL Carryforward</t>
  </si>
  <si>
    <t xml:space="preserve">    Total Federal Cash Taxes Payable/(Benefit)</t>
  </si>
  <si>
    <t xml:space="preserve">Total Cash Taxes</t>
  </si>
  <si>
    <t xml:space="preserve">Total Book Taxes</t>
  </si>
  <si>
    <t xml:space="preserve">  Total Deferred Tax Liability</t>
  </si>
  <si>
    <t xml:space="preserve">  Cumulative DTL</t>
  </si>
  <si>
    <t xml:space="preserve">Fuel Sales and Use Tax</t>
  </si>
  <si>
    <t xml:space="preserve">Total Production Costs Less Fuel</t>
  </si>
  <si>
    <t xml:space="preserve">3% of Above</t>
  </si>
  <si>
    <t xml:space="preserve">Sales &amp; Use Tax on 3% of Production Cost</t>
  </si>
  <si>
    <t xml:space="preserve">Depreciation and Property Taxes</t>
  </si>
  <si>
    <t xml:space="preserve">US FEDERAL TAX DEPRECIATION &amp; AMORTIZATION</t>
  </si>
  <si>
    <t xml:space="preserve">   Plant and Equipment - MACRS</t>
  </si>
  <si>
    <t xml:space="preserve">   Start-up Costs - SL </t>
  </si>
  <si>
    <t xml:space="preserve">   Debt Iss &amp; Loan Fees - SL</t>
  </si>
  <si>
    <t xml:space="preserve">   Tax Depr - Plant and Equipment</t>
  </si>
  <si>
    <t xml:space="preserve">   Amort - Start-up Costs</t>
  </si>
  <si>
    <t xml:space="preserve">   Amort - Debt Iss &amp; Loan Fees</t>
  </si>
  <si>
    <t xml:space="preserve">   EI O&amp;M Mobilization</t>
  </si>
  <si>
    <t xml:space="preserve">   Total Annual Depr &amp; Amort </t>
  </si>
  <si>
    <t xml:space="preserve">STATE TAX DEPRECIATION &amp; AMORTIZATION</t>
  </si>
  <si>
    <t xml:space="preserve">BOOK DEPRECIATION &amp; AMORTIZATION</t>
  </si>
  <si>
    <t xml:space="preserve">Residual</t>
  </si>
  <si>
    <t xml:space="preserve">   Plant and Equipment - SL</t>
  </si>
  <si>
    <t xml:space="preserve">   Book Depr - Plant and Equipment</t>
  </si>
  <si>
    <t xml:space="preserve">   Total Beginning Book Value</t>
  </si>
  <si>
    <t xml:space="preserve">   Ending Book Value of Assets</t>
  </si>
  <si>
    <t xml:space="preserve">PROPERTY TAX CALCULATION</t>
  </si>
  <si>
    <t xml:space="preserve">   Assessable Value of Hard Assets</t>
  </si>
  <si>
    <t xml:space="preserve">   Annual Depreciated Assessable Value</t>
  </si>
  <si>
    <t xml:space="preserve">   Annual State Tax (with abatement)</t>
  </si>
  <si>
    <t xml:space="preserve">   Annual County Tax (with abatement)</t>
  </si>
  <si>
    <t xml:space="preserve">   Annual City Tax (no city taxes)</t>
  </si>
  <si>
    <t xml:space="preserve">   Total Property Tax (with Abatement)</t>
  </si>
  <si>
    <t xml:space="preserve">15 Year MACRS Table</t>
  </si>
  <si>
    <t xml:space="preserve">Half-Year Convention</t>
  </si>
  <si>
    <t xml:space="preserve">Year</t>
  </si>
  <si>
    <t xml:space="preserve">Depr. %</t>
  </si>
  <si>
    <t xml:space="preserve">20 Year MACRS Table</t>
  </si>
  <si>
    <t xml:space="preserve">IDC Calculations</t>
  </si>
  <si>
    <t xml:space="preserve">CARRYING COST OF TURBINES, TRANSFORMERS AND CIRCUIT BREAKERS</t>
  </si>
  <si>
    <t xml:space="preserve">Total Cost Drawdown</t>
  </si>
  <si>
    <t xml:space="preserve">Base Rate</t>
  </si>
  <si>
    <t xml:space="preserve">Term (Months)</t>
  </si>
  <si>
    <t xml:space="preserve">Monthly Rate</t>
  </si>
  <si>
    <t xml:space="preserve">Financing Fee (Annual)</t>
  </si>
  <si>
    <t xml:space="preserve">Drawdown Schedule</t>
  </si>
  <si>
    <t xml:space="preserve">   0=Straightline, 1=Custom</t>
  </si>
  <si>
    <t xml:space="preserve">Calculated IDC</t>
  </si>
  <si>
    <t xml:space="preserve">Month</t>
  </si>
  <si>
    <t xml:space="preserve">Percent Drawn Down</t>
  </si>
  <si>
    <t xml:space="preserve">Cummulative Principal (Incl. Int.)</t>
  </si>
  <si>
    <t xml:space="preserve">Monthly Interest</t>
  </si>
  <si>
    <t xml:space="preserve">Cumulative Interest</t>
  </si>
  <si>
    <t xml:space="preserve">Number of Starts to Maintenance Draw</t>
  </si>
  <si>
    <t xml:space="preserve">Number of Starts per Year</t>
  </si>
  <si>
    <t xml:space="preserve">Total Cumulative Starts</t>
  </si>
  <si>
    <t xml:space="preserve">Annual Overhaul Accrual Expense</t>
  </si>
  <si>
    <t xml:space="preserve">Estimated Cost Schedule for 120 Starts</t>
  </si>
  <si>
    <t xml:space="preserve">Cumulative Overhaul Accrual Expense</t>
  </si>
  <si>
    <t xml:space="preserve">Annual Overhaul Accrual Interest Income</t>
  </si>
  <si>
    <t xml:space="preserve">Cumulative Overhaul Accrual Interest Income</t>
  </si>
  <si>
    <t xml:space="preserve">Annual Growth of Total Cost</t>
  </si>
  <si>
    <t xml:space="preserve">Sales &amp; Use Tax on Fuel </t>
  </si>
  <si>
    <t xml:space="preserve">NO. of Starts Per Yr.</t>
  </si>
  <si>
    <t xml:space="preserve">Major Main</t>
  </si>
  <si>
    <t xml:space="preserve">Fuel</t>
  </si>
  <si>
    <t xml:space="preserve">Total/Start Cost</t>
  </si>
  <si>
    <t xml:space="preserve">Fuel %</t>
  </si>
  <si>
    <t xml:space="preserve">Main %</t>
  </si>
  <si>
    <t xml:space="preserve">Fuel Price</t>
  </si>
  <si>
    <t xml:space="preserve">Fuel /Start/Turbine</t>
  </si>
</sst>
</file>

<file path=xl/styles.xml><?xml version="1.0" encoding="utf-8"?>
<styleSheet xmlns="http://schemas.openxmlformats.org/spreadsheetml/2006/main">
  <numFmts count="103">
    <numFmt numFmtId="164" formatCode="General"/>
    <numFmt numFmtId="165" formatCode="0.00000000000000000000000000"/>
    <numFmt numFmtId="166" formatCode="0.0000E+00"/>
    <numFmt numFmtId="167" formatCode="\$#,##0.00000"/>
    <numFmt numFmtId="168" formatCode="\$#,##0.0000"/>
    <numFmt numFmtId="169" formatCode="[$-409]#,##0_);[RED]\(#,##0\)"/>
    <numFmt numFmtId="170" formatCode="\$#,##0_);[RED]&quot;($&quot;#,##0\)"/>
    <numFmt numFmtId="171" formatCode="m"/>
    <numFmt numFmtId="172" formatCode="0.000000000_)"/>
    <numFmt numFmtId="173" formatCode="\£#,##0.0000_);&quot;(£&quot;#,##0.0000\)"/>
    <numFmt numFmtId="174" formatCode="\$#,##0;[RED]\$#,##0"/>
    <numFmt numFmtId="175" formatCode="0.0000000000000000000000000000"/>
    <numFmt numFmtId="176" formatCode="#,##0.00000000000000000000"/>
    <numFmt numFmtId="177" formatCode="0.0000000%"/>
    <numFmt numFmtId="178" formatCode="0.000000%"/>
    <numFmt numFmtId="179" formatCode="[$-409]#,##0.00_);[RED]\(#,##0.00\)"/>
    <numFmt numFmtId="180" formatCode="\$#,##0.00_);[RED]&quot;($&quot;#,##0.00\)"/>
    <numFmt numFmtId="181" formatCode="_(\$* #,##0.000_);_(\$* \(#,##0.000\);_(\$* \-??_);_(@_)"/>
    <numFmt numFmtId="182" formatCode="0.0000000000000000000000"/>
    <numFmt numFmtId="183" formatCode="0.00000000000"/>
    <numFmt numFmtId="184" formatCode="_(* #,##0.00000000000000_);_(* \(#,##0.00000000000000\);_(* \-_);_(@_)"/>
    <numFmt numFmtId="185" formatCode="_(* #,##0_);_(* \(#,##0\);_(* \-_);_(@_)"/>
    <numFmt numFmtId="186" formatCode="\$#,##0.0000000_);&quot;($&quot;#,##0.0000000\)"/>
    <numFmt numFmtId="187" formatCode="0.000000000000000%"/>
    <numFmt numFmtId="188" formatCode="0.00_);[RED]\(0.00\)"/>
    <numFmt numFmtId="189" formatCode="\£#,##0.00_);&quot;(£&quot;#,##0.00\)"/>
    <numFmt numFmtId="190" formatCode="0.000000000000000000000000000000000"/>
    <numFmt numFmtId="191" formatCode="0.000"/>
    <numFmt numFmtId="192" formatCode="_(* #,##0.0_);_(* \(#,##0.0\);_(* \-?_);_(@_)"/>
    <numFmt numFmtId="193" formatCode="_(* #,##0.00_);_(* \(#,##0.00\);_(* \-??_);_(@_)"/>
    <numFmt numFmtId="194" formatCode="#,##0.00"/>
    <numFmt numFmtId="195" formatCode="0.0000000000"/>
    <numFmt numFmtId="196" formatCode="\£#,##0.00_);[RED]&quot;(£&quot;#,##0.00\)"/>
    <numFmt numFmtId="197" formatCode="0_);[RED]\(0\)"/>
    <numFmt numFmtId="198" formatCode="0.00000000000000000000000000000000000"/>
    <numFmt numFmtId="199" formatCode="_(* #,##0.0000000000000_);_(* \(#,##0.0000000000000\);_(* \-_);_(@_)"/>
    <numFmt numFmtId="200" formatCode="_(\$* #,##0_);_(\$* \(#,##0\);_(\$* \-_);_(@_)"/>
    <numFmt numFmtId="201" formatCode="##0.000"/>
    <numFmt numFmtId="202" formatCode="_(* #,##0.0000000000_);_(* \(#,##0.0000000000\);_(* \-_);_(@_)"/>
    <numFmt numFmtId="203" formatCode="_(\$* #,##0.000000_);_(\$* \(#,##0.000000\);_(\$* \-??_);_(@_)"/>
    <numFmt numFmtId="204" formatCode="0.0000000000000000"/>
    <numFmt numFmtId="205" formatCode="0.0000_)"/>
    <numFmt numFmtId="206" formatCode="#,##0.000_);\(#,##0.000\)"/>
    <numFmt numFmtId="207" formatCode="_(\$* #,##0.00000_);_(\$* \(#,##0.00000\);_(\$* \-??_);_(@_)"/>
    <numFmt numFmtId="208" formatCode="0.000E+00"/>
    <numFmt numFmtId="209" formatCode="0.00000000000000%"/>
    <numFmt numFmtId="210" formatCode="\£#,##0.0_);&quot;(£&quot;#,##0.0\)"/>
    <numFmt numFmtId="211" formatCode="0.0000000000000000000000000"/>
    <numFmt numFmtId="212" formatCode="m/d/yyyy"/>
    <numFmt numFmtId="213" formatCode="0.00000000000000000000000000000000"/>
    <numFmt numFmtId="214" formatCode="\£#,##0.0_);[RED]&quot;(£&quot;#,##0.0\)"/>
    <numFmt numFmtId="215" formatCode="_(* #,##0.0000_);_(* \(#,##0.0000\);_(* \-??_);_(@_)"/>
    <numFmt numFmtId="216" formatCode="_(* #,##0.00000000_);_(* \(#,##0.00000000\);_(* \-??_);_(@_)"/>
    <numFmt numFmtId="217" formatCode="_(\$* #,##0.00_);_(\$* \(#,##0.00\);_(\$* \-??_);_(@_)"/>
    <numFmt numFmtId="218" formatCode="_(* #,##0.000000000000_);_(* \(#,##0.000000000000\);_(* \-_);_(@_)"/>
    <numFmt numFmtId="219" formatCode="#,##0.000_);[RED]\(#,##0.000\)"/>
    <numFmt numFmtId="220" formatCode="0.00000000000000000"/>
    <numFmt numFmtId="221" formatCode="0.000000000"/>
    <numFmt numFmtId="222" formatCode="\£#,##0_);&quot;(£&quot;#,##0\)"/>
    <numFmt numFmtId="223" formatCode="_(\$* #,##0.0000000_);_(\$* \(#,##0.0000000\);_(\$* \-??_);_(@_)"/>
    <numFmt numFmtId="224" formatCode="[$-409]m/d/yyyy"/>
    <numFmt numFmtId="225" formatCode="\£#,##0.000_);&quot;(£&quot;#,##0.000\)"/>
    <numFmt numFmtId="226" formatCode="0.000000000000000000000000000"/>
    <numFmt numFmtId="227" formatCode="0.0000000000000000000000000000000000"/>
    <numFmt numFmtId="228" formatCode="\£#,##0_);[RED]&quot;(£&quot;#,##0\)"/>
    <numFmt numFmtId="229" formatCode="0.00"/>
    <numFmt numFmtId="230" formatCode="[$-409]d\-mmm\-yy"/>
    <numFmt numFmtId="231" formatCode=";;;"/>
    <numFmt numFmtId="232" formatCode="m/d/yyyy\ h:mm:ss"/>
    <numFmt numFmtId="233" formatCode="_(* #,##0.000_);_(* \(#,##0.000\);_(* \-???_);_(@_)"/>
    <numFmt numFmtId="234" formatCode="0.000000000000000000"/>
    <numFmt numFmtId="235" formatCode="[$-409]#,##0_);\(#,##0\)"/>
    <numFmt numFmtId="236" formatCode="0.00_)"/>
    <numFmt numFmtId="237" formatCode="0.000000000000000000000000000000"/>
    <numFmt numFmtId="238" formatCode="General_)"/>
    <numFmt numFmtId="239" formatCode="#,##0"/>
    <numFmt numFmtId="240" formatCode="#,##0.0_);\(#,##0.0\)"/>
    <numFmt numFmtId="241" formatCode="#,##0.0000_);[RED]\(#,##0.0000\)"/>
    <numFmt numFmtId="242" formatCode="0"/>
    <numFmt numFmtId="243" formatCode="0.00%"/>
    <numFmt numFmtId="244" formatCode="0%"/>
    <numFmt numFmtId="245" formatCode="00000"/>
    <numFmt numFmtId="246" formatCode="\$#,##0_);&quot;($&quot;#,##0\)"/>
    <numFmt numFmtId="247" formatCode="_(\$* #,##0_);_(\$* \(#,##0\);_(\$* \-??_);_(@_)"/>
    <numFmt numFmtId="248" formatCode="_(* #,##0_);_(* \(#,##0\);_(* \-??_);_(@_)"/>
    <numFmt numFmtId="249" formatCode="0.000%"/>
    <numFmt numFmtId="250" formatCode="0.0%"/>
    <numFmt numFmtId="251" formatCode="\$#,##0.000_);[RED]&quot;($&quot;#,##0.000\)"/>
    <numFmt numFmtId="252" formatCode="_(* #,##0.0_);_(* \(#,##0.0\);_(* \-_);_(@_)"/>
    <numFmt numFmtId="253" formatCode="\$#,##0.000"/>
    <numFmt numFmtId="254" formatCode="[$-409]0.00"/>
    <numFmt numFmtId="255" formatCode="0.0"/>
    <numFmt numFmtId="256" formatCode="\$#,##0.00"/>
    <numFmt numFmtId="257" formatCode="\$#,##0.000_);&quot;($&quot;#,##0.000\)"/>
    <numFmt numFmtId="258" formatCode="\$#,##0.00_);&quot;($&quot;#,##0.00\)"/>
    <numFmt numFmtId="259" formatCode="0_)"/>
    <numFmt numFmtId="260" formatCode="_(* #,##0.0_);_(* \(#,##0.0\);_(* \-??_);_(@_)"/>
    <numFmt numFmtId="261" formatCode="[$-409]#,##0.00_);\(#,##0.00\)"/>
    <numFmt numFmtId="262" formatCode="_(* #,##0.000000_);_(* \(#,##0.000000\);_(* \-??_);_(@_)"/>
    <numFmt numFmtId="263" formatCode="_(* #,##0.00000_);_(* \(#,##0.00000\);_(* \-??_);_(@_)"/>
    <numFmt numFmtId="264" formatCode="_(* #,##0.00_);_(* \(#,##0.00\);_(* \-_);_(@_)"/>
    <numFmt numFmtId="265" formatCode="mmm\-yy_)"/>
    <numFmt numFmtId="266" formatCode="0.000_)"/>
  </numFmts>
  <fonts count="134">
    <font>
      <sz val="10"/>
      <name val="Arial"/>
      <family val="0"/>
    </font>
    <font>
      <sz val="10"/>
      <name val="Arial"/>
      <family val="0"/>
    </font>
    <font>
      <sz val="10"/>
      <name val="Arial"/>
      <family val="0"/>
    </font>
    <font>
      <sz val="10"/>
      <name val="Arial"/>
      <family val="0"/>
    </font>
    <font>
      <sz val="10"/>
      <name val="MS Sans Serif"/>
      <family val="2"/>
    </font>
    <font>
      <sz val="12"/>
      <name val="???"/>
      <family val="3"/>
      <charset val="129"/>
    </font>
    <font>
      <sz val="12"/>
      <name val="???"/>
      <family val="1"/>
      <charset val="129"/>
    </font>
    <font>
      <sz val="10"/>
      <name val="???"/>
      <family val="3"/>
      <charset val="129"/>
    </font>
    <font>
      <sz val="11"/>
      <name val="??"/>
      <family val="3"/>
      <charset val="129"/>
    </font>
    <font>
      <sz val="10"/>
      <name val="Arial"/>
      <family val="2"/>
    </font>
    <font>
      <sz val="11"/>
      <name val="???"/>
      <family val="1"/>
      <charset val="129"/>
    </font>
    <font>
      <sz val="11"/>
      <name val="???"/>
      <family val="3"/>
      <charset val="129"/>
    </font>
    <font>
      <sz val="8"/>
      <name val="Arial"/>
      <family val="2"/>
    </font>
    <font>
      <b val="true"/>
      <u val="single"/>
      <sz val="11"/>
      <color rgb="FF800000"/>
      <name val="Arial"/>
      <family val="2"/>
    </font>
    <font>
      <sz val="10"/>
      <color rgb="FF0000FF"/>
      <name val="Arial"/>
      <family val="2"/>
    </font>
    <font>
      <u val="single"/>
      <sz val="8.4"/>
      <color rgb="FF0000FF"/>
      <name val="Arial"/>
      <family val="2"/>
    </font>
    <font>
      <sz val="7"/>
      <name val="Small Fonts"/>
      <family val="0"/>
    </font>
    <font>
      <b val="true"/>
      <i val="true"/>
      <sz val="16"/>
      <name val="Arial"/>
      <family val="0"/>
    </font>
    <font>
      <sz val="12"/>
      <name val="Arial"/>
      <family val="2"/>
    </font>
    <font>
      <sz val="10"/>
      <name val="Courier New"/>
      <family val="0"/>
    </font>
    <font>
      <sz val="12"/>
      <color rgb="FF000000"/>
      <name val="Arial MT"/>
      <family val="0"/>
    </font>
    <font>
      <sz val="10"/>
      <name val="MS Sans Serif"/>
      <family val="0"/>
    </font>
    <font>
      <sz val="12"/>
      <name val="Courier New"/>
      <family val="3"/>
    </font>
    <font>
      <sz val="8"/>
      <name val="Courier New"/>
      <family val="3"/>
    </font>
    <font>
      <sz val="10"/>
      <name val="Geneva"/>
      <family val="2"/>
    </font>
    <font>
      <sz val="8"/>
      <name val="Arial"/>
      <family val="0"/>
    </font>
    <font>
      <sz val="10"/>
      <name val="Book Antiqua"/>
      <family val="1"/>
    </font>
    <font>
      <sz val="10"/>
      <name val="Times New Roman"/>
      <family val="0"/>
    </font>
    <font>
      <sz val="10"/>
      <name val="Times New Roman"/>
      <family val="1"/>
    </font>
    <font>
      <sz val="8"/>
      <name val=""/>
      <family val="0"/>
    </font>
    <font>
      <sz val="8"/>
      <name val="MS Sans Serif"/>
      <family val="2"/>
    </font>
    <font>
      <sz val="10"/>
      <color rgb="FF000000"/>
      <name val="Arial"/>
      <family val="2"/>
    </font>
    <font>
      <sz val="12"/>
      <name val="Times New Roman"/>
      <family val="1"/>
    </font>
    <font>
      <sz val="10"/>
      <name val="Courier New"/>
      <family val="3"/>
    </font>
    <font>
      <sz val="10"/>
      <name val="Univers (W1)"/>
      <family val="0"/>
    </font>
    <font>
      <sz val="12"/>
      <name val="Times New Roman"/>
      <family val="0"/>
    </font>
    <font>
      <sz val="10"/>
      <name val="Univers (W1)"/>
      <family val="2"/>
    </font>
    <font>
      <b val="true"/>
      <sz val="14"/>
      <name val="Times New Roman"/>
      <family val="1"/>
    </font>
    <font>
      <b val="true"/>
      <sz val="14"/>
      <name val="Times New Roman"/>
      <family val="0"/>
    </font>
    <font>
      <sz val="10"/>
      <name val="Geneva"/>
      <family val="0"/>
    </font>
    <font>
      <sz val="14"/>
      <name val="AngsanaUPC"/>
      <family val="1"/>
    </font>
    <font>
      <sz val="9"/>
      <name val="Arial Narrow"/>
      <family val="2"/>
    </font>
    <font>
      <sz val="7"/>
      <name val="Arial"/>
      <family val="2"/>
    </font>
    <font>
      <sz val="7"/>
      <name val="Arial"/>
      <family val="0"/>
    </font>
    <font>
      <sz val="12"/>
      <name val="EucrosiaUPC"/>
      <family val="1"/>
    </font>
    <font>
      <sz val="14"/>
      <name val="CordiaUPC"/>
      <family val="1"/>
    </font>
    <font>
      <sz val="10"/>
      <name val="Advisor SSi"/>
      <family val="1"/>
    </font>
    <font>
      <sz val="14"/>
      <name val="FreesiaUPC"/>
      <family val="1"/>
    </font>
    <font>
      <sz val="12"/>
      <name val="PathWay Access 3.0"/>
      <family val="3"/>
    </font>
    <font>
      <sz val="12"/>
      <name val="Arial"/>
      <family val="0"/>
    </font>
    <font>
      <sz val="8.5"/>
      <name val="MS Sans Serif"/>
      <family val="2"/>
    </font>
    <font>
      <sz val="10"/>
      <name val="Arial Narrow"/>
      <family val="2"/>
    </font>
    <font>
      <sz val="10"/>
      <color rgb="FF000000"/>
      <name val="MS Sans Serif"/>
      <family val="0"/>
    </font>
    <font>
      <sz val="9"/>
      <name val="Arial"/>
      <family val="0"/>
    </font>
    <font>
      <sz val="11"/>
      <name val="Book Antiqua"/>
      <family val="1"/>
    </font>
    <font>
      <sz val="8"/>
      <name val="Times New Roman"/>
      <family val="0"/>
    </font>
    <font>
      <sz val="10"/>
      <name val="TimesNewRomanPS"/>
      <family val="1"/>
    </font>
    <font>
      <sz val="8"/>
      <name val="Times New Roman"/>
      <family val="1"/>
    </font>
    <font>
      <sz val="8"/>
      <color rgb="FF0000FF"/>
      <name val="Arial"/>
      <family val="2"/>
    </font>
    <font>
      <b val="true"/>
      <i val="true"/>
      <sz val="8"/>
      <name val="Times New Roman"/>
      <family val="1"/>
    </font>
    <font>
      <b val="true"/>
      <sz val="16"/>
      <name val="Times New Roman"/>
      <family val="1"/>
    </font>
    <font>
      <b val="true"/>
      <u val="single"/>
      <sz val="15"/>
      <color rgb="FFFF0000"/>
      <name val="Times New Roman"/>
      <family val="1"/>
    </font>
    <font>
      <b val="true"/>
      <sz val="8"/>
      <color rgb="FFFF0000"/>
      <name val="Times New Roman"/>
      <family val="1"/>
    </font>
    <font>
      <b val="true"/>
      <sz val="10"/>
      <name val="Times New Roman"/>
      <family val="1"/>
    </font>
    <font>
      <b val="true"/>
      <sz val="8"/>
      <color rgb="FF008000"/>
      <name val="Times New Roman"/>
      <family val="1"/>
    </font>
    <font>
      <b val="true"/>
      <sz val="8"/>
      <color rgb="FF800000"/>
      <name val="Times New Roman"/>
      <family val="1"/>
    </font>
    <font>
      <b val="true"/>
      <sz val="8"/>
      <name val="Times New Roman"/>
      <family val="1"/>
    </font>
    <font>
      <sz val="8"/>
      <color rgb="FF0000FF"/>
      <name val="Times New Roman"/>
      <family val="1"/>
    </font>
    <font>
      <b val="true"/>
      <sz val="10"/>
      <name val="Arial"/>
      <family val="0"/>
    </font>
    <font>
      <b val="true"/>
      <sz val="10"/>
      <name val="Arial"/>
      <family val="2"/>
    </font>
    <font>
      <b val="true"/>
      <u val="single"/>
      <sz val="10"/>
      <name val="Arial"/>
      <family val="2"/>
    </font>
    <font>
      <u val="single"/>
      <sz val="10"/>
      <name val="Arial"/>
      <family val="0"/>
    </font>
    <font>
      <sz val="9"/>
      <name val="Times New Roman"/>
      <family val="1"/>
    </font>
    <font>
      <sz val="9"/>
      <name val="Arial"/>
      <family val="2"/>
    </font>
    <font>
      <sz val="9"/>
      <color rgb="FF0000FF"/>
      <name val="Times New Roman"/>
      <family val="1"/>
    </font>
    <font>
      <b val="true"/>
      <sz val="11"/>
      <color rgb="FFFF0000"/>
      <name val="Times New Roman"/>
      <family val="1"/>
    </font>
    <font>
      <b val="true"/>
      <sz val="16"/>
      <color rgb="FF0000FF"/>
      <name val="Times New Roman"/>
      <family val="1"/>
    </font>
    <font>
      <sz val="11"/>
      <name val="Times New Roman"/>
      <family val="1"/>
    </font>
    <font>
      <b val="true"/>
      <u val="single"/>
      <sz val="12"/>
      <name val="Times New Roman"/>
      <family val="1"/>
    </font>
    <font>
      <sz val="9"/>
      <color rgb="FFFFFFFF"/>
      <name val="Times New Roman"/>
      <family val="1"/>
    </font>
    <font>
      <sz val="9"/>
      <color rgb="FF000000"/>
      <name val="Times New Roman"/>
      <family val="1"/>
    </font>
    <font>
      <b val="true"/>
      <sz val="9"/>
      <color rgb="FF0000FF"/>
      <name val="Times New Roman"/>
      <family val="1"/>
    </font>
    <font>
      <u val="single"/>
      <sz val="11"/>
      <name val="Times New Roman"/>
      <family val="1"/>
    </font>
    <font>
      <b val="true"/>
      <u val="single"/>
      <sz val="10"/>
      <name val="Times New Roman"/>
      <family val="1"/>
    </font>
    <font>
      <u val="single"/>
      <sz val="9"/>
      <color rgb="FF000000"/>
      <name val="Times New Roman"/>
      <family val="1"/>
    </font>
    <font>
      <u val="single"/>
      <sz val="9"/>
      <name val="Times New Roman"/>
      <family val="1"/>
    </font>
    <font>
      <b val="true"/>
      <u val="single"/>
      <sz val="9"/>
      <name val="Times New Roman"/>
      <family val="1"/>
    </font>
    <font>
      <u val="single"/>
      <sz val="9"/>
      <color rgb="FF0000FF"/>
      <name val="Times New Roman"/>
      <family val="1"/>
    </font>
    <font>
      <b val="true"/>
      <sz val="9"/>
      <name val="Times New Roman"/>
      <family val="1"/>
    </font>
    <font>
      <b val="true"/>
      <sz val="9"/>
      <color rgb="FF000000"/>
      <name val="Times New Roman"/>
      <family val="1"/>
    </font>
    <font>
      <b val="true"/>
      <u val="single"/>
      <sz val="12"/>
      <color rgb="FF000000"/>
      <name val="Times New Roman"/>
      <family val="1"/>
    </font>
    <font>
      <i val="true"/>
      <sz val="9"/>
      <name val="Times New Roman"/>
      <family val="1"/>
    </font>
    <font>
      <u val="single"/>
      <sz val="9"/>
      <color rgb="FFFFFFFF"/>
      <name val="Times New Roman"/>
      <family val="1"/>
    </font>
    <font>
      <sz val="9"/>
      <color rgb="FFFF0000"/>
      <name val="Times New Roman"/>
      <family val="1"/>
    </font>
    <font>
      <b val="true"/>
      <u val="single"/>
      <sz val="9"/>
      <color rgb="FF0000FF"/>
      <name val="Times New Roman"/>
      <family val="1"/>
    </font>
    <font>
      <sz val="9"/>
      <color rgb="FF003366"/>
      <name val="Times New Roman"/>
      <family val="1"/>
    </font>
    <font>
      <b val="true"/>
      <sz val="12"/>
      <name val="Times New Roman"/>
      <family val="1"/>
    </font>
    <font>
      <sz val="8"/>
      <color rgb="FFFF0000"/>
      <name val="Times New Roman"/>
      <family val="1"/>
    </font>
    <font>
      <b val="true"/>
      <sz val="8"/>
      <color rgb="FF000000"/>
      <name val="Tahoma"/>
      <family val="0"/>
    </font>
    <font>
      <sz val="8"/>
      <color rgb="FF000000"/>
      <name val="Tahoma"/>
      <family val="2"/>
    </font>
    <font>
      <b val="true"/>
      <sz val="8"/>
      <color rgb="FF000000"/>
      <name val="Tahoma"/>
      <family val="2"/>
    </font>
    <font>
      <sz val="8"/>
      <color rgb="FF000000"/>
      <name val="Tahoma"/>
      <family val="0"/>
    </font>
    <font>
      <b val="true"/>
      <u val="single"/>
      <sz val="8"/>
      <color rgb="FF000000"/>
      <name val="Tahoma"/>
      <family val="2"/>
    </font>
    <font>
      <b val="true"/>
      <sz val="10"/>
      <color rgb="FF000000"/>
      <name val="Tahoma"/>
      <family val="2"/>
    </font>
    <font>
      <sz val="10"/>
      <color rgb="FF000000"/>
      <name val="Tahoma"/>
      <family val="2"/>
    </font>
    <font>
      <sz val="12"/>
      <color rgb="FF000000"/>
      <name val="Tahoma"/>
      <family val="2"/>
    </font>
    <font>
      <b val="true"/>
      <sz val="12"/>
      <color rgb="FF000000"/>
      <name val="Tahoma"/>
      <family val="2"/>
    </font>
    <font>
      <b val="true"/>
      <u val="single"/>
      <sz val="8"/>
      <name val="Times New Roman"/>
      <family val="1"/>
    </font>
    <font>
      <u val="single"/>
      <sz val="8"/>
      <name val="Times New Roman"/>
      <family val="1"/>
    </font>
    <font>
      <b val="true"/>
      <sz val="8"/>
      <color rgb="FF0000FF"/>
      <name val="Times New Roman"/>
      <family val="1"/>
    </font>
    <font>
      <b val="true"/>
      <u val="single"/>
      <sz val="8"/>
      <name val="Arial"/>
      <family val="2"/>
    </font>
    <font>
      <sz val="8"/>
      <color rgb="FF000000"/>
      <name val="Times New Roman"/>
      <family val="1"/>
    </font>
    <font>
      <sz val="10"/>
      <color rgb="FF0000FF"/>
      <name val="Times New Roman"/>
      <family val="1"/>
    </font>
    <font>
      <u val="single"/>
      <sz val="10"/>
      <name val="Times New Roman"/>
      <family val="1"/>
    </font>
    <font>
      <u val="single"/>
      <sz val="10"/>
      <color rgb="FF000000"/>
      <name val="Times New Roman"/>
      <family val="1"/>
    </font>
    <font>
      <sz val="10"/>
      <color rgb="FF000000"/>
      <name val="Times New Roman"/>
      <family val="1"/>
    </font>
    <font>
      <u val="single"/>
      <sz val="8"/>
      <color rgb="FF0000FF"/>
      <name val="Times New Roman"/>
      <family val="1"/>
    </font>
    <font>
      <u val="double"/>
      <sz val="8"/>
      <name val="Times New Roman"/>
      <family val="1"/>
    </font>
    <font>
      <sz val="8"/>
      <color rgb="FFFFFFFF"/>
      <name val="Times New Roman"/>
      <family val="1"/>
    </font>
    <font>
      <sz val="10"/>
      <color rgb="FFFF0000"/>
      <name val="Times New Roman"/>
      <family val="1"/>
    </font>
    <font>
      <b val="true"/>
      <sz val="10"/>
      <color rgb="FF0000FF"/>
      <name val="Times New Roman"/>
      <family val="1"/>
    </font>
    <font>
      <b val="true"/>
      <i val="true"/>
      <u val="single"/>
      <sz val="8"/>
      <name val="Times New Roman"/>
      <family val="1"/>
    </font>
    <font>
      <b val="true"/>
      <sz val="8"/>
      <name val="Arial"/>
      <family val="2"/>
    </font>
    <font>
      <i val="true"/>
      <sz val="8"/>
      <name val="Times New Roman"/>
      <family val="1"/>
    </font>
    <font>
      <b val="true"/>
      <sz val="8"/>
      <color rgb="FF000000"/>
      <name val="Times New Roman"/>
      <family val="1"/>
    </font>
    <font>
      <u val="single"/>
      <sz val="8"/>
      <name val="Arial"/>
      <family val="2"/>
    </font>
    <font>
      <u val="single"/>
      <sz val="8"/>
      <name val="Arial"/>
      <family val="0"/>
    </font>
    <font>
      <sz val="10"/>
      <color rgb="FF0000FF"/>
      <name val="Arial"/>
      <family val="0"/>
    </font>
    <font>
      <u val="single"/>
      <sz val="10"/>
      <color rgb="FF0000FF"/>
      <name val="Arial"/>
      <family val="0"/>
    </font>
    <font>
      <sz val="8"/>
      <color rgb="FF000000"/>
      <name val="Arial MT"/>
      <family val="0"/>
    </font>
    <font>
      <b val="true"/>
      <i val="true"/>
      <sz val="8"/>
      <color rgb="FF000000"/>
      <name val="Times New Roman"/>
      <family val="1"/>
    </font>
    <font>
      <sz val="8"/>
      <color rgb="FF000000"/>
      <name val="P-TIMES"/>
      <family val="0"/>
    </font>
    <font>
      <b val="true"/>
      <sz val="8"/>
      <color rgb="FF3366FF"/>
      <name val="Times New Roman"/>
      <family val="1"/>
    </font>
    <font>
      <sz val="8"/>
      <color rgb="FF0000FF"/>
      <name val="P-TIMES"/>
      <family val="0"/>
    </font>
  </fonts>
  <fills count="15">
    <fill>
      <patternFill patternType="none"/>
    </fill>
    <fill>
      <patternFill patternType="gray125"/>
    </fill>
    <fill>
      <patternFill patternType="solid">
        <fgColor rgb="FF99CCFF"/>
        <bgColor rgb="FFCCCCFF"/>
      </patternFill>
    </fill>
    <fill>
      <patternFill patternType="solid">
        <fgColor rgb="FF00FFFF"/>
        <bgColor rgb="FF00FFFF"/>
      </patternFill>
    </fill>
    <fill>
      <patternFill patternType="solid">
        <fgColor rgb="FFC0C0C0"/>
        <bgColor rgb="FFCCCCFF"/>
      </patternFill>
    </fill>
    <fill>
      <patternFill patternType="solid">
        <fgColor rgb="FFFFFFCC"/>
        <bgColor rgb="FFFFFFFF"/>
      </patternFill>
    </fill>
    <fill>
      <patternFill patternType="solid">
        <fgColor rgb="FF003300"/>
        <bgColor rgb="FF333300"/>
      </patternFill>
    </fill>
    <fill>
      <patternFill patternType="solid">
        <fgColor rgb="FFCCFFFF"/>
        <bgColor rgb="FFCCFFFF"/>
      </patternFill>
    </fill>
    <fill>
      <patternFill patternType="solid">
        <fgColor rgb="FFFFFFFF"/>
        <bgColor rgb="FFFFFFCC"/>
      </patternFill>
    </fill>
    <fill>
      <patternFill patternType="solid">
        <fgColor rgb="FFFFFF99"/>
        <bgColor rgb="FFFFFFCC"/>
      </patternFill>
    </fill>
    <fill>
      <patternFill patternType="solid">
        <fgColor rgb="FFCCFFCC"/>
        <bgColor rgb="FFCCFFFF"/>
      </patternFill>
    </fill>
    <fill>
      <patternFill patternType="solid">
        <fgColor rgb="FFFFCC99"/>
        <bgColor rgb="FFC0C0C0"/>
      </patternFill>
    </fill>
    <fill>
      <patternFill patternType="solid">
        <fgColor rgb="FFCC99FF"/>
        <bgColor rgb="FF9999FF"/>
      </patternFill>
    </fill>
    <fill>
      <patternFill patternType="solid">
        <fgColor rgb="FF00CCFF"/>
        <bgColor rgb="FF33CCCC"/>
      </patternFill>
    </fill>
    <fill>
      <patternFill patternType="solid">
        <fgColor rgb="FFFFFF00"/>
        <bgColor rgb="FFFFFF00"/>
      </patternFill>
    </fill>
  </fills>
  <borders count="28">
    <border diagonalUp="false" diagonalDown="false">
      <left/>
      <right/>
      <top/>
      <bottom/>
      <diagonal/>
    </border>
    <border diagonalUp="false" diagonalDown="false">
      <left style="double"/>
      <right/>
      <top/>
      <bottom style="hair"/>
      <diagonal/>
    </border>
    <border diagonalUp="false" diagonalDown="false">
      <left style="double"/>
      <right style="double"/>
      <top style="double"/>
      <bottom style="double"/>
      <diagonal/>
    </border>
    <border diagonalUp="false" diagonalDown="false">
      <left/>
      <right/>
      <top/>
      <bottom style="thin"/>
      <diagonal/>
    </border>
    <border diagonalUp="false" diagonalDown="false">
      <left style="thin"/>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style="thin"/>
      <diagonal/>
    </border>
    <border diagonalUp="false" diagonalDown="false">
      <left/>
      <right/>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style="thin"/>
      <diagonal/>
    </border>
    <border diagonalUp="false" diagonalDown="false">
      <left style="medium"/>
      <right style="medium"/>
      <top style="medium"/>
      <bottom style="mediu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right style="medium"/>
      <top/>
      <bottom/>
      <diagonal/>
    </border>
    <border diagonalUp="false" diagonalDown="false">
      <left/>
      <right/>
      <top/>
      <bottom style="medium"/>
      <diagonal/>
    </border>
    <border diagonalUp="false" diagonalDown="false">
      <left style="medium"/>
      <right/>
      <top/>
      <bottom style="medium"/>
      <diagonal/>
    </border>
    <border diagonalUp="false" diagonalDown="false">
      <left/>
      <right style="medium"/>
      <top/>
      <bottom style="medium"/>
      <diagonal/>
    </border>
    <border diagonalUp="false" diagonalDown="false">
      <left style="medium"/>
      <right/>
      <top style="medium"/>
      <bottom/>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style="thin"/>
      <top/>
      <bottom style="thin"/>
      <diagonal/>
    </border>
    <border diagonalUp="false" diagonalDown="false">
      <left/>
      <right/>
      <top style="thin"/>
      <bottom style="medium"/>
      <diagonal/>
    </border>
  </borders>
  <cellStyleXfs count="155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93" fontId="0" fillId="0" borderId="0" applyFont="true" applyBorder="false" applyAlignment="false" applyProtection="false"/>
    <xf numFmtId="41" fontId="1" fillId="0" borderId="0" applyFont="true" applyBorder="false" applyAlignment="false" applyProtection="false"/>
    <xf numFmtId="217" fontId="0" fillId="0" borderId="0" applyFont="true" applyBorder="false" applyAlignment="false" applyProtection="false"/>
    <xf numFmtId="42" fontId="1" fillId="0" borderId="0" applyFont="true" applyBorder="false" applyAlignment="false" applyProtection="false"/>
    <xf numFmtId="244" fontId="0" fillId="0" borderId="0" applyFont="true" applyBorder="false" applyAlignment="false" applyProtection="false"/>
    <xf numFmtId="165"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70" fontId="0" fillId="0" borderId="0" applyFont="true" applyBorder="false" applyAlignment="false" applyProtection="false"/>
    <xf numFmtId="171" fontId="0" fillId="0" borderId="0" applyFont="true" applyBorder="false" applyAlignment="false" applyProtection="false"/>
    <xf numFmtId="168" fontId="0" fillId="0" borderId="0" applyFont="true" applyBorder="false" applyAlignment="false" applyProtection="false"/>
    <xf numFmtId="165" fontId="0" fillId="0" borderId="0" applyFont="true" applyBorder="false" applyAlignment="false" applyProtection="false"/>
    <xf numFmtId="164" fontId="0" fillId="0" borderId="0" applyFont="true" applyBorder="false" applyAlignment="false" applyProtection="false"/>
    <xf numFmtId="172" fontId="0" fillId="0" borderId="0" applyFont="true" applyBorder="false" applyAlignment="false" applyProtection="false"/>
    <xf numFmtId="167" fontId="0" fillId="0" borderId="0" applyFont="true" applyBorder="false" applyAlignment="false" applyProtection="false"/>
    <xf numFmtId="164" fontId="0" fillId="0" borderId="0" applyFont="true" applyBorder="false" applyAlignment="false" applyProtection="false"/>
    <xf numFmtId="168" fontId="0" fillId="0" borderId="0" applyFont="true" applyBorder="false" applyAlignment="false" applyProtection="false"/>
    <xf numFmtId="173" fontId="0" fillId="0" borderId="0" applyFont="true" applyBorder="false" applyAlignment="false" applyProtection="false"/>
    <xf numFmtId="174" fontId="0" fillId="0" borderId="0" applyFont="true" applyBorder="false" applyAlignment="false" applyProtection="false"/>
    <xf numFmtId="175" fontId="0" fillId="0" borderId="0" applyFont="true" applyBorder="false" applyAlignment="false" applyProtection="false"/>
    <xf numFmtId="176" fontId="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78" fontId="0" fillId="0" borderId="0" applyFont="true" applyBorder="false" applyAlignment="false" applyProtection="false"/>
    <xf numFmtId="164" fontId="7" fillId="0" borderId="0" applyFont="true" applyBorder="true" applyAlignment="true" applyProtection="true">
      <alignment horizontal="general" vertical="bottom" textRotation="0" wrapText="false" indent="0" shrinkToFit="false"/>
      <protection locked="true" hidden="false"/>
    </xf>
    <xf numFmtId="178"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78"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78"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67" fontId="0" fillId="0" borderId="0" applyFont="true" applyBorder="false" applyAlignment="false" applyProtection="false"/>
    <xf numFmtId="164" fontId="9" fillId="0" borderId="0" applyFont="true" applyBorder="true" applyAlignment="true" applyProtection="true">
      <alignment horizontal="general" vertical="bottom" textRotation="0" wrapText="false" indent="0" shrinkToFit="false"/>
      <protection locked="true" hidden="false"/>
    </xf>
    <xf numFmtId="178" fontId="0" fillId="0" borderId="0" applyFont="true" applyBorder="false" applyAlignment="false" applyProtection="false"/>
    <xf numFmtId="177"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79"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80" fontId="0" fillId="0" borderId="0" applyFont="true" applyBorder="false" applyAlignment="false" applyProtection="false"/>
    <xf numFmtId="181"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0" fillId="0" borderId="0" applyFont="true" applyBorder="true" applyAlignment="true" applyProtection="true">
      <alignment horizontal="general" vertical="bottom" textRotation="0" wrapText="false" indent="0" shrinkToFit="false"/>
      <protection locked="true" hidden="false"/>
    </xf>
    <xf numFmtId="164" fontId="11"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78" fontId="0" fillId="0" borderId="0" applyFont="true" applyBorder="false" applyAlignment="false" applyProtection="false"/>
    <xf numFmtId="175" fontId="0" fillId="0" borderId="0" applyFont="true" applyBorder="false" applyAlignment="false" applyProtection="false"/>
    <xf numFmtId="164" fontId="0" fillId="0" borderId="0" applyFont="true" applyBorder="false" applyAlignment="false" applyProtection="false"/>
    <xf numFmtId="164" fontId="8" fillId="0" borderId="0" applyFont="true" applyBorder="true" applyAlignment="true" applyProtection="true">
      <alignment horizontal="general" vertical="bottom" textRotation="0" wrapText="false" indent="0" shrinkToFit="false"/>
      <protection locked="true" hidden="false"/>
    </xf>
    <xf numFmtId="172" fontId="0" fillId="0" borderId="0" applyFont="true" applyBorder="false" applyAlignment="false" applyProtection="false"/>
    <xf numFmtId="177" fontId="0" fillId="0" borderId="0" applyFont="true" applyBorder="false" applyAlignment="false" applyProtection="false"/>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false" applyProtection="false"/>
    <xf numFmtId="178"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3" fontId="0" fillId="0" borderId="0" applyFont="true" applyBorder="false" applyAlignment="false" applyProtection="false"/>
    <xf numFmtId="164" fontId="9" fillId="0" borderId="0" applyFont="true" applyBorder="true" applyAlignment="true" applyProtection="true">
      <alignment horizontal="general" vertical="bottom" textRotation="0" wrapText="false" indent="0" shrinkToFit="false"/>
      <protection locked="true" hidden="false"/>
    </xf>
    <xf numFmtId="164" fontId="10"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82"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83" fontId="0" fillId="2" borderId="1" applyFont="true" applyBorder="true" applyAlignment="true" applyProtection="true">
      <alignment horizontal="center" vertical="center" textRotation="0" wrapText="false" indent="0" shrinkToFit="false"/>
      <protection locked="true" hidden="false"/>
    </xf>
    <xf numFmtId="184" fontId="0" fillId="0" borderId="0" applyFont="true" applyBorder="false" applyAlignment="false" applyProtection="false"/>
    <xf numFmtId="184" fontId="0" fillId="0" borderId="0" applyFont="true" applyBorder="false" applyAlignment="false" applyProtection="false"/>
    <xf numFmtId="185"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6"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6" fontId="0" fillId="0" borderId="0" applyFont="true" applyBorder="false" applyAlignment="false" applyProtection="false"/>
    <xf numFmtId="169" fontId="0" fillId="0" borderId="0" applyFont="true" applyBorder="false" applyAlignment="false" applyProtection="false"/>
    <xf numFmtId="18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7" fontId="0" fillId="0" borderId="0" applyFont="true" applyBorder="false" applyAlignment="false" applyProtection="false"/>
    <xf numFmtId="185"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88"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65"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4" fontId="0" fillId="0" borderId="0" applyFont="true" applyBorder="false" applyAlignment="false" applyProtection="false"/>
    <xf numFmtId="165"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90"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5" fontId="0" fillId="0" borderId="0" applyFont="true" applyBorder="false" applyAlignment="false" applyProtection="false"/>
    <xf numFmtId="190" fontId="0" fillId="0" borderId="0" applyFont="true" applyBorder="false" applyAlignment="false" applyProtection="false"/>
    <xf numFmtId="18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5" fontId="0" fillId="0" borderId="0" applyFont="true" applyBorder="false" applyAlignment="false" applyProtection="false"/>
    <xf numFmtId="190" fontId="0" fillId="0" borderId="0" applyFont="true" applyBorder="false" applyAlignment="false" applyProtection="false"/>
    <xf numFmtId="18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7" fontId="0" fillId="0" borderId="0" applyFont="true" applyBorder="false" applyAlignment="false" applyProtection="false"/>
    <xf numFmtId="187" fontId="0" fillId="0" borderId="0" applyFont="true" applyBorder="false" applyAlignment="false" applyProtection="false"/>
    <xf numFmtId="18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91" fontId="8" fillId="0" borderId="0" applyFont="true" applyBorder="true" applyAlignment="true" applyProtection="true">
      <alignment horizontal="general" vertical="bottom" textRotation="0" wrapText="false" indent="0" shrinkToFit="false"/>
      <protection locked="true" hidden="false"/>
    </xf>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7"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87"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87"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87" fontId="0" fillId="0" borderId="0" applyFont="true" applyBorder="false" applyAlignment="false" applyProtection="false"/>
    <xf numFmtId="184" fontId="0" fillId="0" borderId="0" applyFont="true" applyBorder="false" applyAlignment="false" applyProtection="false"/>
    <xf numFmtId="187" fontId="0" fillId="0" borderId="0" applyFont="true" applyBorder="false" applyAlignment="false" applyProtection="false"/>
    <xf numFmtId="185" fontId="0" fillId="0" borderId="0" applyFont="true" applyBorder="false" applyAlignment="false" applyProtection="false"/>
    <xf numFmtId="18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3" fontId="0" fillId="0" borderId="0" applyFont="true" applyBorder="false" applyAlignment="false" applyProtection="false"/>
    <xf numFmtId="175"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4" fontId="0" fillId="0" borderId="0" applyFont="true" applyBorder="false" applyAlignment="false" applyProtection="false"/>
    <xf numFmtId="193"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3" borderId="0" applyFont="true" applyBorder="false" applyAlignment="false" applyProtection="false"/>
    <xf numFmtId="192" fontId="0" fillId="0" borderId="0" applyFont="true" applyBorder="false" applyAlignment="false" applyProtection="false"/>
    <xf numFmtId="195" fontId="0" fillId="0" borderId="0" applyFont="true" applyBorder="false" applyAlignment="false" applyProtection="false"/>
    <xf numFmtId="193" fontId="0" fillId="0" borderId="0" applyFont="true" applyBorder="false" applyAlignment="false" applyProtection="false"/>
    <xf numFmtId="194" fontId="0" fillId="0" borderId="0" applyFont="true" applyBorder="false" applyAlignment="false" applyProtection="false"/>
    <xf numFmtId="193" fontId="0" fillId="0" borderId="0" applyFont="true" applyBorder="false" applyAlignment="false" applyProtection="false"/>
    <xf numFmtId="193"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3" borderId="0" applyFont="true" applyBorder="false" applyAlignment="false" applyProtection="false"/>
    <xf numFmtId="195" fontId="0" fillId="0" borderId="0" applyFont="true" applyBorder="false" applyAlignment="false" applyProtection="false"/>
    <xf numFmtId="179" fontId="0" fillId="0" borderId="0" applyFont="true" applyBorder="false" applyAlignment="false" applyProtection="false"/>
    <xf numFmtId="196" fontId="0" fillId="0" borderId="0" applyFont="true" applyBorder="false" applyAlignment="false" applyProtection="false"/>
    <xf numFmtId="179" fontId="0" fillId="0" borderId="0" applyFont="true" applyBorder="false" applyAlignment="false" applyProtection="false"/>
    <xf numFmtId="179" fontId="0" fillId="3"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93"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3" borderId="0" applyFont="true" applyBorder="false" applyAlignment="false" applyProtection="false"/>
    <xf numFmtId="193"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3" borderId="0" applyFont="true" applyBorder="false" applyAlignment="false" applyProtection="false"/>
    <xf numFmtId="193" fontId="9"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4" fontId="0" fillId="0" borderId="0" applyFont="true" applyBorder="false" applyAlignment="false" applyProtection="false"/>
    <xf numFmtId="193" fontId="0" fillId="0" borderId="0" applyFont="true" applyBorder="false" applyAlignment="false" applyProtection="false"/>
    <xf numFmtId="192" fontId="0" fillId="0" borderId="0" applyFont="true" applyBorder="false" applyAlignment="false" applyProtection="false"/>
    <xf numFmtId="193"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5"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5"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5" fontId="0" fillId="0" borderId="0" applyFont="true" applyBorder="false" applyAlignment="false" applyProtection="false"/>
    <xf numFmtId="194" fontId="0" fillId="0" borderId="0" applyFont="true" applyBorder="false" applyAlignment="false" applyProtection="false"/>
    <xf numFmtId="179" fontId="0" fillId="3" borderId="0" applyFont="true" applyBorder="false" applyAlignment="false" applyProtection="false"/>
    <xf numFmtId="179" fontId="0" fillId="3"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3"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3" fontId="0" fillId="0" borderId="0" applyFont="true" applyBorder="false" applyAlignment="false" applyProtection="false"/>
    <xf numFmtId="179" fontId="0" fillId="0" borderId="0" applyFont="true" applyBorder="false" applyAlignment="false" applyProtection="false"/>
    <xf numFmtId="197"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3"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7" fontId="0" fillId="0" borderId="0" applyFont="true" applyBorder="false" applyAlignment="false" applyProtection="false"/>
    <xf numFmtId="173" fontId="0" fillId="0" borderId="0" applyFont="true" applyBorder="false" applyAlignment="false" applyProtection="false"/>
    <xf numFmtId="173" fontId="0" fillId="0" borderId="0" applyFont="true" applyBorder="false" applyAlignment="false" applyProtection="false"/>
    <xf numFmtId="194" fontId="0" fillId="0" borderId="0" applyFont="true" applyBorder="false" applyAlignment="false" applyProtection="false"/>
    <xf numFmtId="175" fontId="0" fillId="0" borderId="0" applyFont="true" applyBorder="false" applyAlignment="false" applyProtection="false"/>
    <xf numFmtId="173" fontId="0" fillId="0" borderId="0" applyFont="true" applyBorder="false" applyAlignment="false" applyProtection="false"/>
    <xf numFmtId="194" fontId="0" fillId="0" borderId="0" applyFont="true" applyBorder="false" applyAlignment="false" applyProtection="false"/>
    <xf numFmtId="173" fontId="0" fillId="0" borderId="0" applyFont="true" applyBorder="false" applyAlignment="false" applyProtection="false"/>
    <xf numFmtId="192" fontId="0" fillId="0" borderId="0" applyFont="true" applyBorder="false" applyAlignment="false" applyProtection="false"/>
    <xf numFmtId="194"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3"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5"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5" fontId="0" fillId="0" borderId="0" applyFont="true" applyBorder="false" applyAlignment="false" applyProtection="false"/>
    <xf numFmtId="198" fontId="0" fillId="0" borderId="0" applyFont="true" applyBorder="false" applyAlignment="false" applyProtection="false"/>
    <xf numFmtId="173" fontId="0" fillId="0" borderId="0" applyFont="true" applyBorder="false" applyAlignment="false" applyProtection="false"/>
    <xf numFmtId="192" fontId="0" fillId="0" borderId="0" applyFont="true" applyBorder="false" applyAlignment="false" applyProtection="false"/>
    <xf numFmtId="177"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5"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5" fontId="0" fillId="0" borderId="0" applyFont="true" applyBorder="false" applyAlignment="false" applyProtection="false"/>
    <xf numFmtId="198" fontId="0" fillId="0" borderId="0" applyFont="true" applyBorder="false" applyAlignment="false" applyProtection="false"/>
    <xf numFmtId="173"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3" borderId="0" applyFont="true" applyBorder="false" applyAlignment="false" applyProtection="false"/>
    <xf numFmtId="194"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79" fontId="0" fillId="3" borderId="0" applyFont="true" applyBorder="false" applyAlignment="false" applyProtection="false"/>
    <xf numFmtId="179" fontId="0" fillId="3" borderId="0" applyFont="true" applyBorder="false" applyAlignment="false" applyProtection="false"/>
    <xf numFmtId="192" fontId="0" fillId="0" borderId="0" applyFont="true" applyBorder="false" applyAlignment="false" applyProtection="false"/>
    <xf numFmtId="179" fontId="0" fillId="3" borderId="0" applyFont="true" applyBorder="false" applyAlignment="false" applyProtection="false"/>
    <xf numFmtId="179" fontId="0" fillId="3" borderId="0" applyFont="true" applyBorder="false" applyAlignment="false" applyProtection="false"/>
    <xf numFmtId="179" fontId="0" fillId="0" borderId="0" applyFont="true" applyBorder="false" applyAlignment="false" applyProtection="false"/>
    <xf numFmtId="175" fontId="0" fillId="0" borderId="0" applyFont="true" applyBorder="false" applyAlignment="false" applyProtection="false"/>
    <xf numFmtId="192" fontId="0" fillId="0" borderId="0" applyFont="true" applyBorder="false" applyAlignment="false" applyProtection="false"/>
    <xf numFmtId="194" fontId="0" fillId="0" borderId="0" applyFont="true" applyBorder="false" applyAlignment="false" applyProtection="false"/>
    <xf numFmtId="193" fontId="0" fillId="0" borderId="0" applyFont="true" applyBorder="false" applyAlignment="false" applyProtection="false"/>
    <xf numFmtId="179" fontId="0" fillId="0" borderId="0" applyFont="true" applyBorder="false" applyAlignment="false" applyProtection="false"/>
    <xf numFmtId="184"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94" fontId="0" fillId="0" borderId="0" applyFont="true" applyBorder="false" applyAlignment="false" applyProtection="false"/>
    <xf numFmtId="179" fontId="0" fillId="3" borderId="0" applyFont="true" applyBorder="false" applyAlignment="false" applyProtection="false"/>
    <xf numFmtId="179" fontId="0" fillId="3" borderId="0" applyFont="true" applyBorder="false" applyAlignment="false" applyProtection="false"/>
    <xf numFmtId="196"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69" fontId="4"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3" fontId="0" fillId="0" borderId="0" applyFont="true" applyBorder="false" applyAlignment="false" applyProtection="false"/>
    <xf numFmtId="193" fontId="0" fillId="0" borderId="0" applyFont="true" applyBorder="false" applyAlignment="false" applyProtection="false"/>
    <xf numFmtId="179" fontId="0" fillId="3" borderId="0" applyFont="true" applyBorder="false" applyAlignment="false" applyProtection="false"/>
    <xf numFmtId="179" fontId="0" fillId="0" borderId="0" applyFont="true" applyBorder="false" applyAlignment="false" applyProtection="false"/>
    <xf numFmtId="193" fontId="0" fillId="0" borderId="0" applyFont="true" applyBorder="false" applyAlignment="false" applyProtection="false"/>
    <xf numFmtId="196" fontId="0" fillId="0" borderId="0" applyFont="true" applyBorder="false" applyAlignment="false" applyProtection="false"/>
    <xf numFmtId="175" fontId="0" fillId="0" borderId="0" applyFont="true" applyBorder="false" applyAlignment="false" applyProtection="false"/>
    <xf numFmtId="177"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6"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3" fontId="0" fillId="0" borderId="0" applyFont="true" applyBorder="false" applyAlignment="false" applyProtection="false"/>
    <xf numFmtId="192" fontId="0" fillId="0" borderId="0" applyFont="true" applyBorder="false" applyAlignment="false" applyProtection="false"/>
    <xf numFmtId="175" fontId="0" fillId="0" borderId="0" applyFont="true" applyBorder="false" applyAlignment="false" applyProtection="false"/>
    <xf numFmtId="179" fontId="0" fillId="0" borderId="0" applyFont="true" applyBorder="false" applyAlignment="false" applyProtection="false"/>
    <xf numFmtId="196" fontId="0" fillId="0" borderId="0" applyFont="true" applyBorder="false" applyAlignment="false" applyProtection="false"/>
    <xf numFmtId="193"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6" fontId="0" fillId="0" borderId="0" applyFont="true" applyBorder="false" applyAlignment="false" applyProtection="false"/>
    <xf numFmtId="193" fontId="0" fillId="0" borderId="0" applyFont="true" applyBorder="false" applyAlignment="false" applyProtection="false"/>
    <xf numFmtId="196"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4"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200" fontId="0" fillId="0" borderId="0" applyFont="true" applyBorder="false" applyAlignment="false" applyProtection="false"/>
    <xf numFmtId="201" fontId="0" fillId="0" borderId="0" applyFont="true" applyBorder="false" applyAlignment="false" applyProtection="false"/>
    <xf numFmtId="168"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0" fontId="0" fillId="0" borderId="0" applyFont="true" applyBorder="false" applyAlignment="false" applyProtection="false"/>
    <xf numFmtId="201" fontId="0" fillId="0" borderId="0" applyFont="true" applyBorder="false" applyAlignment="false" applyProtection="false"/>
    <xf numFmtId="203" fontId="0" fillId="0" borderId="0" applyFont="true" applyBorder="false" applyAlignment="false" applyProtection="false"/>
    <xf numFmtId="176" fontId="0" fillId="0" borderId="0" applyFont="true" applyBorder="false" applyAlignment="false" applyProtection="false"/>
    <xf numFmtId="199" fontId="0" fillId="0" borderId="0" applyFont="true" applyBorder="false" applyAlignment="false" applyProtection="false"/>
    <xf numFmtId="170" fontId="0" fillId="0" borderId="0" applyFont="true" applyBorder="false" applyAlignment="false" applyProtection="false"/>
    <xf numFmtId="170" fontId="0" fillId="0" borderId="0" applyFont="true" applyBorder="false" applyAlignment="false" applyProtection="false"/>
    <xf numFmtId="204" fontId="0" fillId="0" borderId="0" applyFont="true" applyBorder="false" applyAlignment="false" applyProtection="false"/>
    <xf numFmtId="205" fontId="0" fillId="0" borderId="0" applyFont="true" applyBorder="false" applyAlignment="false" applyProtection="false"/>
    <xf numFmtId="200" fontId="0" fillId="0" borderId="0" applyFont="true" applyBorder="false" applyAlignment="false" applyProtection="false"/>
    <xf numFmtId="200" fontId="0" fillId="0" borderId="0" applyFont="true" applyBorder="false" applyAlignment="false" applyProtection="false"/>
    <xf numFmtId="200" fontId="0" fillId="0" borderId="0" applyFont="true" applyBorder="false" applyAlignment="false" applyProtection="false"/>
    <xf numFmtId="199"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4" fontId="0" fillId="0" borderId="0" applyFont="true" applyBorder="false" applyAlignment="false" applyProtection="false"/>
    <xf numFmtId="204" fontId="0" fillId="0" borderId="0" applyFont="true" applyBorder="false" applyAlignment="false" applyProtection="false"/>
    <xf numFmtId="204" fontId="0" fillId="0" borderId="0" applyFont="true" applyBorder="false" applyAlignment="false" applyProtection="false"/>
    <xf numFmtId="204" fontId="0" fillId="0" borderId="0" applyFont="true" applyBorder="false" applyAlignment="false" applyProtection="false"/>
    <xf numFmtId="201"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70" fontId="0" fillId="0" borderId="0" applyFont="true" applyBorder="false" applyAlignment="false" applyProtection="false"/>
    <xf numFmtId="168" fontId="0" fillId="0" borderId="0" applyFont="true" applyBorder="false" applyAlignment="false" applyProtection="false"/>
    <xf numFmtId="203" fontId="0" fillId="0" borderId="0" applyFont="true" applyBorder="false" applyAlignment="false" applyProtection="false"/>
    <xf numFmtId="205" fontId="0" fillId="0" borderId="0" applyFont="true" applyBorder="false" applyAlignment="false" applyProtection="false"/>
    <xf numFmtId="202" fontId="0" fillId="0" borderId="0" applyFont="true" applyBorder="false" applyAlignment="false" applyProtection="false"/>
    <xf numFmtId="206" fontId="0" fillId="0" borderId="0" applyFont="true" applyBorder="false" applyAlignment="false" applyProtection="false"/>
    <xf numFmtId="202" fontId="0" fillId="0" borderId="0" applyFont="true" applyBorder="false" applyAlignment="false" applyProtection="false"/>
    <xf numFmtId="170" fontId="0" fillId="0" borderId="0" applyFont="true" applyBorder="false" applyAlignment="false" applyProtection="false"/>
    <xf numFmtId="170" fontId="0" fillId="0" borderId="0" applyFont="true" applyBorder="false" applyAlignment="false" applyProtection="false"/>
    <xf numFmtId="202" fontId="0" fillId="0" borderId="0" applyFont="true" applyBorder="false" applyAlignment="false" applyProtection="false"/>
    <xf numFmtId="201" fontId="0" fillId="0" borderId="0" applyFont="true" applyBorder="false" applyAlignment="false" applyProtection="false"/>
    <xf numFmtId="206" fontId="0" fillId="0" borderId="0" applyFont="true" applyBorder="false" applyAlignment="false" applyProtection="false"/>
    <xf numFmtId="200" fontId="0" fillId="0" borderId="0" applyFont="true" applyBorder="false" applyAlignment="false" applyProtection="false"/>
    <xf numFmtId="199" fontId="0" fillId="0" borderId="0" applyFont="true" applyBorder="false" applyAlignment="false" applyProtection="false"/>
    <xf numFmtId="203" fontId="0" fillId="0" borderId="0" applyFont="true" applyBorder="false" applyAlignment="false" applyProtection="false"/>
    <xf numFmtId="199" fontId="0" fillId="0" borderId="0" applyFont="true" applyBorder="false" applyAlignment="false" applyProtection="false"/>
    <xf numFmtId="202" fontId="0" fillId="0" borderId="0" applyFont="true" applyBorder="false" applyAlignment="false" applyProtection="false"/>
    <xf numFmtId="170" fontId="0" fillId="0" borderId="0" applyFont="true" applyBorder="false" applyAlignment="false" applyProtection="false"/>
    <xf numFmtId="200" fontId="0" fillId="0" borderId="0" applyFont="true" applyBorder="false" applyAlignment="false" applyProtection="false"/>
    <xf numFmtId="170" fontId="0" fillId="0" borderId="0" applyFont="true" applyBorder="false" applyAlignment="false" applyProtection="false"/>
    <xf numFmtId="207" fontId="0" fillId="0" borderId="0" applyFont="true" applyBorder="false" applyAlignment="false" applyProtection="false"/>
    <xf numFmtId="208" fontId="0" fillId="0" borderId="0" applyFont="true" applyBorder="false" applyAlignment="false" applyProtection="false"/>
    <xf numFmtId="204"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0" fontId="0" fillId="0" borderId="0" applyFont="true" applyBorder="false" applyAlignment="false" applyProtection="false"/>
    <xf numFmtId="200"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201"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201"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201" fontId="0" fillId="0" borderId="0" applyFont="true" applyBorder="false" applyAlignment="false" applyProtection="false"/>
    <xf numFmtId="170" fontId="0" fillId="0" borderId="0" applyFont="true" applyBorder="false" applyAlignment="false" applyProtection="false"/>
    <xf numFmtId="170" fontId="0" fillId="0" borderId="0" applyFont="true" applyBorder="false" applyAlignment="false" applyProtection="false"/>
    <xf numFmtId="199" fontId="0" fillId="0" borderId="0" applyFont="true" applyBorder="false" applyAlignment="false" applyProtection="false"/>
    <xf numFmtId="170" fontId="0" fillId="0" borderId="0" applyFont="true" applyBorder="false" applyAlignment="false" applyProtection="false"/>
    <xf numFmtId="170"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200"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200" fontId="0" fillId="0" borderId="0" applyFont="true" applyBorder="false" applyAlignment="false" applyProtection="false"/>
    <xf numFmtId="209" fontId="0" fillId="0" borderId="0" applyFont="true" applyBorder="false" applyAlignment="false" applyProtection="false"/>
    <xf numFmtId="164"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70" fontId="0" fillId="0" borderId="0" applyFont="true" applyBorder="false" applyAlignment="false" applyProtection="false"/>
    <xf numFmtId="176"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202" fontId="0" fillId="0" borderId="0" applyFont="true" applyBorder="false" applyAlignment="false" applyProtection="false"/>
    <xf numFmtId="196" fontId="0" fillId="0" borderId="0" applyFont="true" applyBorder="false" applyAlignment="false" applyProtection="false"/>
    <xf numFmtId="164" fontId="0" fillId="0" borderId="0" applyFont="true" applyBorder="false" applyAlignment="false" applyProtection="false"/>
    <xf numFmtId="210" fontId="0" fillId="0" borderId="0" applyFont="true" applyBorder="false" applyAlignment="false" applyProtection="false"/>
    <xf numFmtId="176" fontId="0" fillId="0" borderId="0" applyFont="true" applyBorder="false" applyAlignment="false" applyProtection="false"/>
    <xf numFmtId="168" fontId="0" fillId="0" borderId="0" applyFont="true" applyBorder="false" applyAlignment="false" applyProtection="false"/>
    <xf numFmtId="176" fontId="0" fillId="0" borderId="0" applyFont="true" applyBorder="false" applyAlignment="false" applyProtection="false"/>
    <xf numFmtId="210" fontId="0" fillId="0" borderId="0" applyFont="true" applyBorder="false" applyAlignment="false" applyProtection="false"/>
    <xf numFmtId="176" fontId="0" fillId="0" borderId="0" applyFont="true" applyBorder="false" applyAlignment="false" applyProtection="false"/>
    <xf numFmtId="210" fontId="0" fillId="0" borderId="0" applyFont="true" applyBorder="false" applyAlignment="false" applyProtection="false"/>
    <xf numFmtId="211" fontId="0" fillId="0" borderId="0" applyFont="true" applyBorder="false" applyAlignment="false" applyProtection="false"/>
    <xf numFmtId="210" fontId="0" fillId="0" borderId="0" applyFont="true" applyBorder="false" applyAlignment="false" applyProtection="false"/>
    <xf numFmtId="201"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96" fontId="0" fillId="0" borderId="0" applyFont="true" applyBorder="false" applyAlignment="false" applyProtection="false"/>
    <xf numFmtId="212" fontId="0" fillId="0" borderId="0" applyFont="true" applyBorder="false" applyAlignment="false" applyProtection="false"/>
    <xf numFmtId="168" fontId="0" fillId="0" borderId="0" applyFont="true" applyBorder="false" applyAlignment="false" applyProtection="false"/>
    <xf numFmtId="210" fontId="0" fillId="0" borderId="0" applyFont="true" applyBorder="false" applyAlignment="false" applyProtection="false"/>
    <xf numFmtId="176"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9"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211" fontId="0" fillId="0" borderId="0" applyFont="true" applyBorder="false" applyAlignment="false" applyProtection="false"/>
    <xf numFmtId="170" fontId="0" fillId="0" borderId="0" applyFont="true" applyBorder="false" applyAlignment="false" applyProtection="false"/>
    <xf numFmtId="176" fontId="0" fillId="0" borderId="0" applyFont="true" applyBorder="false" applyAlignment="false" applyProtection="false"/>
    <xf numFmtId="210" fontId="0" fillId="0" borderId="0" applyFont="true" applyBorder="false" applyAlignment="false" applyProtection="false"/>
    <xf numFmtId="168" fontId="0" fillId="0" borderId="0" applyFont="true" applyBorder="false" applyAlignment="false" applyProtection="false"/>
    <xf numFmtId="213" fontId="0" fillId="0" borderId="0" applyFont="true" applyBorder="false" applyAlignment="false" applyProtection="false"/>
    <xf numFmtId="214" fontId="0" fillId="0" borderId="0" applyFont="true" applyBorder="false" applyAlignment="false" applyProtection="false"/>
    <xf numFmtId="168" fontId="0" fillId="0" borderId="0" applyFont="true" applyBorder="false" applyAlignment="false" applyProtection="false"/>
    <xf numFmtId="190" fontId="0" fillId="0" borderId="0" applyFont="true" applyBorder="false" applyAlignment="false" applyProtection="false"/>
    <xf numFmtId="201" fontId="0" fillId="0" borderId="0" applyFont="true" applyBorder="false" applyAlignment="false" applyProtection="false"/>
    <xf numFmtId="210" fontId="0" fillId="0" borderId="0" applyFont="true" applyBorder="false" applyAlignment="false" applyProtection="false"/>
    <xf numFmtId="200" fontId="0" fillId="0" borderId="0" applyFont="true" applyBorder="false" applyAlignment="false" applyProtection="false"/>
    <xf numFmtId="176" fontId="0" fillId="0" borderId="0" applyFont="true" applyBorder="false" applyAlignment="false" applyProtection="false"/>
    <xf numFmtId="168" fontId="0" fillId="0" borderId="0" applyFont="true" applyBorder="false" applyAlignment="false" applyProtection="false"/>
    <xf numFmtId="204" fontId="0" fillId="0" borderId="0" applyFont="true" applyBorder="false" applyAlignment="false" applyProtection="false"/>
    <xf numFmtId="168"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68" fontId="0" fillId="0" borderId="0" applyFont="true" applyBorder="false" applyAlignment="false" applyProtection="false"/>
    <xf numFmtId="176" fontId="0" fillId="0" borderId="0" applyFont="true" applyBorder="false" applyAlignment="false" applyProtection="false"/>
    <xf numFmtId="199" fontId="0" fillId="0" borderId="0" applyFont="true" applyBorder="false" applyAlignment="false" applyProtection="false"/>
    <xf numFmtId="200"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9"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0"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176" fontId="0" fillId="0" borderId="0" applyFont="true" applyBorder="false" applyAlignment="false" applyProtection="false"/>
    <xf numFmtId="215" fontId="0" fillId="0" borderId="0" applyFont="true" applyBorder="false" applyAlignment="false" applyProtection="false"/>
    <xf numFmtId="204" fontId="0" fillId="0" borderId="0" applyFont="true" applyBorder="false" applyAlignment="false" applyProtection="false"/>
    <xf numFmtId="215"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0"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170" fontId="0" fillId="0" borderId="0" applyFont="true" applyBorder="false" applyAlignment="false" applyProtection="false"/>
    <xf numFmtId="199" fontId="0" fillId="0" borderId="0" applyFont="true" applyBorder="false" applyAlignment="false" applyProtection="false"/>
    <xf numFmtId="200"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9"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9" fontId="0" fillId="0" borderId="0" applyFont="true" applyBorder="false" applyAlignment="false" applyProtection="false"/>
    <xf numFmtId="202" fontId="0" fillId="0" borderId="0" applyFont="true" applyBorder="false" applyAlignment="false" applyProtection="false"/>
    <xf numFmtId="199"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6" fontId="0" fillId="0" borderId="0" applyFont="true" applyBorder="false" applyAlignment="false" applyProtection="false"/>
    <xf numFmtId="206" fontId="0" fillId="0" borderId="0" applyFont="true" applyBorder="false" applyAlignment="false" applyProtection="false"/>
    <xf numFmtId="206" fontId="0" fillId="0" borderId="0" applyFont="true" applyBorder="false" applyAlignment="false" applyProtection="false"/>
    <xf numFmtId="170" fontId="0" fillId="0" borderId="0" applyFont="true" applyBorder="false" applyAlignment="false" applyProtection="false"/>
    <xf numFmtId="170" fontId="0" fillId="0" borderId="0" applyFont="true" applyBorder="false" applyAlignment="false" applyProtection="false"/>
    <xf numFmtId="170" fontId="0" fillId="0" borderId="0" applyFont="true" applyBorder="false" applyAlignment="false" applyProtection="false"/>
    <xf numFmtId="170" fontId="0" fillId="0" borderId="0" applyFont="true" applyBorder="false" applyAlignment="false" applyProtection="false"/>
    <xf numFmtId="202" fontId="0" fillId="0" borderId="0" applyFont="true" applyBorder="false" applyAlignment="false" applyProtection="false"/>
    <xf numFmtId="168" fontId="0" fillId="0" borderId="0" applyFont="true" applyBorder="false" applyAlignment="false" applyProtection="false"/>
    <xf numFmtId="199" fontId="0" fillId="0" borderId="0" applyFont="true" applyBorder="false" applyAlignment="false" applyProtection="false"/>
    <xf numFmtId="200" fontId="0" fillId="0" borderId="0" applyFont="true" applyBorder="false" applyAlignment="false" applyProtection="false"/>
    <xf numFmtId="202" fontId="0" fillId="0" borderId="0" applyFont="true" applyBorder="false" applyAlignment="false" applyProtection="false"/>
    <xf numFmtId="168"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168" fontId="0" fillId="0" borderId="0" applyFont="true" applyBorder="false" applyAlignment="false" applyProtection="false"/>
    <xf numFmtId="170" fontId="0" fillId="0" borderId="0" applyFont="true" applyBorder="false" applyAlignment="false" applyProtection="false"/>
    <xf numFmtId="170" fontId="0" fillId="0" borderId="0" applyFont="true" applyBorder="false" applyAlignment="false" applyProtection="false"/>
    <xf numFmtId="206" fontId="0" fillId="0" borderId="0" applyFont="true" applyBorder="false" applyAlignment="false" applyProtection="false"/>
    <xf numFmtId="202" fontId="0" fillId="0" borderId="0" applyFont="true" applyBorder="false" applyAlignment="false" applyProtection="false"/>
    <xf numFmtId="199" fontId="0" fillId="0" borderId="0" applyFont="true" applyBorder="false" applyAlignment="false" applyProtection="false"/>
    <xf numFmtId="202" fontId="0" fillId="0" borderId="0" applyFont="true" applyBorder="false" applyAlignment="false" applyProtection="false"/>
    <xf numFmtId="201" fontId="0" fillId="0" borderId="0" applyFont="true" applyBorder="false" applyAlignment="false" applyProtection="false"/>
    <xf numFmtId="168" fontId="0" fillId="0" borderId="0" applyFont="true" applyBorder="false" applyAlignment="false" applyProtection="false"/>
    <xf numFmtId="196" fontId="0" fillId="0" borderId="0" applyFont="true" applyBorder="false" applyAlignment="false" applyProtection="false"/>
    <xf numFmtId="201" fontId="0" fillId="0" borderId="0" applyFont="true" applyBorder="false" applyAlignment="false" applyProtection="false"/>
    <xf numFmtId="176" fontId="0" fillId="0" borderId="0" applyFont="true" applyBorder="false" applyAlignment="false" applyProtection="false"/>
    <xf numFmtId="201" fontId="0" fillId="0" borderId="0" applyFont="true" applyBorder="false" applyAlignment="false" applyProtection="false"/>
    <xf numFmtId="200" fontId="0" fillId="0" borderId="0" applyFont="true" applyBorder="false" applyAlignment="false" applyProtection="false"/>
    <xf numFmtId="200" fontId="0" fillId="0" borderId="0" applyFont="true" applyBorder="false" applyAlignment="false" applyProtection="false"/>
    <xf numFmtId="170" fontId="0" fillId="0" borderId="0" applyFont="true" applyBorder="false" applyAlignment="false" applyProtection="false"/>
    <xf numFmtId="202" fontId="0" fillId="0" borderId="0" applyFont="true" applyBorder="false" applyAlignment="false" applyProtection="false"/>
    <xf numFmtId="200" fontId="0" fillId="0" borderId="0" applyFont="true" applyBorder="false" applyAlignment="false" applyProtection="false"/>
    <xf numFmtId="206" fontId="0" fillId="0" borderId="0" applyFont="true" applyBorder="false" applyAlignment="false" applyProtection="false"/>
    <xf numFmtId="168" fontId="0" fillId="0" borderId="0" applyFont="true" applyBorder="false" applyAlignment="false" applyProtection="false"/>
    <xf numFmtId="164" fontId="0" fillId="0" borderId="0" applyFont="true" applyBorder="false" applyAlignment="false" applyProtection="false"/>
    <xf numFmtId="168" fontId="0" fillId="0" borderId="0" applyFont="true" applyBorder="false" applyAlignment="false" applyProtection="false"/>
    <xf numFmtId="206" fontId="0" fillId="0" borderId="0" applyFont="true" applyBorder="false" applyAlignment="false" applyProtection="false"/>
    <xf numFmtId="203" fontId="0" fillId="0" borderId="0" applyFont="true" applyBorder="false" applyAlignment="false" applyProtection="false"/>
    <xf numFmtId="202" fontId="0" fillId="0" borderId="0" applyFont="true" applyBorder="false" applyAlignment="false" applyProtection="false"/>
    <xf numFmtId="170" fontId="0" fillId="0" borderId="0" applyFont="true" applyBorder="false" applyAlignment="false" applyProtection="false"/>
    <xf numFmtId="200" fontId="0" fillId="0" borderId="0" applyFont="true" applyBorder="false" applyAlignment="false" applyProtection="false"/>
    <xf numFmtId="199"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202" fontId="0" fillId="0" borderId="0" applyFont="true" applyBorder="false" applyAlignment="false" applyProtection="false"/>
    <xf numFmtId="206" fontId="0" fillId="0" borderId="0" applyFont="true" applyBorder="false" applyAlignment="false" applyProtection="false"/>
    <xf numFmtId="199" fontId="0" fillId="0" borderId="0" applyFont="true" applyBorder="false" applyAlignment="false" applyProtection="false"/>
    <xf numFmtId="206" fontId="0" fillId="0" borderId="0" applyFont="true" applyBorder="false" applyAlignment="false" applyProtection="false"/>
    <xf numFmtId="200" fontId="0" fillId="0" borderId="0" applyFont="true" applyBorder="false" applyAlignment="false" applyProtection="false"/>
    <xf numFmtId="206" fontId="0" fillId="0" borderId="0" applyFont="true" applyBorder="false" applyAlignment="false" applyProtection="false"/>
    <xf numFmtId="176" fontId="0" fillId="0" borderId="0" applyFont="true" applyBorder="false" applyAlignment="false" applyProtection="false"/>
    <xf numFmtId="170"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202" fontId="0" fillId="0" borderId="0" applyFont="true" applyBorder="false" applyAlignment="false" applyProtection="false"/>
    <xf numFmtId="202" fontId="0" fillId="0" borderId="0" applyFont="true" applyBorder="false" applyAlignment="false" applyProtection="false"/>
    <xf numFmtId="199" fontId="0" fillId="0" borderId="0" applyFont="true" applyBorder="false" applyAlignment="false" applyProtection="false"/>
    <xf numFmtId="202" fontId="0" fillId="0" borderId="0" applyFont="true" applyBorder="false" applyAlignment="false" applyProtection="false"/>
    <xf numFmtId="199" fontId="0" fillId="0" borderId="0" applyFont="true" applyBorder="false" applyAlignment="false" applyProtection="false"/>
    <xf numFmtId="202" fontId="0" fillId="0" borderId="0" applyFont="true" applyBorder="false" applyAlignment="false" applyProtection="false"/>
    <xf numFmtId="204" fontId="0" fillId="0" borderId="0" applyFont="true" applyBorder="false" applyAlignment="false" applyProtection="false"/>
    <xf numFmtId="168" fontId="0" fillId="0" borderId="0" applyFont="true" applyBorder="false" applyAlignment="false" applyProtection="false"/>
    <xf numFmtId="204" fontId="0" fillId="0" borderId="0" applyFont="true" applyBorder="false" applyAlignment="false" applyProtection="false"/>
    <xf numFmtId="168" fontId="0" fillId="0" borderId="0" applyFont="true" applyBorder="false" applyAlignment="false" applyProtection="false"/>
    <xf numFmtId="199" fontId="0" fillId="0" borderId="0" applyFont="true" applyBorder="false" applyAlignment="false" applyProtection="false"/>
    <xf numFmtId="176"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7" fontId="0" fillId="0" borderId="0" applyFont="true" applyBorder="false" applyAlignment="false" applyProtection="false"/>
    <xf numFmtId="210" fontId="0" fillId="0" borderId="0" applyFont="true" applyBorder="false" applyAlignment="false" applyProtection="false"/>
    <xf numFmtId="167"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180" fontId="0" fillId="0" borderId="0" applyFont="true" applyBorder="false" applyAlignment="false" applyProtection="false"/>
    <xf numFmtId="217" fontId="0" fillId="0" borderId="0" applyFont="true" applyBorder="false" applyAlignment="false" applyProtection="false"/>
    <xf numFmtId="210" fontId="0" fillId="0" borderId="0" applyFont="true" applyBorder="false" applyAlignment="false" applyProtection="false"/>
    <xf numFmtId="219" fontId="0" fillId="0" borderId="0" applyFont="true" applyBorder="false" applyAlignment="false" applyProtection="false"/>
    <xf numFmtId="166" fontId="0" fillId="0" borderId="0" applyFont="true" applyBorder="false" applyAlignment="false" applyProtection="false"/>
    <xf numFmtId="216"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220" fontId="0" fillId="0" borderId="0" applyFont="true" applyBorder="false" applyAlignment="false" applyProtection="false"/>
    <xf numFmtId="221" fontId="0" fillId="0" borderId="0" applyFont="true" applyBorder="false" applyAlignment="false" applyProtection="false"/>
    <xf numFmtId="217" fontId="0" fillId="0" borderId="0" applyFont="true" applyBorder="false" applyAlignment="false" applyProtection="false"/>
    <xf numFmtId="180" fontId="0" fillId="0" borderId="0" applyFont="true" applyBorder="false" applyAlignment="false" applyProtection="false"/>
    <xf numFmtId="217" fontId="0" fillId="0" borderId="0" applyFont="true" applyBorder="false" applyAlignment="false" applyProtection="false"/>
    <xf numFmtId="217" fontId="0" fillId="0" borderId="0" applyFont="true" applyBorder="false" applyAlignment="false" applyProtection="false"/>
    <xf numFmtId="217" fontId="0" fillId="0" borderId="0" applyFont="true" applyBorder="false" applyAlignment="false" applyProtection="false"/>
    <xf numFmtId="216"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20" fontId="0" fillId="0" borderId="0" applyFont="true" applyBorder="false" applyAlignment="false" applyProtection="false"/>
    <xf numFmtId="220" fontId="0" fillId="0" borderId="0" applyFont="true" applyBorder="false" applyAlignment="false" applyProtection="false"/>
    <xf numFmtId="220" fontId="0" fillId="0" borderId="0" applyFont="true" applyBorder="false" applyAlignment="false" applyProtection="false"/>
    <xf numFmtId="220" fontId="0" fillId="0" borderId="0" applyFont="true" applyBorder="false" applyAlignment="false" applyProtection="false"/>
    <xf numFmtId="210"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80" fontId="0" fillId="0" borderId="0" applyFont="true" applyBorder="false" applyAlignment="false" applyProtection="false"/>
    <xf numFmtId="167" fontId="0" fillId="0" borderId="0" applyFont="true" applyBorder="false" applyAlignment="false" applyProtection="false"/>
    <xf numFmtId="219" fontId="0" fillId="0" borderId="0" applyFont="true" applyBorder="false" applyAlignment="false" applyProtection="false"/>
    <xf numFmtId="221" fontId="0" fillId="0" borderId="0" applyFont="true" applyBorder="false" applyAlignment="false" applyProtection="false"/>
    <xf numFmtId="218" fontId="0" fillId="0" borderId="0" applyFont="true" applyBorder="false" applyAlignment="false" applyProtection="false"/>
    <xf numFmtId="222" fontId="0" fillId="0" borderId="0" applyFont="true" applyBorder="false" applyAlignment="false" applyProtection="false"/>
    <xf numFmtId="218"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218" fontId="0" fillId="0" borderId="0" applyFont="true" applyBorder="false" applyAlignment="false" applyProtection="false"/>
    <xf numFmtId="210" fontId="0" fillId="0" borderId="0" applyFont="true" applyBorder="false" applyAlignment="false" applyProtection="false"/>
    <xf numFmtId="222" fontId="0" fillId="0" borderId="0" applyFont="true" applyBorder="false" applyAlignment="false" applyProtection="false"/>
    <xf numFmtId="180" fontId="0" fillId="0" borderId="0" applyFont="true" applyBorder="false" applyAlignment="false" applyProtection="false"/>
    <xf numFmtId="217" fontId="0" fillId="0" borderId="0" applyFont="true" applyBorder="false" applyAlignment="false" applyProtection="false"/>
    <xf numFmtId="216" fontId="0" fillId="0" borderId="0" applyFont="true" applyBorder="false" applyAlignment="false" applyProtection="false"/>
    <xf numFmtId="219" fontId="0" fillId="0" borderId="0" applyFont="true" applyBorder="false" applyAlignment="false" applyProtection="false"/>
    <xf numFmtId="216" fontId="0" fillId="0" borderId="0" applyFont="true" applyBorder="false" applyAlignment="false" applyProtection="false"/>
    <xf numFmtId="218" fontId="0" fillId="0" borderId="0" applyFont="true" applyBorder="false" applyAlignment="false" applyProtection="false"/>
    <xf numFmtId="180" fontId="0" fillId="0" borderId="0" applyFont="true" applyBorder="false" applyAlignment="false" applyProtection="false"/>
    <xf numFmtId="217" fontId="0" fillId="0" borderId="0" applyFont="true" applyBorder="false" applyAlignment="false" applyProtection="false"/>
    <xf numFmtId="180" fontId="0" fillId="0" borderId="0" applyFont="true" applyBorder="false" applyAlignment="false" applyProtection="false"/>
    <xf numFmtId="223" fontId="0" fillId="0" borderId="0" applyFont="true" applyBorder="false" applyAlignment="false" applyProtection="false"/>
    <xf numFmtId="166" fontId="0" fillId="0" borderId="0" applyFont="true" applyBorder="false" applyAlignment="false" applyProtection="false"/>
    <xf numFmtId="220"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180" fontId="0" fillId="0" borderId="0" applyFont="true" applyBorder="false" applyAlignment="false" applyProtection="false"/>
    <xf numFmtId="217" fontId="0" fillId="0" borderId="0" applyFont="true" applyBorder="false" applyAlignment="false" applyProtection="false"/>
    <xf numFmtId="217"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0"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0"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0"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216"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7"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7" fontId="0" fillId="0" borderId="0" applyFont="true" applyBorder="false" applyAlignment="false" applyProtection="false"/>
    <xf numFmtId="222" fontId="0" fillId="0" borderId="0" applyFont="true" applyBorder="false" applyAlignment="false" applyProtection="false"/>
    <xf numFmtId="224"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80" fontId="0" fillId="0" borderId="0" applyFont="true" applyBorder="false" applyAlignment="false" applyProtection="false"/>
    <xf numFmtId="166"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8" fontId="0" fillId="0" borderId="0" applyFont="true" applyBorder="false" applyAlignment="false" applyProtection="false"/>
    <xf numFmtId="214" fontId="0" fillId="0" borderId="0" applyFont="true" applyBorder="false" applyAlignment="false" applyProtection="false"/>
    <xf numFmtId="164" fontId="0" fillId="0" borderId="0" applyFont="true" applyBorder="false" applyAlignment="false" applyProtection="false"/>
    <xf numFmtId="225"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6" fontId="0" fillId="0" borderId="0" applyFont="true" applyBorder="false" applyAlignment="false" applyProtection="false"/>
    <xf numFmtId="225" fontId="0" fillId="0" borderId="0" applyFont="true" applyBorder="false" applyAlignment="false" applyProtection="false"/>
    <xf numFmtId="166" fontId="0" fillId="0" borderId="0" applyFont="true" applyBorder="false" applyAlignment="false" applyProtection="false"/>
    <xf numFmtId="225" fontId="0" fillId="0" borderId="0" applyFont="true" applyBorder="false" applyAlignment="false" applyProtection="false"/>
    <xf numFmtId="226" fontId="0" fillId="0" borderId="0" applyFont="true" applyBorder="false" applyAlignment="false" applyProtection="false"/>
    <xf numFmtId="225" fontId="0" fillId="0" borderId="0" applyFont="true" applyBorder="false" applyAlignment="false" applyProtection="false"/>
    <xf numFmtId="210"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4" fontId="0" fillId="0" borderId="0" applyFont="true" applyBorder="false" applyAlignment="false" applyProtection="false"/>
    <xf numFmtId="174" fontId="0" fillId="0" borderId="0" applyFont="true" applyBorder="false" applyAlignment="false" applyProtection="false"/>
    <xf numFmtId="167" fontId="0" fillId="0" borderId="0" applyFont="true" applyBorder="false" applyAlignment="false" applyProtection="false"/>
    <xf numFmtId="225"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216"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226" fontId="0" fillId="0" borderId="0" applyFont="true" applyBorder="false" applyAlignment="false" applyProtection="false"/>
    <xf numFmtId="180" fontId="0" fillId="0" borderId="0" applyFont="true" applyBorder="false" applyAlignment="false" applyProtection="false"/>
    <xf numFmtId="166" fontId="0" fillId="0" borderId="0" applyFont="true" applyBorder="false" applyAlignment="false" applyProtection="false"/>
    <xf numFmtId="225" fontId="0" fillId="0" borderId="0" applyFont="true" applyBorder="false" applyAlignment="false" applyProtection="false"/>
    <xf numFmtId="167" fontId="0" fillId="0" borderId="0" applyFont="true" applyBorder="false" applyAlignment="false" applyProtection="false"/>
    <xf numFmtId="227" fontId="0" fillId="0" borderId="0" applyFont="true" applyBorder="false" applyAlignment="false" applyProtection="false"/>
    <xf numFmtId="228" fontId="0" fillId="0" borderId="0" applyFont="true" applyBorder="false" applyAlignment="false" applyProtection="false"/>
    <xf numFmtId="167" fontId="0" fillId="0" borderId="0" applyFont="true" applyBorder="false" applyAlignment="false" applyProtection="false"/>
    <xf numFmtId="227" fontId="0" fillId="0" borderId="0" applyFont="true" applyBorder="false" applyAlignment="false" applyProtection="false"/>
    <xf numFmtId="229" fontId="0" fillId="0" borderId="0" applyFont="true" applyBorder="false" applyAlignment="false" applyProtection="false"/>
    <xf numFmtId="210" fontId="0" fillId="0" borderId="0" applyFont="true" applyBorder="false" applyAlignment="false" applyProtection="false"/>
    <xf numFmtId="225" fontId="0" fillId="0" borderId="0" applyFont="true" applyBorder="false" applyAlignment="false" applyProtection="false"/>
    <xf numFmtId="217"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220" fontId="0" fillId="0" borderId="0" applyFont="true" applyBorder="false" applyAlignment="false" applyProtection="false"/>
    <xf numFmtId="167"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6"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166" fontId="0" fillId="0" borderId="0" applyFont="true" applyBorder="false" applyAlignment="false" applyProtection="false"/>
    <xf numFmtId="209" fontId="0" fillId="0" borderId="0" applyFont="true" applyBorder="false" applyAlignment="false" applyProtection="false"/>
    <xf numFmtId="220" fontId="0" fillId="0" borderId="0" applyFont="true" applyBorder="false" applyAlignment="false" applyProtection="false"/>
    <xf numFmtId="209" fontId="0" fillId="0" borderId="0" applyFont="true" applyBorder="false" applyAlignment="false" applyProtection="false"/>
    <xf numFmtId="226" fontId="0" fillId="0" borderId="0" applyFont="true" applyBorder="false" applyAlignment="false" applyProtection="false"/>
    <xf numFmtId="227" fontId="0" fillId="0" borderId="0" applyFont="true" applyBorder="false" applyAlignment="false" applyProtection="false"/>
    <xf numFmtId="225"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180" fontId="0" fillId="0" borderId="0" applyFont="true" applyBorder="false" applyAlignment="false" applyProtection="false"/>
    <xf numFmtId="224" fontId="0" fillId="0" borderId="0" applyFont="true" applyBorder="false" applyAlignment="false" applyProtection="false"/>
    <xf numFmtId="230" fontId="0" fillId="0" borderId="0" applyFont="true" applyBorder="false" applyAlignment="false" applyProtection="false"/>
    <xf numFmtId="175" fontId="0" fillId="0" borderId="0" applyFont="true" applyBorder="false" applyAlignment="false" applyProtection="false"/>
    <xf numFmtId="225" fontId="0" fillId="0" borderId="0" applyFont="true" applyBorder="false" applyAlignment="false" applyProtection="false"/>
    <xf numFmtId="214" fontId="0" fillId="0" borderId="0" applyFont="true" applyBorder="false" applyAlignment="false" applyProtection="false"/>
    <xf numFmtId="231" fontId="0" fillId="0" borderId="0" applyFont="true" applyBorder="false" applyAlignment="false" applyProtection="false"/>
    <xf numFmtId="216" fontId="0" fillId="0" borderId="0" applyFont="true" applyBorder="false" applyAlignment="false" applyProtection="false"/>
    <xf numFmtId="218" fontId="0" fillId="0" borderId="0" applyFont="true" applyBorder="false" applyAlignment="false" applyProtection="false"/>
    <xf numFmtId="216"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22" fontId="0" fillId="0" borderId="0" applyFont="true" applyBorder="false" applyAlignment="false" applyProtection="false"/>
    <xf numFmtId="222" fontId="0" fillId="0" borderId="0" applyFont="true" applyBorder="false" applyAlignment="false" applyProtection="false"/>
    <xf numFmtId="222"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218" fontId="0" fillId="0" borderId="0" applyFont="true" applyBorder="false" applyAlignment="false" applyProtection="false"/>
    <xf numFmtId="167" fontId="0" fillId="0" borderId="0" applyFont="true" applyBorder="false" applyAlignment="false" applyProtection="false"/>
    <xf numFmtId="216" fontId="0" fillId="0" borderId="0" applyFont="true" applyBorder="false" applyAlignment="false" applyProtection="false"/>
    <xf numFmtId="180" fontId="0" fillId="0" borderId="0" applyFont="true" applyBorder="false" applyAlignment="false" applyProtection="false"/>
    <xf numFmtId="217" fontId="0" fillId="0" borderId="0" applyFont="true" applyBorder="false" applyAlignment="false" applyProtection="false"/>
    <xf numFmtId="218" fontId="0" fillId="0" borderId="0" applyFont="true" applyBorder="false" applyAlignment="false" applyProtection="false"/>
    <xf numFmtId="167"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167"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222" fontId="0" fillId="0" borderId="0" applyFont="true" applyBorder="false" applyAlignment="false" applyProtection="false"/>
    <xf numFmtId="218" fontId="0" fillId="0" borderId="0" applyFont="true" applyBorder="false" applyAlignment="false" applyProtection="false"/>
    <xf numFmtId="216" fontId="0" fillId="0" borderId="0" applyFont="true" applyBorder="false" applyAlignment="false" applyProtection="false"/>
    <xf numFmtId="218" fontId="0" fillId="0" borderId="0" applyFont="true" applyBorder="false" applyAlignment="false" applyProtection="false"/>
    <xf numFmtId="210" fontId="0" fillId="0" borderId="0" applyFont="true" applyBorder="false" applyAlignment="false" applyProtection="false"/>
    <xf numFmtId="167" fontId="0" fillId="0" borderId="0" applyFont="true" applyBorder="false" applyAlignment="false" applyProtection="false"/>
    <xf numFmtId="214" fontId="0" fillId="0" borderId="0" applyFont="true" applyBorder="false" applyAlignment="false" applyProtection="false"/>
    <xf numFmtId="210" fontId="0" fillId="0" borderId="0" applyFont="true" applyBorder="false" applyAlignment="false" applyProtection="false"/>
    <xf numFmtId="166" fontId="0" fillId="0" borderId="0" applyFont="true" applyBorder="false" applyAlignment="false" applyProtection="false"/>
    <xf numFmtId="210" fontId="0" fillId="0" borderId="0" applyFont="true" applyBorder="false" applyAlignment="false" applyProtection="false"/>
    <xf numFmtId="217" fontId="0" fillId="0" borderId="0" applyFont="true" applyBorder="false" applyAlignment="false" applyProtection="false"/>
    <xf numFmtId="217" fontId="0" fillId="0" borderId="0" applyFont="true" applyBorder="false" applyAlignment="false" applyProtection="false"/>
    <xf numFmtId="180" fontId="0" fillId="0" borderId="0" applyFont="true" applyBorder="false" applyAlignment="false" applyProtection="false"/>
    <xf numFmtId="218" fontId="0" fillId="0" borderId="0" applyFont="true" applyBorder="false" applyAlignment="false" applyProtection="false"/>
    <xf numFmtId="217" fontId="0" fillId="0" borderId="0" applyFont="true" applyBorder="false" applyAlignment="false" applyProtection="false"/>
    <xf numFmtId="222" fontId="0" fillId="0" borderId="0" applyFont="true" applyBorder="false" applyAlignment="false" applyProtection="false"/>
    <xf numFmtId="167" fontId="0" fillId="0" borderId="0" applyFont="true" applyBorder="false" applyAlignment="false" applyProtection="false"/>
    <xf numFmtId="164" fontId="0" fillId="0" borderId="0" applyFont="true" applyBorder="false" applyAlignment="false" applyProtection="false"/>
    <xf numFmtId="167" fontId="0" fillId="0" borderId="0" applyFont="true" applyBorder="false" applyAlignment="false" applyProtection="false"/>
    <xf numFmtId="222" fontId="0" fillId="0" borderId="0" applyFont="true" applyBorder="false" applyAlignment="false" applyProtection="false"/>
    <xf numFmtId="219" fontId="0" fillId="0" borderId="0" applyFont="true" applyBorder="false" applyAlignment="false" applyProtection="false"/>
    <xf numFmtId="218" fontId="0" fillId="0" borderId="0" applyFont="true" applyBorder="false" applyAlignment="false" applyProtection="false"/>
    <xf numFmtId="180" fontId="0" fillId="0" borderId="0" applyFont="true" applyBorder="false" applyAlignment="false" applyProtection="false"/>
    <xf numFmtId="217" fontId="0" fillId="0" borderId="0" applyFont="true" applyBorder="false" applyAlignment="false" applyProtection="false"/>
    <xf numFmtId="216"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218" fontId="0" fillId="0" borderId="0" applyFont="true" applyBorder="false" applyAlignment="false" applyProtection="false"/>
    <xf numFmtId="222" fontId="0" fillId="0" borderId="0" applyFont="true" applyBorder="false" applyAlignment="false" applyProtection="false"/>
    <xf numFmtId="216" fontId="0" fillId="0" borderId="0" applyFont="true" applyBorder="false" applyAlignment="false" applyProtection="false"/>
    <xf numFmtId="222" fontId="0" fillId="0" borderId="0" applyFont="true" applyBorder="false" applyAlignment="false" applyProtection="false"/>
    <xf numFmtId="217" fontId="0" fillId="0" borderId="0" applyFont="true" applyBorder="false" applyAlignment="false" applyProtection="false"/>
    <xf numFmtId="222" fontId="0" fillId="0" borderId="0" applyFont="true" applyBorder="false" applyAlignment="false" applyProtection="false"/>
    <xf numFmtId="166" fontId="0" fillId="0" borderId="0" applyFont="true" applyBorder="false" applyAlignment="false" applyProtection="false"/>
    <xf numFmtId="180"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8" fontId="0" fillId="0" borderId="0" applyFont="true" applyBorder="false" applyAlignment="false" applyProtection="false"/>
    <xf numFmtId="218" fontId="0" fillId="0" borderId="0" applyFont="true" applyBorder="false" applyAlignment="false" applyProtection="false"/>
    <xf numFmtId="216" fontId="0" fillId="0" borderId="0" applyFont="true" applyBorder="false" applyAlignment="false" applyProtection="false"/>
    <xf numFmtId="218" fontId="0" fillId="0" borderId="0" applyFont="true" applyBorder="false" applyAlignment="false" applyProtection="false"/>
    <xf numFmtId="216" fontId="0" fillId="0" borderId="0" applyFont="true" applyBorder="false" applyAlignment="false" applyProtection="false"/>
    <xf numFmtId="218" fontId="0" fillId="0" borderId="0" applyFont="true" applyBorder="false" applyAlignment="false" applyProtection="false"/>
    <xf numFmtId="220" fontId="0" fillId="0" borderId="0" applyFont="true" applyBorder="false" applyAlignment="false" applyProtection="false"/>
    <xf numFmtId="167" fontId="0" fillId="0" borderId="0" applyFont="true" applyBorder="false" applyAlignment="false" applyProtection="false"/>
    <xf numFmtId="220" fontId="0" fillId="0" borderId="0" applyFont="true" applyBorder="false" applyAlignment="false" applyProtection="false"/>
    <xf numFmtId="167" fontId="0" fillId="0" borderId="0" applyFont="true" applyBorder="false" applyAlignment="false" applyProtection="false"/>
    <xf numFmtId="216" fontId="0" fillId="0" borderId="0" applyFont="true" applyBorder="false" applyAlignment="false" applyProtection="false"/>
    <xf numFmtId="166"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170" fontId="8" fillId="0" borderId="0" applyFont="true" applyBorder="true" applyAlignment="true" applyProtection="true">
      <alignment horizontal="general" vertical="bottom" textRotation="0" wrapText="false" indent="0" shrinkToFit="false"/>
      <protection locked="false" hidden="false"/>
    </xf>
    <xf numFmtId="186" fontId="0" fillId="0" borderId="0" applyFont="true" applyBorder="false" applyAlignment="false" applyProtection="false"/>
    <xf numFmtId="186" fontId="0" fillId="0" borderId="0" applyFont="true" applyBorder="false" applyAlignment="false" applyProtection="false"/>
    <xf numFmtId="232" fontId="0" fillId="0" borderId="0" applyFont="true" applyBorder="false" applyAlignment="false" applyProtection="false"/>
    <xf numFmtId="195" fontId="0" fillId="0" borderId="0" applyFont="true" applyBorder="false" applyAlignment="false" applyProtection="false"/>
    <xf numFmtId="195" fontId="0" fillId="0" borderId="0" applyFont="true" applyBorder="false" applyAlignment="false" applyProtection="false"/>
    <xf numFmtId="233" fontId="0" fillId="0" borderId="0" applyFont="true" applyBorder="false" applyAlignment="false" applyProtection="false"/>
    <xf numFmtId="234" fontId="0" fillId="0" borderId="0" applyFont="true" applyBorder="true" applyAlignment="true" applyProtection="true">
      <alignment horizontal="general" vertical="bottom" textRotation="0" wrapText="false" indent="0" shrinkToFit="false"/>
      <protection locked="false" hidden="false"/>
    </xf>
    <xf numFmtId="164" fontId="12" fillId="4" borderId="0" applyFont="true" applyBorder="false" applyAlignment="false" applyProtection="false"/>
    <xf numFmtId="164" fontId="13" fillId="0" borderId="0" applyFont="true" applyBorder="false" applyAlignment="false" applyProtection="false"/>
    <xf numFmtId="224" fontId="0" fillId="0" borderId="0" applyFont="true" applyBorder="true" applyAlignment="true" applyProtection="true">
      <alignment horizontal="general" vertical="bottom" textRotation="0" wrapText="false" indent="0" shrinkToFit="false"/>
      <protection locked="false" hidden="false"/>
    </xf>
    <xf numFmtId="224" fontId="0" fillId="0" borderId="0" applyFont="true" applyBorder="true" applyAlignment="true" applyProtection="true">
      <alignment horizontal="general" vertical="bottom" textRotation="0" wrapText="false" indent="0" shrinkToFit="false"/>
      <protection locked="false" hidden="false"/>
    </xf>
    <xf numFmtId="164" fontId="14" fillId="0" borderId="2" applyFont="true" applyBorder="true" applyAlignment="false" applyProtection="false"/>
    <xf numFmtId="164" fontId="15" fillId="0" borderId="0" applyFont="true" applyBorder="false" applyAlignment="false" applyProtection="false"/>
    <xf numFmtId="164" fontId="12" fillId="5" borderId="0" applyFont="true" applyBorder="false" applyAlignment="false" applyProtection="false"/>
    <xf numFmtId="235" fontId="16" fillId="0" borderId="0" applyFont="true" applyBorder="true" applyAlignment="true" applyProtection="true">
      <alignment horizontal="general" vertical="bottom" textRotation="0" wrapText="false" indent="0" shrinkToFit="false"/>
      <protection locked="true" hidden="false"/>
    </xf>
    <xf numFmtId="236" fontId="17" fillId="0" borderId="0" applyFont="true" applyBorder="true" applyAlignment="true" applyProtection="true">
      <alignment horizontal="general" vertical="bottom" textRotation="0" wrapText="false" indent="0" shrinkToFit="false"/>
      <protection locked="true" hidden="false"/>
    </xf>
    <xf numFmtId="237"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235" fontId="1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237" fontId="0" fillId="0" borderId="0" applyFont="true" applyBorder="true" applyAlignment="true" applyProtection="true">
      <alignment horizontal="general" vertical="bottom" textRotation="0" wrapText="false" indent="0" shrinkToFit="false"/>
      <protection locked="true" hidden="false"/>
    </xf>
    <xf numFmtId="237" fontId="0"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235" fontId="19"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235" fontId="19"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35" fontId="22" fillId="0" borderId="0" applyFont="true" applyBorder="true" applyAlignment="true" applyProtection="true">
      <alignment horizontal="general" vertical="bottom" textRotation="0" wrapText="false" indent="0" shrinkToFit="false"/>
      <protection locked="true" hidden="false"/>
    </xf>
    <xf numFmtId="235" fontId="23"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235" fontId="25" fillId="0" borderId="0" applyFont="true" applyBorder="false" applyAlignment="false" applyProtection="false"/>
    <xf numFmtId="164"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235" fontId="19"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164" fontId="9" fillId="0" borderId="0" applyFont="true" applyBorder="true" applyAlignment="true" applyProtection="true">
      <alignment horizontal="general" vertical="bottom" textRotation="0" wrapText="false" indent="0" shrinkToFit="false"/>
      <protection locked="true" hidden="false"/>
    </xf>
    <xf numFmtId="235" fontId="22"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240" fontId="19"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235" fontId="29"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164" fontId="21"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164" fontId="9" fillId="6"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top" textRotation="0" wrapText="tru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5" fontId="22"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164" fontId="30"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164" fontId="27"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235" fontId="25"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239" fontId="0" fillId="0" borderId="0" applyFont="true" applyBorder="true" applyAlignment="false" applyProtection="true">
      <protection locked="true" hidden="false"/>
    </xf>
    <xf numFmtId="235" fontId="25" fillId="0" borderId="0" applyFont="true" applyBorder="false" applyAlignment="false" applyProtection="false"/>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12"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12" fillId="0" borderId="0" applyFont="true" applyBorder="true" applyAlignment="true" applyProtection="true">
      <alignment horizontal="general" vertical="bottom" textRotation="0" wrapText="false" indent="0" shrinkToFit="false"/>
      <protection locked="true" hidden="false"/>
    </xf>
    <xf numFmtId="164" fontId="12" fillId="0" borderId="0" applyFont="true" applyBorder="true" applyAlignment="true" applyProtection="true">
      <alignment horizontal="general" vertical="bottom" textRotation="0" wrapText="false" indent="0" shrinkToFit="false"/>
      <protection locked="true" hidden="false"/>
    </xf>
    <xf numFmtId="164" fontId="12" fillId="0" borderId="0" applyFont="true" applyBorder="true" applyAlignment="true" applyProtection="true">
      <alignment horizontal="general" vertical="bottom" textRotation="0" wrapText="false" indent="0" shrinkToFit="false"/>
      <protection locked="true" hidden="false"/>
    </xf>
    <xf numFmtId="164" fontId="12"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239" fontId="0" fillId="0" borderId="0" applyFont="true" applyBorder="true" applyAlignment="false" applyProtection="tru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9" fontId="21"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164" fontId="31" fillId="6" borderId="0" applyFont="true" applyBorder="true" applyAlignment="true" applyProtection="true">
      <alignment horizontal="general" vertical="bottom" textRotation="0" wrapText="false" indent="0" shrinkToFit="false"/>
      <protection locked="true" hidden="false"/>
    </xf>
    <xf numFmtId="164" fontId="9" fillId="6"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164" fontId="0" fillId="0" borderId="0" applyFont="true" applyBorder="true" applyAlignment="false" applyProtection="tru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12" fillId="0" borderId="0" applyFont="true" applyBorder="true" applyAlignment="true" applyProtection="true">
      <alignment horizontal="general" vertical="bottom" textRotation="0" wrapText="false" indent="0" shrinkToFit="false"/>
      <protection locked="true" hidden="false"/>
    </xf>
    <xf numFmtId="164" fontId="12"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239" fontId="0" fillId="0" borderId="0" applyFont="true" applyBorder="true" applyAlignment="false" applyProtection="tru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32"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241" fontId="0" fillId="0" borderId="0" applyFont="true" applyBorder="true" applyAlignment="true" applyProtection="true">
      <alignment horizontal="general" vertical="center" textRotation="0" wrapText="false" indent="0" shrinkToFit="false"/>
      <protection locked="true" hidden="false"/>
    </xf>
    <xf numFmtId="235" fontId="33"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false" applyProtection="false"/>
    <xf numFmtId="164" fontId="34" fillId="0" borderId="3" applyFont="true" applyBorder="true" applyAlignment="true" applyProtection="true">
      <alignment horizontal="general" vertical="bottom" textRotation="0" wrapText="false" indent="0" shrinkToFit="false"/>
      <protection locked="true" hidden="false"/>
    </xf>
    <xf numFmtId="164" fontId="35" fillId="0" borderId="0" applyFont="true" applyBorder="true" applyAlignment="true" applyProtection="true">
      <alignment horizontal="general" vertical="bottom" textRotation="0" wrapText="false" indent="0" shrinkToFit="false"/>
      <protection locked="true" hidden="false"/>
    </xf>
    <xf numFmtId="164" fontId="32" fillId="0" borderId="0" applyFont="true" applyBorder="true" applyAlignment="true" applyProtection="true">
      <alignment horizontal="general" vertical="bottom" textRotation="0" wrapText="false" indent="0" shrinkToFit="false"/>
      <protection locked="true" hidden="false"/>
    </xf>
    <xf numFmtId="235" fontId="9"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5" fontId="33"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tru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36" fillId="0" borderId="3"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5" fontId="33"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37" fillId="0" borderId="0" applyFont="true" applyBorder="true" applyAlignment="true" applyProtection="true">
      <alignment horizontal="general" vertical="bottom" textRotation="0" wrapText="false" indent="0" shrinkToFit="false"/>
      <protection locked="true" hidden="false"/>
    </xf>
    <xf numFmtId="235" fontId="33"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38" fillId="0" borderId="0" applyFont="true" applyBorder="true" applyAlignment="true" applyProtection="true">
      <alignment horizontal="general" vertical="bottom" textRotation="0" wrapText="false" indent="0" shrinkToFit="false"/>
      <protection locked="true" hidden="false"/>
    </xf>
    <xf numFmtId="164" fontId="34" fillId="0" borderId="3" applyFont="true" applyBorder="true" applyAlignment="true" applyProtection="true">
      <alignment horizontal="general" vertical="bottom" textRotation="0" wrapText="false" indent="0" shrinkToFit="false"/>
      <protection locked="true" hidden="false"/>
    </xf>
    <xf numFmtId="164" fontId="36" fillId="0" borderId="3"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32"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true" indent="0" shrinkToFit="false"/>
      <protection locked="true" hidden="false"/>
    </xf>
    <xf numFmtId="235" fontId="33"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5" fontId="33"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true" indent="0" shrinkToFit="false"/>
      <protection locked="true" hidden="false"/>
    </xf>
    <xf numFmtId="164" fontId="3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true" indent="0" shrinkToFit="false"/>
      <protection locked="true" hidden="false"/>
    </xf>
    <xf numFmtId="164" fontId="9" fillId="0" borderId="0" applyFont="true" applyBorder="true" applyAlignment="true" applyProtection="true">
      <alignment horizontal="general" vertical="bottom" textRotation="0" wrapText="tru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40" fillId="0" borderId="0" applyFont="true" applyBorder="true" applyAlignment="true" applyProtection="true">
      <alignment horizontal="general" vertical="bottom" textRotation="0" wrapText="false" indent="0" shrinkToFit="false"/>
      <protection locked="true" hidden="false"/>
    </xf>
    <xf numFmtId="164" fontId="37"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38"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41"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tru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42"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3"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39"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fals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true">
      <alignment horizontal="general" vertical="bottom" textRotation="0" wrapText="false" indent="0" shrinkToFit="false"/>
      <protection locked="true" hidden="false"/>
    </xf>
    <xf numFmtId="164" fontId="9" fillId="0" borderId="0" applyFont="true" applyBorder="false" applyAlignment="true" applyProtection="true">
      <alignment horizontal="general" vertical="bottom" textRotation="0" wrapText="false" indent="0" shrinkToFit="false"/>
      <protection locked="true" hidden="false"/>
    </xf>
    <xf numFmtId="164" fontId="44" fillId="0" borderId="0" applyFont="true" applyBorder="true" applyAlignment="true" applyProtection="true">
      <alignment horizontal="general" vertical="bottom" textRotation="0" wrapText="false" indent="0" shrinkToFit="false"/>
      <protection locked="true" hidden="false"/>
    </xf>
    <xf numFmtId="164" fontId="42"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43"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45" fillId="0" borderId="0" applyFont="true" applyBorder="true" applyAlignment="true" applyProtection="true">
      <alignment horizontal="general" vertical="bottom" textRotation="0" wrapText="false" indent="0" shrinkToFit="false"/>
      <protection locked="true" hidden="false"/>
    </xf>
    <xf numFmtId="164" fontId="46" fillId="0" borderId="0" applyFont="true" applyBorder="true" applyAlignment="true" applyProtection="true">
      <alignment horizontal="general" vertical="bottom" textRotation="0" wrapText="false" indent="0" shrinkToFit="false"/>
      <protection locked="true" hidden="false"/>
    </xf>
    <xf numFmtId="164" fontId="47"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164" fontId="12"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237" fontId="0"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5" fontId="9"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48" fillId="0" borderId="0" applyFont="true" applyBorder="true" applyAlignment="true" applyProtection="true">
      <alignment horizontal="general" vertical="bottom" textRotation="0" wrapText="false" indent="0" shrinkToFit="false"/>
      <protection locked="true" hidden="false"/>
    </xf>
    <xf numFmtId="236" fontId="49" fillId="0" borderId="0" applyFont="true" applyBorder="true" applyAlignment="true" applyProtection="true">
      <alignment horizontal="general" vertical="bottom" textRotation="0" wrapText="false" indent="0" shrinkToFit="false"/>
      <protection locked="true" hidden="false"/>
    </xf>
    <xf numFmtId="237" fontId="0" fillId="0" borderId="0" applyFont="true" applyBorder="true" applyAlignment="true" applyProtection="true">
      <alignment horizontal="general" vertical="bottom" textRotation="0" wrapText="false" indent="0" shrinkToFit="false"/>
      <protection locked="true" hidden="false"/>
    </xf>
    <xf numFmtId="239" fontId="9"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5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6"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240" fontId="1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164" fontId="0" fillId="0" borderId="0" applyFont="true" applyBorder="true" applyAlignment="false" applyProtection="true">
      <protection locked="true" hidden="false"/>
    </xf>
    <xf numFmtId="239" fontId="0" fillId="0" borderId="0" applyFont="true" applyBorder="true" applyAlignment="false" applyProtection="tru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40" fontId="19" fillId="0" borderId="0" applyFont="true" applyBorder="true" applyAlignment="true" applyProtection="true">
      <alignment horizontal="general" vertical="bottom" textRotation="0" wrapText="false" indent="0" shrinkToFit="false"/>
      <protection locked="true" hidden="false"/>
    </xf>
    <xf numFmtId="240" fontId="19"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235" fontId="25"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235" fontId="25" fillId="0" borderId="0" applyFont="true" applyBorder="false" applyAlignment="false" applyProtection="false"/>
    <xf numFmtId="235" fontId="23" fillId="0" borderId="0" applyFont="true" applyBorder="true" applyAlignment="true" applyProtection="true">
      <alignment horizontal="general" vertical="bottom" textRotation="0" wrapText="false" indent="0" shrinkToFit="false"/>
      <protection locked="true" hidden="false"/>
    </xf>
    <xf numFmtId="240" fontId="19" fillId="0" borderId="0" applyFont="true" applyBorder="true" applyAlignment="true" applyProtection="true">
      <alignment horizontal="center"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39" fontId="9" fillId="0" borderId="0" applyFont="true" applyBorder="true" applyAlignment="true" applyProtection="true">
      <alignment horizontal="general" vertical="bottom" textRotation="0" wrapText="false" indent="0" shrinkToFit="false"/>
      <protection locked="true" hidden="false"/>
    </xf>
    <xf numFmtId="164" fontId="33"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51"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235" fontId="25" fillId="0" borderId="0" applyFont="true" applyBorder="false" applyAlignment="false" applyProtection="false"/>
    <xf numFmtId="235" fontId="25" fillId="0" borderId="0" applyFont="true" applyBorder="false" applyAlignment="false" applyProtection="false"/>
    <xf numFmtId="235" fontId="19"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52" fillId="0" borderId="0" applyFont="true" applyBorder="true" applyAlignment="true" applyProtection="true">
      <alignment horizontal="general" vertical="bottom" textRotation="0" wrapText="false" indent="0" shrinkToFit="false"/>
      <protection locked="true" hidden="false"/>
    </xf>
    <xf numFmtId="164" fontId="5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true">
      <alignment horizontal="general" vertical="bottom" textRotation="0" wrapText="tru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54"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235" fontId="33" fillId="0" borderId="0" applyFont="true" applyBorder="true" applyAlignment="true" applyProtection="true">
      <alignment horizontal="general" vertical="bottom" textRotation="0" wrapText="false" indent="0" shrinkToFit="false"/>
      <protection locked="true" hidden="false"/>
    </xf>
    <xf numFmtId="239" fontId="4" fillId="0" borderId="0" applyFont="true" applyBorder="true" applyAlignment="true" applyProtection="true">
      <alignment horizontal="general" vertical="bottom" textRotation="0" wrapText="false" indent="0" shrinkToFit="false"/>
      <protection locked="true" hidden="false"/>
    </xf>
    <xf numFmtId="238" fontId="49"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235" fontId="18"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32"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238" fontId="19" fillId="0" borderId="0" applyFont="true" applyBorder="true" applyAlignment="true" applyProtection="true">
      <alignment horizontal="general" vertical="bottom" textRotation="0" wrapText="false" indent="0" shrinkToFit="false"/>
      <protection locked="true" hidden="false"/>
    </xf>
  </cellStyleXfs>
  <cellXfs count="978">
    <xf numFmtId="164" fontId="0" fillId="0" borderId="0" xfId="0" applyFont="false" applyBorder="false" applyAlignment="false" applyProtection="false">
      <alignment horizontal="general" vertical="bottom" textRotation="0" wrapText="false" indent="0" shrinkToFit="false"/>
      <protection locked="true" hidden="false"/>
    </xf>
    <xf numFmtId="164" fontId="57" fillId="0" borderId="0" xfId="0" applyFont="true" applyBorder="false" applyAlignment="false" applyProtection="false">
      <alignment horizontal="general" vertical="bottom" textRotation="0" wrapText="false" indent="0" shrinkToFit="false"/>
      <protection locked="true" hidden="false"/>
    </xf>
    <xf numFmtId="164" fontId="57" fillId="0" borderId="0" xfId="0" applyFont="true" applyBorder="false" applyAlignment="true" applyProtection="false">
      <alignment horizontal="general" vertical="top" textRotation="0" wrapText="true" indent="0" shrinkToFit="false"/>
      <protection locked="true" hidden="false"/>
    </xf>
    <xf numFmtId="164" fontId="59" fillId="0" borderId="0" xfId="0" applyFont="tru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244" fontId="60" fillId="0" borderId="0" xfId="0" applyFont="true" applyBorder="false" applyAlignment="false" applyProtection="false">
      <alignment horizontal="general" vertical="bottom" textRotation="0" wrapText="false" indent="0" shrinkToFit="false"/>
      <protection locked="true" hidden="false"/>
    </xf>
    <xf numFmtId="164" fontId="61" fillId="0" borderId="0" xfId="0" applyFont="true" applyBorder="false" applyAlignment="true" applyProtection="false">
      <alignment horizontal="general" vertical="top" textRotation="0" wrapText="true" indent="0" shrinkToFit="false"/>
      <protection locked="true" hidden="false"/>
    </xf>
    <xf numFmtId="164" fontId="28" fillId="0" borderId="0" xfId="0" applyFont="true" applyBorder="false" applyAlignment="false" applyProtection="false">
      <alignment horizontal="general" vertical="bottom" textRotation="0" wrapText="false" indent="0" shrinkToFit="false"/>
      <protection locked="true" hidden="false"/>
    </xf>
    <xf numFmtId="164" fontId="62" fillId="0" borderId="0" xfId="0" applyFont="true" applyBorder="false" applyAlignment="true" applyProtection="false">
      <alignment horizontal="general" vertical="top" textRotation="0" wrapText="true" indent="0" shrinkToFit="false"/>
      <protection locked="true" hidden="false"/>
    </xf>
    <xf numFmtId="164" fontId="63" fillId="0" borderId="0" xfId="0" applyFont="true" applyBorder="false" applyAlignment="true" applyProtection="false">
      <alignment horizontal="general" vertical="top" textRotation="0" wrapText="true" indent="0" shrinkToFit="false"/>
      <protection locked="true" hidden="false"/>
    </xf>
    <xf numFmtId="164" fontId="64" fillId="0" borderId="4" xfId="0" applyFont="true" applyBorder="true" applyAlignment="false" applyProtection="false">
      <alignment horizontal="general" vertical="bottom" textRotation="0" wrapText="false" indent="0" shrinkToFit="false"/>
      <protection locked="true" hidden="false"/>
    </xf>
    <xf numFmtId="246" fontId="65" fillId="0" borderId="5" xfId="0" applyFont="true" applyBorder="true" applyAlignment="false" applyProtection="false">
      <alignment horizontal="general" vertical="bottom" textRotation="0" wrapText="false" indent="0" shrinkToFit="false"/>
      <protection locked="true" hidden="false"/>
    </xf>
    <xf numFmtId="164" fontId="64" fillId="0" borderId="6" xfId="0" applyFont="true" applyBorder="true" applyAlignment="false" applyProtection="false">
      <alignment horizontal="general" vertical="bottom" textRotation="0" wrapText="false" indent="0" shrinkToFit="false"/>
      <protection locked="true" hidden="false"/>
    </xf>
    <xf numFmtId="246" fontId="65" fillId="0" borderId="7" xfId="0" applyFont="true" applyBorder="true" applyAlignment="false" applyProtection="false">
      <alignment horizontal="general" vertical="bottom" textRotation="0" wrapText="false" indent="0" shrinkToFit="false"/>
      <protection locked="true" hidden="false"/>
    </xf>
    <xf numFmtId="164" fontId="64" fillId="0" borderId="0" xfId="0" applyFont="true" applyBorder="true" applyAlignment="false" applyProtection="false">
      <alignment horizontal="general" vertical="bottom" textRotation="0" wrapText="false" indent="0" shrinkToFit="false"/>
      <protection locked="true" hidden="false"/>
    </xf>
    <xf numFmtId="164" fontId="66" fillId="0" borderId="8" xfId="0" applyFont="true" applyBorder="true" applyAlignment="true" applyProtection="false">
      <alignment horizontal="center" vertical="bottom" textRotation="0" wrapText="false" indent="0" shrinkToFit="false"/>
      <protection locked="true" hidden="false"/>
    </xf>
    <xf numFmtId="164" fontId="63" fillId="0" borderId="4" xfId="0" applyFont="true" applyBorder="true" applyAlignment="false" applyProtection="false">
      <alignment horizontal="general" vertical="bottom" textRotation="0" wrapText="false" indent="0" shrinkToFit="false"/>
      <protection locked="true" hidden="false"/>
    </xf>
    <xf numFmtId="164" fontId="63" fillId="0" borderId="9" xfId="0" applyFont="true" applyBorder="true" applyAlignment="false" applyProtection="false">
      <alignment horizontal="general" vertical="bottom" textRotation="0" wrapText="false" indent="0" shrinkToFit="false"/>
      <protection locked="true" hidden="false"/>
    </xf>
    <xf numFmtId="164" fontId="63" fillId="0" borderId="5" xfId="0" applyFont="true" applyBorder="true" applyAlignment="false" applyProtection="false">
      <alignment horizontal="general" vertical="bottom" textRotation="0" wrapText="false" indent="0" shrinkToFit="false"/>
      <protection locked="true" hidden="false"/>
    </xf>
    <xf numFmtId="164" fontId="63" fillId="0" borderId="0" xfId="0" applyFont="true" applyBorder="false" applyAlignment="false" applyProtection="false">
      <alignment horizontal="general" vertical="bottom" textRotation="0" wrapText="false" indent="0" shrinkToFit="false"/>
      <protection locked="true" hidden="false"/>
    </xf>
    <xf numFmtId="169" fontId="57" fillId="0" borderId="8" xfId="0" applyFont="true" applyBorder="true" applyAlignment="false" applyProtection="false">
      <alignment horizontal="general" vertical="bottom" textRotation="0" wrapText="false" indent="0" shrinkToFit="false"/>
      <protection locked="true" hidden="false"/>
    </xf>
    <xf numFmtId="169" fontId="28" fillId="0" borderId="10" xfId="0" applyFont="true" applyBorder="true" applyAlignment="false" applyProtection="false">
      <alignment horizontal="general" vertical="bottom" textRotation="0" wrapText="false" indent="0" shrinkToFit="false"/>
      <protection locked="true" hidden="false"/>
    </xf>
    <xf numFmtId="169" fontId="28" fillId="0" borderId="0" xfId="0" applyFont="true" applyBorder="true" applyAlignment="false" applyProtection="false">
      <alignment horizontal="general" vertical="bottom" textRotation="0" wrapText="false" indent="0" shrinkToFit="false"/>
      <protection locked="true" hidden="false"/>
    </xf>
    <xf numFmtId="169" fontId="28" fillId="0" borderId="11" xfId="0" applyFont="true" applyBorder="true" applyAlignment="false" applyProtection="false">
      <alignment horizontal="general" vertical="bottom" textRotation="0" wrapText="false" indent="0" shrinkToFit="false"/>
      <protection locked="true" hidden="false"/>
    </xf>
    <xf numFmtId="169" fontId="28" fillId="0" borderId="0" xfId="0" applyFont="true" applyBorder="false" applyAlignment="false" applyProtection="false">
      <alignment horizontal="general" vertical="bottom" textRotation="0" wrapText="false" indent="0" shrinkToFit="false"/>
      <protection locked="true" hidden="false"/>
    </xf>
    <xf numFmtId="164" fontId="64" fillId="0" borderId="0" xfId="0" applyFont="true" applyBorder="false" applyAlignment="false" applyProtection="false">
      <alignment horizontal="general" vertical="bottom" textRotation="0" wrapText="false" indent="0" shrinkToFit="false"/>
      <protection locked="true" hidden="false"/>
    </xf>
    <xf numFmtId="169" fontId="28" fillId="0" borderId="6" xfId="0" applyFont="true" applyBorder="true" applyAlignment="false" applyProtection="false">
      <alignment horizontal="general" vertical="bottom" textRotation="0" wrapText="false" indent="0" shrinkToFit="false"/>
      <protection locked="true" hidden="false"/>
    </xf>
    <xf numFmtId="169" fontId="28" fillId="0" borderId="3" xfId="0" applyFont="true" applyBorder="true" applyAlignment="false" applyProtection="false">
      <alignment horizontal="general" vertical="bottom" textRotation="0" wrapText="false" indent="0" shrinkToFit="false"/>
      <protection locked="true" hidden="false"/>
    </xf>
    <xf numFmtId="169" fontId="28" fillId="0" borderId="7" xfId="0" applyFont="true" applyBorder="true" applyAlignment="false" applyProtection="false">
      <alignment horizontal="general" vertical="bottom" textRotation="0" wrapText="false" indent="0" shrinkToFit="false"/>
      <protection locked="true" hidden="false"/>
    </xf>
    <xf numFmtId="164" fontId="66" fillId="0" borderId="0" xfId="0" applyFont="true" applyBorder="false" applyAlignment="false" applyProtection="false">
      <alignment horizontal="general" vertical="bottom" textRotation="0" wrapText="false" indent="0" shrinkToFit="false"/>
      <protection locked="true" hidden="false"/>
    </xf>
    <xf numFmtId="247" fontId="57" fillId="0" borderId="0" xfId="17" applyFont="true" applyBorder="true" applyAlignment="true" applyProtection="true">
      <alignment horizontal="general" vertical="bottom" textRotation="0" wrapText="false" indent="0" shrinkToFit="false"/>
      <protection locked="true" hidden="false"/>
    </xf>
    <xf numFmtId="247" fontId="12" fillId="0" borderId="0" xfId="17" applyFont="true" applyBorder="true" applyAlignment="true" applyProtection="true">
      <alignment horizontal="general" vertical="bottom" textRotation="0" wrapText="false" indent="0" shrinkToFit="false"/>
      <protection locked="true" hidden="false"/>
    </xf>
    <xf numFmtId="248" fontId="12" fillId="0" borderId="0" xfId="15" applyFont="true" applyBorder="true" applyAlignment="true" applyProtection="true">
      <alignment horizontal="general" vertical="bottom" textRotation="0" wrapText="false" indent="0" shrinkToFit="false"/>
      <protection locked="true" hidden="false"/>
    </xf>
    <xf numFmtId="248" fontId="57" fillId="0" borderId="0" xfId="15" applyFont="true" applyBorder="true" applyAlignment="true" applyProtection="true">
      <alignment horizontal="general" vertical="bottom" textRotation="0" wrapText="false" indent="0" shrinkToFit="false"/>
      <protection locked="true" hidden="false"/>
    </xf>
    <xf numFmtId="193" fontId="57" fillId="0" borderId="0" xfId="15" applyFont="true" applyBorder="true" applyAlignment="true" applyProtection="true">
      <alignment horizontal="general" vertical="bottom" textRotation="0" wrapText="false" indent="0" shrinkToFit="false"/>
      <protection locked="true" hidden="false"/>
    </xf>
    <xf numFmtId="193" fontId="12" fillId="0" borderId="0" xfId="15" applyFont="true" applyBorder="true" applyAlignment="true" applyProtection="true">
      <alignment horizontal="general" vertical="bottom" textRotation="0" wrapText="false" indent="0" shrinkToFit="false"/>
      <protection locked="true" hidden="false"/>
    </xf>
    <xf numFmtId="224" fontId="66" fillId="0" borderId="0" xfId="0" applyFont="true" applyBorder="false" applyAlignment="false" applyProtection="false">
      <alignment horizontal="general" vertical="bottom" textRotation="0" wrapText="false" indent="0" shrinkToFit="false"/>
      <protection locked="true" hidden="false"/>
    </xf>
    <xf numFmtId="164" fontId="67" fillId="0" borderId="0" xfId="0" applyFont="true" applyBorder="false" applyAlignment="false" applyProtection="false">
      <alignment horizontal="general" vertical="bottom" textRotation="0" wrapText="false" indent="0" shrinkToFit="false"/>
      <protection locked="true" hidden="false"/>
    </xf>
    <xf numFmtId="164" fontId="58" fillId="0" borderId="0" xfId="0" applyFont="true" applyBorder="false" applyAlignment="false" applyProtection="false">
      <alignment horizontal="general" vertical="bottom" textRotation="0" wrapText="false" indent="0" shrinkToFit="false"/>
      <protection locked="true" hidden="false"/>
    </xf>
    <xf numFmtId="180" fontId="57" fillId="0" borderId="0" xfId="0" applyFont="true" applyBorder="false" applyAlignment="false" applyProtection="false">
      <alignment horizontal="general" vertical="bottom" textRotation="0" wrapText="false" indent="0" shrinkToFit="false"/>
      <protection locked="true" hidden="false"/>
    </xf>
    <xf numFmtId="180" fontId="59" fillId="0" borderId="0" xfId="0" applyFont="true" applyBorder="false" applyAlignment="false" applyProtection="false">
      <alignment horizontal="general" vertical="bottom" textRotation="0" wrapText="false" indent="0" shrinkToFit="false"/>
      <protection locked="true" hidden="false"/>
    </xf>
    <xf numFmtId="164" fontId="66" fillId="0" borderId="0" xfId="0" applyFont="true" applyBorder="false" applyAlignment="true" applyProtection="false">
      <alignment horizontal="left" vertical="bottom" textRotation="0" wrapText="false" indent="0" shrinkToFit="false"/>
      <protection locked="true" hidden="false"/>
    </xf>
    <xf numFmtId="244" fontId="68" fillId="0" borderId="0" xfId="0" applyFont="true" applyBorder="false" applyAlignment="false" applyProtection="false">
      <alignment horizontal="general" vertical="bottom" textRotation="0" wrapText="false" indent="0" shrinkToFit="false"/>
      <protection locked="true" hidden="false"/>
    </xf>
    <xf numFmtId="164" fontId="68" fillId="0" borderId="0" xfId="0" applyFont="true" applyBorder="false" applyAlignment="false" applyProtection="false">
      <alignment horizontal="general" vertical="bottom" textRotation="0" wrapText="false" indent="0" shrinkToFit="false"/>
      <protection locked="true" hidden="false"/>
    </xf>
    <xf numFmtId="164" fontId="69" fillId="0" borderId="0" xfId="0" applyFont="true" applyBorder="false" applyAlignment="false" applyProtection="false">
      <alignment horizontal="general"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4" fontId="70" fillId="0" borderId="0" xfId="0" applyFont="true" applyBorder="false" applyAlignment="false" applyProtection="false">
      <alignment horizontal="general" vertical="bottom" textRotation="0" wrapText="false" indent="0" shrinkToFit="false"/>
      <protection locked="true" hidden="false"/>
    </xf>
    <xf numFmtId="191" fontId="0" fillId="0" borderId="0" xfId="0" applyFont="false" applyBorder="false" applyAlignment="false" applyProtection="false">
      <alignment horizontal="general" vertical="bottom" textRotation="0" wrapText="false" indent="0" shrinkToFit="false"/>
      <protection locked="true" hidden="false"/>
    </xf>
    <xf numFmtId="164" fontId="68" fillId="0" borderId="4" xfId="0" applyFont="true" applyBorder="true" applyAlignment="false" applyProtection="false">
      <alignment horizontal="general" vertical="bottom" textRotation="0" wrapText="false" indent="0" shrinkToFit="false"/>
      <protection locked="true" hidden="false"/>
    </xf>
    <xf numFmtId="164" fontId="0" fillId="0" borderId="9" xfId="0" applyFont="false" applyBorder="true" applyAlignment="false" applyProtection="false">
      <alignment horizontal="general" vertical="bottom" textRotation="0" wrapText="false" indent="0" shrinkToFit="false"/>
      <protection locked="true" hidden="false"/>
    </xf>
    <xf numFmtId="164" fontId="0" fillId="0" borderId="5" xfId="0" applyFont="false" applyBorder="true" applyAlignment="false" applyProtection="false">
      <alignment horizontal="general" vertical="bottom" textRotation="0" wrapText="false" indent="0" shrinkToFit="false"/>
      <protection locked="true" hidden="false"/>
    </xf>
    <xf numFmtId="164" fontId="0" fillId="0" borderId="10"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68" fillId="0" borderId="0" xfId="0" applyFont="true" applyBorder="true" applyAlignment="false" applyProtection="false">
      <alignment horizontal="general" vertical="bottom" textRotation="0" wrapText="false" indent="0" shrinkToFit="false"/>
      <protection locked="true" hidden="false"/>
    </xf>
    <xf numFmtId="164" fontId="68" fillId="0" borderId="11" xfId="0" applyFont="true" applyBorder="true" applyAlignment="false" applyProtection="false">
      <alignment horizontal="general" vertical="bottom" textRotation="0" wrapText="false" indent="0" shrinkToFit="false"/>
      <protection locked="true" hidden="false"/>
    </xf>
    <xf numFmtId="169" fontId="0" fillId="0" borderId="0" xfId="0" applyFont="false" applyBorder="true" applyAlignment="false" applyProtection="false">
      <alignment horizontal="general" vertical="bottom" textRotation="0" wrapText="false" indent="0" shrinkToFit="false"/>
      <protection locked="true" hidden="false"/>
    </xf>
    <xf numFmtId="164" fontId="0" fillId="0" borderId="11" xfId="0" applyFont="false" applyBorder="true" applyAlignment="false" applyProtection="false">
      <alignment horizontal="general" vertical="bottom" textRotation="0" wrapText="false" indent="0" shrinkToFit="false"/>
      <protection locked="true" hidden="false"/>
    </xf>
    <xf numFmtId="169" fontId="71" fillId="0" borderId="0" xfId="0" applyFont="true" applyBorder="true" applyAlignment="false" applyProtection="false">
      <alignment horizontal="general" vertical="bottom" textRotation="0" wrapText="false" indent="0" shrinkToFit="false"/>
      <protection locked="true" hidden="false"/>
    </xf>
    <xf numFmtId="169" fontId="0" fillId="0" borderId="11" xfId="0" applyFont="false" applyBorder="true" applyAlignment="false" applyProtection="false">
      <alignment horizontal="general" vertical="bottom" textRotation="0" wrapText="false" indent="0" shrinkToFit="false"/>
      <protection locked="true" hidden="false"/>
    </xf>
    <xf numFmtId="164" fontId="68" fillId="0" borderId="6" xfId="0" applyFont="true" applyBorder="true" applyAlignment="false" applyProtection="false">
      <alignment horizontal="general" vertical="bottom" textRotation="0" wrapText="false" indent="0" shrinkToFit="false"/>
      <protection locked="true" hidden="false"/>
    </xf>
    <xf numFmtId="164" fontId="68" fillId="0" borderId="3" xfId="0" applyFont="true" applyBorder="true" applyAlignment="false" applyProtection="false">
      <alignment horizontal="general" vertical="bottom" textRotation="0" wrapText="false" indent="0" shrinkToFit="false"/>
      <protection locked="true" hidden="false"/>
    </xf>
    <xf numFmtId="169" fontId="68" fillId="0" borderId="3" xfId="0" applyFont="true" applyBorder="true" applyAlignment="false" applyProtection="false">
      <alignment horizontal="general" vertical="bottom" textRotation="0" wrapText="false" indent="0" shrinkToFit="false"/>
      <protection locked="true" hidden="false"/>
    </xf>
    <xf numFmtId="169" fontId="68" fillId="0" borderId="7" xfId="0" applyFont="true" applyBorder="true" applyAlignment="false" applyProtection="false">
      <alignment horizontal="general" vertical="bottom" textRotation="0" wrapText="false" indent="0" shrinkToFit="false"/>
      <protection locked="true" hidden="false"/>
    </xf>
    <xf numFmtId="164" fontId="72" fillId="0" borderId="0" xfId="0" applyFont="true" applyBorder="false" applyAlignment="false" applyProtection="false">
      <alignment horizontal="general" vertical="bottom" textRotation="0" wrapText="false" indent="0" shrinkToFit="false"/>
      <protection locked="true" hidden="false"/>
    </xf>
    <xf numFmtId="164" fontId="73" fillId="0" borderId="0" xfId="0" applyFont="true" applyBorder="false" applyAlignment="false" applyProtection="false">
      <alignment horizontal="general" vertical="bottom" textRotation="0" wrapText="false" indent="0" shrinkToFit="false"/>
      <protection locked="true" hidden="false"/>
    </xf>
    <xf numFmtId="164" fontId="74" fillId="0" borderId="0" xfId="0" applyFont="true" applyBorder="false" applyAlignment="true" applyProtection="false">
      <alignment horizontal="right" vertical="bottom" textRotation="0" wrapText="false" indent="0" shrinkToFit="false"/>
      <protection locked="true" hidden="false"/>
    </xf>
    <xf numFmtId="164" fontId="75" fillId="0" borderId="0" xfId="0" applyFont="true" applyBorder="false" applyAlignment="false" applyProtection="false">
      <alignment horizontal="general" vertical="bottom" textRotation="0" wrapText="false" indent="0" shrinkToFit="false"/>
      <protection locked="true" hidden="false"/>
    </xf>
    <xf numFmtId="164" fontId="76" fillId="4" borderId="0" xfId="0" applyFont="true" applyBorder="true" applyAlignment="true" applyProtection="false">
      <alignment horizontal="center" vertical="bottom" textRotation="0" wrapText="false" indent="0" shrinkToFit="false"/>
      <protection locked="true" hidden="false"/>
    </xf>
    <xf numFmtId="164" fontId="77" fillId="0" borderId="0" xfId="0" applyFont="true" applyBorder="true" applyAlignment="true" applyProtection="false">
      <alignment horizontal="center" vertical="bottom" textRotation="0" wrapText="false" indent="0" shrinkToFit="false"/>
      <protection locked="true" hidden="false"/>
    </xf>
    <xf numFmtId="164" fontId="57" fillId="0" borderId="0" xfId="0" applyFont="true" applyBorder="true" applyAlignment="true" applyProtection="false">
      <alignment horizontal="center" vertical="bottom" textRotation="0" wrapText="false" indent="0" shrinkToFit="false"/>
      <protection locked="true" hidden="false"/>
    </xf>
    <xf numFmtId="164" fontId="78" fillId="4" borderId="4" xfId="0" applyFont="true" applyBorder="true" applyAlignment="true" applyProtection="true">
      <alignment horizontal="left" vertical="bottom" textRotation="0" wrapText="false" indent="0" shrinkToFit="false"/>
      <protection locked="true" hidden="false"/>
    </xf>
    <xf numFmtId="164" fontId="72" fillId="4" borderId="9" xfId="0" applyFont="true" applyBorder="true" applyAlignment="false" applyProtection="false">
      <alignment horizontal="general" vertical="bottom" textRotation="0" wrapText="false" indent="0" shrinkToFit="false"/>
      <protection locked="true" hidden="false"/>
    </xf>
    <xf numFmtId="164" fontId="72" fillId="4" borderId="5" xfId="0" applyFont="true" applyBorder="true" applyAlignment="false" applyProtection="false">
      <alignment horizontal="general" vertical="bottom" textRotation="0" wrapText="false" indent="0" shrinkToFit="false"/>
      <protection locked="true" hidden="false"/>
    </xf>
    <xf numFmtId="244" fontId="79" fillId="4" borderId="5" xfId="19" applyFont="true" applyBorder="true" applyAlignment="true" applyProtection="true">
      <alignment horizontal="general" vertical="bottom" textRotation="0" wrapText="false" indent="0" shrinkToFit="false"/>
      <protection locked="true" hidden="false"/>
    </xf>
    <xf numFmtId="164" fontId="78" fillId="4" borderId="4" xfId="0" applyFont="true" applyBorder="true" applyAlignment="false" applyProtection="false">
      <alignment horizontal="general" vertical="bottom" textRotation="0" wrapText="false" indent="0" shrinkToFit="false"/>
      <protection locked="true" hidden="false"/>
    </xf>
    <xf numFmtId="164" fontId="80" fillId="4" borderId="9" xfId="0" applyFont="true" applyBorder="true" applyAlignment="false" applyProtection="false">
      <alignment horizontal="general" vertical="bottom" textRotation="0" wrapText="false" indent="0" shrinkToFit="false"/>
      <protection locked="true" hidden="false"/>
    </xf>
    <xf numFmtId="164" fontId="72" fillId="4" borderId="5" xfId="0" applyFont="true" applyBorder="true" applyAlignment="true" applyProtection="false">
      <alignment horizontal="center" vertical="bottom" textRotation="0" wrapText="false" indent="0" shrinkToFit="false"/>
      <protection locked="true" hidden="false"/>
    </xf>
    <xf numFmtId="164" fontId="78" fillId="0" borderId="10" xfId="0" applyFont="true" applyBorder="true" applyAlignment="true" applyProtection="true">
      <alignment horizontal="left" vertical="bottom" textRotation="0" wrapText="false" indent="0" shrinkToFit="false"/>
      <protection locked="true" hidden="false"/>
    </xf>
    <xf numFmtId="164" fontId="72" fillId="0" borderId="0" xfId="0" applyFont="true" applyBorder="true" applyAlignment="false" applyProtection="false">
      <alignment horizontal="general" vertical="bottom" textRotation="0" wrapText="false" indent="0" shrinkToFit="false"/>
      <protection locked="true" hidden="false"/>
    </xf>
    <xf numFmtId="164" fontId="72" fillId="0" borderId="11" xfId="0" applyFont="true" applyBorder="true" applyAlignment="false" applyProtection="false">
      <alignment horizontal="general" vertical="bottom" textRotation="0" wrapText="false" indent="0" shrinkToFit="false"/>
      <protection locked="true" hidden="false"/>
    </xf>
    <xf numFmtId="244" fontId="79" fillId="0" borderId="11" xfId="19" applyFont="true" applyBorder="true" applyAlignment="true" applyProtection="true">
      <alignment horizontal="general" vertical="bottom" textRotation="0" wrapText="false" indent="0" shrinkToFit="false"/>
      <protection locked="true" hidden="false"/>
    </xf>
    <xf numFmtId="164" fontId="72" fillId="0" borderId="10" xfId="0" applyFont="true" applyBorder="true" applyAlignment="false" applyProtection="false">
      <alignment horizontal="general" vertical="bottom" textRotation="0" wrapText="false" indent="0" shrinkToFit="false"/>
      <protection locked="true" hidden="false"/>
    </xf>
    <xf numFmtId="164" fontId="66" fillId="0" borderId="12" xfId="0" applyFont="true" applyBorder="true" applyAlignment="true" applyProtection="true">
      <alignment horizontal="left" vertical="bottom" textRotation="0" wrapText="false" indent="0" shrinkToFit="false"/>
      <protection locked="true" hidden="false"/>
    </xf>
    <xf numFmtId="164" fontId="81" fillId="0" borderId="13" xfId="0" applyFont="true" applyBorder="true" applyAlignment="true" applyProtection="false">
      <alignment horizontal="center" vertical="bottom" textRotation="0" wrapText="false" indent="0" shrinkToFit="false"/>
      <protection locked="true" hidden="false"/>
    </xf>
    <xf numFmtId="164" fontId="72" fillId="0" borderId="10" xfId="0" applyFont="true" applyBorder="true" applyAlignment="true" applyProtection="true">
      <alignment horizontal="left" vertical="bottom" textRotation="0" wrapText="false" indent="0" shrinkToFit="false"/>
      <protection locked="true" hidden="false"/>
    </xf>
    <xf numFmtId="243" fontId="74" fillId="0" borderId="11" xfId="19" applyFont="true" applyBorder="true" applyAlignment="true" applyProtection="true">
      <alignment horizontal="right" vertical="bottom" textRotation="0" wrapText="false" indent="0" shrinkToFit="false"/>
      <protection locked="true" hidden="false"/>
    </xf>
    <xf numFmtId="164" fontId="82" fillId="0" borderId="10" xfId="0" applyFont="true" applyBorder="true" applyAlignment="true" applyProtection="true">
      <alignment horizontal="left" vertical="bottom" textRotation="0" wrapText="false" indent="0" shrinkToFit="false"/>
      <protection locked="true" hidden="false"/>
    </xf>
    <xf numFmtId="248" fontId="74" fillId="7" borderId="0" xfId="15" applyFont="true" applyBorder="true" applyAlignment="true" applyProtection="true">
      <alignment horizontal="right" vertical="bottom" textRotation="0" wrapText="false" indent="0" shrinkToFit="false"/>
      <protection locked="true" hidden="false"/>
    </xf>
    <xf numFmtId="248" fontId="74" fillId="7" borderId="11" xfId="15" applyFont="true" applyBorder="true" applyAlignment="true" applyProtection="true">
      <alignment horizontal="right" vertical="bottom" textRotation="0" wrapText="false" indent="0" shrinkToFit="false"/>
      <protection locked="true" hidden="false"/>
    </xf>
    <xf numFmtId="164" fontId="83" fillId="0" borderId="10" xfId="0" applyFont="true" applyBorder="true" applyAlignment="false" applyProtection="false">
      <alignment horizontal="general" vertical="bottom" textRotation="0" wrapText="false" indent="0" shrinkToFit="false"/>
      <protection locked="true" hidden="false"/>
    </xf>
    <xf numFmtId="164" fontId="84" fillId="0" borderId="0" xfId="0" applyFont="true" applyBorder="true" applyAlignment="true" applyProtection="false">
      <alignment horizontal="center" vertical="bottom" textRotation="0" wrapText="true" indent="0" shrinkToFit="false"/>
      <protection locked="true" hidden="false"/>
    </xf>
    <xf numFmtId="164" fontId="85" fillId="0" borderId="0" xfId="0" applyFont="true" applyBorder="true" applyAlignment="true" applyProtection="false">
      <alignment horizontal="center" vertical="bottom" textRotation="0" wrapText="false" indent="0" shrinkToFit="false"/>
      <protection locked="true" hidden="false"/>
    </xf>
    <xf numFmtId="170" fontId="72" fillId="0" borderId="0" xfId="0" applyFont="true" applyBorder="true" applyAlignment="false" applyProtection="false">
      <alignment horizontal="general" vertical="bottom" textRotation="0" wrapText="false" indent="0" shrinkToFit="false"/>
      <protection locked="true" hidden="false"/>
    </xf>
    <xf numFmtId="164" fontId="86" fillId="0" borderId="11" xfId="0" applyFont="true" applyBorder="true" applyAlignment="true" applyProtection="false">
      <alignment horizontal="center" vertical="bottom" textRotation="0" wrapText="true" indent="0" shrinkToFit="false"/>
      <protection locked="true" hidden="false"/>
    </xf>
    <xf numFmtId="164" fontId="80" fillId="0" borderId="0" xfId="0" applyFont="true" applyBorder="true" applyAlignment="false" applyProtection="false">
      <alignment horizontal="general" vertical="bottom" textRotation="0" wrapText="false" indent="0" shrinkToFit="false"/>
      <protection locked="true" hidden="false"/>
    </xf>
    <xf numFmtId="164" fontId="80" fillId="0" borderId="0" xfId="0" applyFont="true" applyBorder="true" applyAlignment="true" applyProtection="false">
      <alignment horizontal="center" vertical="bottom" textRotation="0" wrapText="false" indent="0" shrinkToFit="false"/>
      <protection locked="true" hidden="false"/>
    </xf>
    <xf numFmtId="249" fontId="74" fillId="0" borderId="11" xfId="0" applyFont="true" applyBorder="true" applyAlignment="false" applyProtection="true">
      <alignment horizontal="general" vertical="bottom" textRotation="0" wrapText="false" indent="0" shrinkToFit="false"/>
      <protection locked="false" hidden="false"/>
    </xf>
    <xf numFmtId="250" fontId="72" fillId="0" borderId="0" xfId="0" applyFont="true" applyBorder="true" applyAlignment="true" applyProtection="true">
      <alignment horizontal="center" vertical="bottom" textRotation="0" wrapText="false" indent="0" shrinkToFit="false"/>
      <protection locked="true" hidden="false"/>
    </xf>
    <xf numFmtId="247" fontId="72" fillId="0" borderId="11" xfId="0" applyFont="true" applyBorder="true" applyAlignment="false" applyProtection="true">
      <alignment horizontal="general" vertical="bottom" textRotation="0" wrapText="false" indent="0" shrinkToFit="false"/>
      <protection locked="true" hidden="false"/>
    </xf>
    <xf numFmtId="248" fontId="74" fillId="7" borderId="0" xfId="15" applyFont="true" applyBorder="true" applyAlignment="true" applyProtection="true">
      <alignment horizontal="general" vertical="bottom" textRotation="0" wrapText="false" indent="0" shrinkToFit="false"/>
      <protection locked="false" hidden="false"/>
    </xf>
    <xf numFmtId="248" fontId="74" fillId="7" borderId="11" xfId="15" applyFont="true" applyBorder="true" applyAlignment="true" applyProtection="true">
      <alignment horizontal="general" vertical="bottom" textRotation="0" wrapText="false" indent="0" shrinkToFit="false"/>
      <protection locked="false" hidden="false"/>
    </xf>
    <xf numFmtId="164" fontId="80" fillId="0" borderId="10" xfId="0" applyFont="true" applyBorder="true" applyAlignment="true" applyProtection="true">
      <alignment horizontal="left" vertical="bottom" textRotation="0" wrapText="false" indent="0" shrinkToFit="false"/>
      <protection locked="true" hidden="false"/>
    </xf>
    <xf numFmtId="247" fontId="74" fillId="8" borderId="0" xfId="17" applyFont="true" applyBorder="true" applyAlignment="true" applyProtection="true">
      <alignment horizontal="general" vertical="bottom" textRotation="0" wrapText="false" indent="0" shrinkToFit="false"/>
      <protection locked="false" hidden="false"/>
    </xf>
    <xf numFmtId="239" fontId="74" fillId="0" borderId="0" xfId="0" applyFont="true" applyBorder="true" applyAlignment="false" applyProtection="false">
      <alignment horizontal="general" vertical="bottom" textRotation="0" wrapText="false" indent="0" shrinkToFit="false"/>
      <protection locked="true" hidden="false"/>
    </xf>
    <xf numFmtId="251" fontId="72" fillId="0" borderId="0" xfId="0" applyFont="true" applyBorder="true" applyAlignment="true" applyProtection="false">
      <alignment horizontal="right" vertical="bottom" textRotation="0" wrapText="false" indent="0" shrinkToFit="false"/>
      <protection locked="true" hidden="false"/>
    </xf>
    <xf numFmtId="170" fontId="85" fillId="0" borderId="0" xfId="0" applyFont="true" applyBorder="true" applyAlignment="false" applyProtection="false">
      <alignment horizontal="general" vertical="bottom" textRotation="0" wrapText="false" indent="0" shrinkToFit="false"/>
      <protection locked="true" hidden="false"/>
    </xf>
    <xf numFmtId="200" fontId="72" fillId="0" borderId="11" xfId="0" applyFont="true" applyBorder="true" applyAlignment="false" applyProtection="false">
      <alignment horizontal="general" vertical="bottom" textRotation="0" wrapText="false" indent="0" shrinkToFit="false"/>
      <protection locked="true" hidden="false"/>
    </xf>
    <xf numFmtId="164" fontId="74" fillId="0" borderId="11" xfId="0" applyFont="true" applyBorder="true" applyAlignment="true" applyProtection="false">
      <alignment horizontal="right" vertical="bottom" textRotation="0" wrapText="false" indent="0" shrinkToFit="false"/>
      <protection locked="true" hidden="false"/>
    </xf>
    <xf numFmtId="235" fontId="72" fillId="0" borderId="11" xfId="0" applyFont="true" applyBorder="true" applyAlignment="false" applyProtection="true">
      <alignment horizontal="general" vertical="bottom" textRotation="0" wrapText="false" indent="0" shrinkToFit="false"/>
      <protection locked="true" hidden="false"/>
    </xf>
    <xf numFmtId="252" fontId="74" fillId="7" borderId="11" xfId="15" applyFont="true" applyBorder="true" applyAlignment="true" applyProtection="true">
      <alignment horizontal="general" vertical="bottom" textRotation="0" wrapText="false" indent="0" shrinkToFit="false"/>
      <protection locked="true" hidden="false"/>
    </xf>
    <xf numFmtId="164" fontId="72" fillId="0" borderId="10" xfId="0" applyFont="true" applyBorder="true" applyAlignment="true" applyProtection="true">
      <alignment horizontal="general" vertical="bottom" textRotation="0" wrapText="false" indent="0" shrinkToFit="false"/>
      <protection locked="true" hidden="false"/>
    </xf>
    <xf numFmtId="164" fontId="72" fillId="0" borderId="0" xfId="0" applyFont="true" applyBorder="true" applyAlignment="true" applyProtection="false">
      <alignment horizontal="center" vertical="bottom" textRotation="0" wrapText="false" indent="0" shrinkToFit="false"/>
      <protection locked="true" hidden="false"/>
    </xf>
    <xf numFmtId="164" fontId="72" fillId="0" borderId="11" xfId="0" applyFont="true" applyBorder="true" applyAlignment="true" applyProtection="true">
      <alignment horizontal="general" vertical="bottom" textRotation="0" wrapText="false" indent="0" shrinkToFit="false"/>
      <protection locked="true" hidden="false"/>
    </xf>
    <xf numFmtId="248" fontId="74" fillId="0" borderId="0" xfId="15" applyFont="true" applyBorder="true" applyAlignment="true" applyProtection="true">
      <alignment horizontal="general" vertical="bottom" textRotation="0" wrapText="false" indent="0" shrinkToFit="false"/>
      <protection locked="false" hidden="false"/>
    </xf>
    <xf numFmtId="240" fontId="74" fillId="7" borderId="11" xfId="0" applyFont="true" applyBorder="true" applyAlignment="false" applyProtection="true">
      <alignment horizontal="general" vertical="bottom" textRotation="0" wrapText="false" indent="0" shrinkToFit="false"/>
      <protection locked="false" hidden="false"/>
    </xf>
    <xf numFmtId="247" fontId="87" fillId="8" borderId="0" xfId="17" applyFont="true" applyBorder="true" applyAlignment="true" applyProtection="true">
      <alignment horizontal="general" vertical="bottom" textRotation="0" wrapText="false" indent="0" shrinkToFit="false"/>
      <protection locked="false" hidden="false"/>
    </xf>
    <xf numFmtId="251" fontId="85" fillId="0" borderId="0" xfId="0" applyFont="true" applyBorder="true" applyAlignment="false" applyProtection="false">
      <alignment horizontal="general" vertical="bottom" textRotation="0" wrapText="false" indent="0" shrinkToFit="false"/>
      <protection locked="true" hidden="false"/>
    </xf>
    <xf numFmtId="170" fontId="88" fillId="0" borderId="0" xfId="0" applyFont="true" applyBorder="true" applyAlignment="false" applyProtection="false">
      <alignment horizontal="general" vertical="bottom" textRotation="0" wrapText="false" indent="0" shrinkToFit="false"/>
      <protection locked="true" hidden="false"/>
    </xf>
    <xf numFmtId="200" fontId="85" fillId="0" borderId="11" xfId="0" applyFont="true" applyBorder="true" applyAlignment="false" applyProtection="false">
      <alignment horizontal="general" vertical="bottom" textRotation="0" wrapText="false" indent="0" shrinkToFit="false"/>
      <protection locked="true" hidden="false"/>
    </xf>
    <xf numFmtId="246" fontId="72" fillId="0" borderId="11" xfId="0" applyFont="true" applyBorder="true" applyAlignment="false" applyProtection="true">
      <alignment horizontal="general" vertical="bottom" textRotation="0" wrapText="false" indent="0" shrinkToFit="false"/>
      <protection locked="true" hidden="false"/>
    </xf>
    <xf numFmtId="250" fontId="74" fillId="0" borderId="0" xfId="0" applyFont="true" applyBorder="true" applyAlignment="false" applyProtection="false">
      <alignment horizontal="general" vertical="bottom" textRotation="0" wrapText="false" indent="0" shrinkToFit="false"/>
      <protection locked="true" hidden="false"/>
    </xf>
    <xf numFmtId="240" fontId="80" fillId="0" borderId="11" xfId="0" applyFont="true" applyBorder="true" applyAlignment="false" applyProtection="true">
      <alignment horizontal="general" vertical="bottom" textRotation="0" wrapText="false" indent="0" shrinkToFit="false"/>
      <protection locked="false" hidden="false"/>
    </xf>
    <xf numFmtId="164" fontId="89" fillId="0" borderId="6" xfId="0" applyFont="true" applyBorder="true" applyAlignment="true" applyProtection="true">
      <alignment horizontal="left" vertical="bottom" textRotation="0" wrapText="false" indent="0" shrinkToFit="false"/>
      <protection locked="true" hidden="false"/>
    </xf>
    <xf numFmtId="247" fontId="88" fillId="0" borderId="3" xfId="17" applyFont="true" applyBorder="true" applyAlignment="true" applyProtection="true">
      <alignment horizontal="general" vertical="bottom" textRotation="0" wrapText="false" indent="0" shrinkToFit="false"/>
      <protection locked="false" hidden="false"/>
    </xf>
    <xf numFmtId="164" fontId="80" fillId="0" borderId="3" xfId="0" applyFont="true" applyBorder="true" applyAlignment="false" applyProtection="false">
      <alignment horizontal="general" vertical="bottom" textRotation="0" wrapText="false" indent="0" shrinkToFit="false"/>
      <protection locked="true" hidden="false"/>
    </xf>
    <xf numFmtId="253" fontId="88" fillId="0" borderId="3" xfId="0" applyFont="true" applyBorder="true" applyAlignment="false" applyProtection="false">
      <alignment horizontal="general" vertical="bottom" textRotation="0" wrapText="false" indent="0" shrinkToFit="false"/>
      <protection locked="true" hidden="false"/>
    </xf>
    <xf numFmtId="164" fontId="72" fillId="0" borderId="3" xfId="0" applyFont="true" applyBorder="true" applyAlignment="false" applyProtection="false">
      <alignment horizontal="general" vertical="bottom" textRotation="0" wrapText="false" indent="0" shrinkToFit="false"/>
      <protection locked="true" hidden="false"/>
    </xf>
    <xf numFmtId="200" fontId="88" fillId="0" borderId="7" xfId="0" applyFont="true" applyBorder="true" applyAlignment="false" applyProtection="false">
      <alignment horizontal="general" vertical="bottom" textRotation="0" wrapText="false" indent="0" shrinkToFit="false"/>
      <protection locked="true" hidden="false"/>
    </xf>
    <xf numFmtId="254" fontId="72" fillId="0" borderId="10" xfId="1237" applyFont="true" applyBorder="true" applyAlignment="true" applyProtection="true">
      <alignment horizontal="left" vertical="bottom" textRotation="0" wrapText="false" indent="0" shrinkToFit="false"/>
      <protection locked="true" hidden="false"/>
    </xf>
    <xf numFmtId="229" fontId="72" fillId="0" borderId="0" xfId="0" applyFont="true" applyBorder="true" applyAlignment="false" applyProtection="false">
      <alignment horizontal="general" vertical="bottom" textRotation="0" wrapText="false" indent="0" shrinkToFit="false"/>
      <protection locked="true" hidden="false"/>
    </xf>
    <xf numFmtId="243" fontId="74" fillId="0" borderId="0" xfId="19" applyFont="true" applyBorder="true" applyAlignment="true" applyProtection="true">
      <alignment horizontal="center" vertical="bottom" textRotation="0" wrapText="false" indent="0" shrinkToFit="false"/>
      <protection locked="true" hidden="false"/>
    </xf>
    <xf numFmtId="164" fontId="72" fillId="0" borderId="10" xfId="0" applyFont="true" applyBorder="true" applyAlignment="true" applyProtection="false">
      <alignment horizontal="center" vertical="bottom" textRotation="0" wrapText="false" indent="0" shrinkToFit="false"/>
      <protection locked="true" hidden="false"/>
    </xf>
    <xf numFmtId="164" fontId="72" fillId="0" borderId="10" xfId="0" applyFont="true" applyBorder="true" applyAlignment="true" applyProtection="false">
      <alignment horizontal="left" vertical="bottom" textRotation="0" wrapText="false" indent="0" shrinkToFit="false"/>
      <protection locked="true" hidden="false"/>
    </xf>
    <xf numFmtId="248" fontId="74" fillId="0" borderId="0" xfId="15" applyFont="true" applyBorder="true" applyAlignment="true" applyProtection="true">
      <alignment horizontal="right" vertical="bottom" textRotation="0" wrapText="false" indent="0" shrinkToFit="false"/>
      <protection locked="true" hidden="false"/>
    </xf>
    <xf numFmtId="248" fontId="74" fillId="0" borderId="11" xfId="15" applyFont="true" applyBorder="true" applyAlignment="true" applyProtection="true">
      <alignment horizontal="general" vertical="bottom" textRotation="0" wrapText="false" indent="0" shrinkToFit="false"/>
      <protection locked="true" hidden="false"/>
    </xf>
    <xf numFmtId="253" fontId="72" fillId="0" borderId="0" xfId="0" applyFont="true" applyBorder="true" applyAlignment="false" applyProtection="false">
      <alignment horizontal="general" vertical="bottom" textRotation="0" wrapText="false" indent="0" shrinkToFit="false"/>
      <protection locked="true" hidden="false"/>
    </xf>
    <xf numFmtId="169" fontId="72" fillId="0" borderId="0" xfId="0" applyFont="true" applyBorder="true" applyAlignment="true" applyProtection="false">
      <alignment horizontal="right" vertical="bottom" textRotation="0" wrapText="false" indent="0" shrinkToFit="false"/>
      <protection locked="true" hidden="false"/>
    </xf>
    <xf numFmtId="243" fontId="74" fillId="0" borderId="11" xfId="0" applyFont="true" applyBorder="true" applyAlignment="false" applyProtection="true">
      <alignment horizontal="general" vertical="bottom" textRotation="0" wrapText="false" indent="0" shrinkToFit="false"/>
      <protection locked="false" hidden="false"/>
    </xf>
    <xf numFmtId="250" fontId="72" fillId="0" borderId="11" xfId="19" applyFont="true" applyBorder="true" applyAlignment="true" applyProtection="true">
      <alignment horizontal="general" vertical="bottom" textRotation="0" wrapText="false" indent="0" shrinkToFit="false"/>
      <protection locked="false" hidden="false"/>
    </xf>
    <xf numFmtId="164" fontId="90" fillId="4" borderId="4" xfId="0" applyFont="true" applyBorder="true" applyAlignment="true" applyProtection="true">
      <alignment horizontal="left" vertical="bottom" textRotation="0" wrapText="false" indent="0" shrinkToFit="false"/>
      <protection locked="true" hidden="false"/>
    </xf>
    <xf numFmtId="247" fontId="88" fillId="4" borderId="9" xfId="17" applyFont="true" applyBorder="true" applyAlignment="true" applyProtection="true">
      <alignment horizontal="general" vertical="bottom" textRotation="0" wrapText="false" indent="0" shrinkToFit="false"/>
      <protection locked="false" hidden="false"/>
    </xf>
    <xf numFmtId="253" fontId="88" fillId="4" borderId="9" xfId="0" applyFont="true" applyBorder="true" applyAlignment="false" applyProtection="false">
      <alignment horizontal="general" vertical="bottom" textRotation="0" wrapText="false" indent="0" shrinkToFit="false"/>
      <protection locked="true" hidden="false"/>
    </xf>
    <xf numFmtId="170" fontId="88" fillId="4" borderId="9" xfId="0" applyFont="true" applyBorder="true" applyAlignment="false" applyProtection="false">
      <alignment horizontal="general" vertical="bottom" textRotation="0" wrapText="false" indent="0" shrinkToFit="false"/>
      <protection locked="true" hidden="false"/>
    </xf>
    <xf numFmtId="200" fontId="88" fillId="4" borderId="5" xfId="0" applyFont="true" applyBorder="true" applyAlignment="false" applyProtection="false">
      <alignment horizontal="general" vertical="bottom" textRotation="0" wrapText="false" indent="0" shrinkToFit="false"/>
      <protection locked="true" hidden="false"/>
    </xf>
    <xf numFmtId="254" fontId="72" fillId="0" borderId="6" xfId="1237" applyFont="true" applyBorder="true" applyAlignment="true" applyProtection="true">
      <alignment horizontal="left" vertical="bottom" textRotation="0" wrapText="false" indent="0" shrinkToFit="false"/>
      <protection locked="true" hidden="false"/>
    </xf>
    <xf numFmtId="229" fontId="72" fillId="0" borderId="3" xfId="0" applyFont="true" applyBorder="true" applyAlignment="false" applyProtection="false">
      <alignment horizontal="general" vertical="bottom" textRotation="0" wrapText="false" indent="0" shrinkToFit="false"/>
      <protection locked="true" hidden="false"/>
    </xf>
    <xf numFmtId="242" fontId="74" fillId="0" borderId="3" xfId="0" applyFont="true" applyBorder="true" applyAlignment="true" applyProtection="false">
      <alignment horizontal="center" vertical="bottom" textRotation="0" wrapText="false" indent="0" shrinkToFit="false"/>
      <protection locked="true" hidden="false"/>
    </xf>
    <xf numFmtId="248" fontId="72" fillId="0" borderId="7" xfId="15" applyFont="true" applyBorder="true" applyAlignment="true" applyProtection="true">
      <alignment horizontal="general" vertical="bottom" textRotation="0" wrapText="false" indent="0" shrinkToFit="false"/>
      <protection locked="true" hidden="false"/>
    </xf>
    <xf numFmtId="248" fontId="74" fillId="0" borderId="11" xfId="15" applyFont="true" applyBorder="true" applyAlignment="true" applyProtection="true">
      <alignment horizontal="general" vertical="bottom" textRotation="0" wrapText="false" indent="0" shrinkToFit="false"/>
      <protection locked="false" hidden="false"/>
    </xf>
    <xf numFmtId="247" fontId="88" fillId="0" borderId="0" xfId="17" applyFont="true" applyBorder="true" applyAlignment="true" applyProtection="true">
      <alignment horizontal="center" vertical="bottom" textRotation="0" wrapText="true" indent="0" shrinkToFit="false"/>
      <protection locked="false" hidden="false"/>
    </xf>
    <xf numFmtId="253" fontId="88" fillId="0" borderId="0" xfId="0" applyFont="true" applyBorder="true" applyAlignment="true" applyProtection="false">
      <alignment horizontal="center" vertical="bottom" textRotation="0" wrapText="true" indent="0" shrinkToFit="false"/>
      <protection locked="true" hidden="false"/>
    </xf>
    <xf numFmtId="164" fontId="88" fillId="0" borderId="0" xfId="0" applyFont="true" applyBorder="true" applyAlignment="true" applyProtection="false">
      <alignment horizontal="center" vertical="bottom" textRotation="0" wrapText="false" indent="0" shrinkToFit="false"/>
      <protection locked="true" hidden="false"/>
    </xf>
    <xf numFmtId="170" fontId="88" fillId="0" borderId="0" xfId="0" applyFont="true" applyBorder="true" applyAlignment="true" applyProtection="false">
      <alignment horizontal="center" vertical="bottom" textRotation="0" wrapText="true" indent="0" shrinkToFit="false"/>
      <protection locked="true" hidden="false"/>
    </xf>
    <xf numFmtId="200" fontId="88" fillId="0" borderId="11" xfId="0" applyFont="true" applyBorder="true" applyAlignment="false" applyProtection="false">
      <alignment horizontal="general" vertical="bottom" textRotation="0" wrapText="false" indent="0" shrinkToFit="false"/>
      <protection locked="true" hidden="false"/>
    </xf>
    <xf numFmtId="164" fontId="91" fillId="0" borderId="10" xfId="0" applyFont="true" applyBorder="true" applyAlignment="true" applyProtection="true">
      <alignment horizontal="left" vertical="bottom" textRotation="0" wrapText="false" indent="0" shrinkToFit="false"/>
      <protection locked="true" hidden="false"/>
    </xf>
    <xf numFmtId="248" fontId="81" fillId="0" borderId="11" xfId="15" applyFont="true" applyBorder="true" applyAlignment="true" applyProtection="true">
      <alignment horizontal="general" vertical="bottom" textRotation="0" wrapText="false" indent="0" shrinkToFit="false"/>
      <protection locked="false" hidden="false"/>
    </xf>
    <xf numFmtId="169" fontId="74" fillId="0" borderId="0" xfId="17" applyFont="true" applyBorder="true" applyAlignment="true" applyProtection="true">
      <alignment horizontal="general" vertical="bottom" textRotation="0" wrapText="false" indent="0" shrinkToFit="false"/>
      <protection locked="false" hidden="false"/>
    </xf>
    <xf numFmtId="200" fontId="72" fillId="0" borderId="0" xfId="0" applyFont="true" applyBorder="true" applyAlignment="false" applyProtection="false">
      <alignment horizontal="general" vertical="bottom" textRotation="0" wrapText="false" indent="0" shrinkToFit="false"/>
      <protection locked="true" hidden="false"/>
    </xf>
    <xf numFmtId="250" fontId="72" fillId="0" borderId="11" xfId="19" applyFont="true" applyBorder="true" applyAlignment="true" applyProtection="true">
      <alignment horizontal="general" vertical="bottom" textRotation="0" wrapText="false" indent="0" shrinkToFit="false"/>
      <protection locked="true" hidden="false"/>
    </xf>
    <xf numFmtId="247" fontId="81" fillId="7" borderId="11" xfId="17" applyFont="true" applyBorder="true" applyAlignment="true" applyProtection="true">
      <alignment horizontal="general" vertical="bottom" textRotation="0" wrapText="false" indent="0" shrinkToFit="false"/>
      <protection locked="true" hidden="false"/>
    </xf>
    <xf numFmtId="230" fontId="74" fillId="0" borderId="0" xfId="0" applyFont="true" applyBorder="true" applyAlignment="false" applyProtection="true">
      <alignment horizontal="general" vertical="bottom" textRotation="0" wrapText="false" indent="0" shrinkToFit="false"/>
      <protection locked="false" hidden="false"/>
    </xf>
    <xf numFmtId="244" fontId="72" fillId="0" borderId="11" xfId="19" applyFont="true" applyBorder="true" applyAlignment="true" applyProtection="true">
      <alignment horizontal="general" vertical="bottom" textRotation="0" wrapText="false" indent="0" shrinkToFit="false"/>
      <protection locked="true" hidden="false"/>
    </xf>
    <xf numFmtId="200" fontId="85" fillId="0" borderId="0" xfId="0" applyFont="true" applyBorder="true" applyAlignment="false" applyProtection="false">
      <alignment horizontal="general" vertical="bottom" textRotation="0" wrapText="false" indent="0" shrinkToFit="false"/>
      <protection locked="true" hidden="false"/>
    </xf>
    <xf numFmtId="244" fontId="88" fillId="0" borderId="11" xfId="19" applyFont="true" applyBorder="true" applyAlignment="true" applyProtection="true">
      <alignment horizontal="general" vertical="bottom" textRotation="0" wrapText="false" indent="0" shrinkToFit="false"/>
      <protection locked="true" hidden="false"/>
    </xf>
    <xf numFmtId="255" fontId="72" fillId="0" borderId="11" xfId="0" applyFont="true" applyBorder="true" applyAlignment="false" applyProtection="false">
      <alignment horizontal="general" vertical="bottom" textRotation="0" wrapText="false" indent="0" shrinkToFit="false"/>
      <protection locked="true" hidden="false"/>
    </xf>
    <xf numFmtId="164" fontId="80" fillId="0" borderId="6" xfId="0" applyFont="true" applyBorder="true" applyAlignment="true" applyProtection="true">
      <alignment horizontal="left" vertical="bottom" textRotation="0" wrapText="false" indent="0" shrinkToFit="false"/>
      <protection locked="true" hidden="false"/>
    </xf>
    <xf numFmtId="200" fontId="72" fillId="0" borderId="3" xfId="0" applyFont="true" applyBorder="true" applyAlignment="false" applyProtection="false">
      <alignment horizontal="general" vertical="bottom" textRotation="0" wrapText="false" indent="0" shrinkToFit="false"/>
      <protection locked="true" hidden="false"/>
    </xf>
    <xf numFmtId="170" fontId="72" fillId="0" borderId="3" xfId="0" applyFont="true" applyBorder="true" applyAlignment="false" applyProtection="false">
      <alignment horizontal="general" vertical="bottom" textRotation="0" wrapText="false" indent="0" shrinkToFit="false"/>
      <protection locked="true" hidden="false"/>
    </xf>
    <xf numFmtId="164" fontId="74" fillId="0" borderId="11" xfId="0" applyFont="true" applyBorder="true" applyAlignment="false" applyProtection="false">
      <alignment horizontal="general" vertical="bottom" textRotation="0" wrapText="false" indent="0" shrinkToFit="false"/>
      <protection locked="true" hidden="false"/>
    </xf>
    <xf numFmtId="164" fontId="72" fillId="0" borderId="6" xfId="0" applyFont="true" applyBorder="true" applyAlignment="false" applyProtection="false">
      <alignment horizontal="general" vertical="bottom" textRotation="0" wrapText="false" indent="0" shrinkToFit="false"/>
      <protection locked="true" hidden="false"/>
    </xf>
    <xf numFmtId="164" fontId="72" fillId="0" borderId="3" xfId="0" applyFont="true" applyBorder="true" applyAlignment="true" applyProtection="false">
      <alignment horizontal="right" vertical="bottom" textRotation="0" wrapText="false" indent="0" shrinkToFit="false"/>
      <protection locked="true" hidden="false"/>
    </xf>
    <xf numFmtId="246" fontId="72" fillId="0" borderId="3" xfId="17" applyFont="true" applyBorder="true" applyAlignment="true" applyProtection="true">
      <alignment horizontal="center" vertical="bottom" textRotation="0" wrapText="false" indent="0" shrinkToFit="false"/>
      <protection locked="true" hidden="false"/>
    </xf>
    <xf numFmtId="246" fontId="72" fillId="0" borderId="7" xfId="17" applyFont="true" applyBorder="true" applyAlignment="true" applyProtection="true">
      <alignment horizontal="center" vertical="bottom" textRotation="0" wrapText="false" indent="0" shrinkToFit="false"/>
      <protection locked="true" hidden="false"/>
    </xf>
    <xf numFmtId="244" fontId="74" fillId="0" borderId="11" xfId="19" applyFont="true" applyBorder="true" applyAlignment="true" applyProtection="true">
      <alignment horizontal="general" vertical="bottom" textRotation="0" wrapText="false" indent="0" shrinkToFit="false"/>
      <protection locked="true" hidden="false"/>
    </xf>
    <xf numFmtId="164" fontId="72" fillId="0" borderId="0" xfId="0" applyFont="true" applyBorder="false" applyAlignment="true" applyProtection="true">
      <alignment horizontal="left" vertical="bottom" textRotation="0" wrapText="false" indent="0" shrinkToFit="false"/>
      <protection locked="true" hidden="false"/>
    </xf>
    <xf numFmtId="164" fontId="85" fillId="0" borderId="0" xfId="0" applyFont="true" applyBorder="false" applyAlignment="true" applyProtection="true">
      <alignment horizontal="center" vertical="bottom" textRotation="0" wrapText="false" indent="0" shrinkToFit="false"/>
      <protection locked="true" hidden="false"/>
    </xf>
    <xf numFmtId="164" fontId="92" fillId="0" borderId="0" xfId="0" applyFont="true" applyBorder="false" applyAlignment="true" applyProtection="true">
      <alignment horizontal="center" vertical="bottom" textRotation="0" wrapText="false" indent="0" shrinkToFit="false"/>
      <protection locked="true" hidden="false"/>
    </xf>
    <xf numFmtId="164" fontId="92" fillId="0" borderId="0" xfId="0" applyFont="true" applyBorder="false" applyAlignment="true" applyProtection="false">
      <alignment horizontal="center" vertical="bottom" textRotation="0" wrapText="false" indent="0" shrinkToFit="false"/>
      <protection locked="true" hidden="false"/>
    </xf>
    <xf numFmtId="247" fontId="74" fillId="4" borderId="9" xfId="17" applyFont="true" applyBorder="true" applyAlignment="true" applyProtection="true">
      <alignment horizontal="general" vertical="bottom" textRotation="0" wrapText="false" indent="0" shrinkToFit="false"/>
      <protection locked="false" hidden="false"/>
    </xf>
    <xf numFmtId="253" fontId="72" fillId="4" borderId="9" xfId="0" applyFont="true" applyBorder="true" applyAlignment="false" applyProtection="false">
      <alignment horizontal="general" vertical="bottom" textRotation="0" wrapText="false" indent="0" shrinkToFit="false"/>
      <protection locked="true" hidden="false"/>
    </xf>
    <xf numFmtId="169" fontId="72" fillId="4" borderId="5" xfId="0" applyFont="true" applyBorder="true" applyAlignment="false" applyProtection="false">
      <alignment horizontal="general" vertical="bottom" textRotation="0" wrapText="false" indent="0" shrinkToFit="false"/>
      <protection locked="true" hidden="false"/>
    </xf>
    <xf numFmtId="250" fontId="74" fillId="0" borderId="7" xfId="19" applyFont="true" applyBorder="true" applyAlignment="true" applyProtection="true">
      <alignment horizontal="general" vertical="bottom" textRotation="0" wrapText="false" indent="0" shrinkToFit="false"/>
      <protection locked="true" hidden="false"/>
    </xf>
    <xf numFmtId="164" fontId="72" fillId="4" borderId="9" xfId="0" applyFont="true" applyBorder="true" applyAlignment="true" applyProtection="false">
      <alignment horizontal="right" vertical="bottom" textRotation="0" wrapText="false" indent="0" shrinkToFit="false"/>
      <protection locked="true" hidden="false"/>
    </xf>
    <xf numFmtId="246" fontId="72" fillId="4" borderId="9" xfId="17" applyFont="true" applyBorder="true" applyAlignment="true" applyProtection="true">
      <alignment horizontal="center" vertical="bottom" textRotation="0" wrapText="false" indent="0" shrinkToFit="false"/>
      <protection locked="true" hidden="false"/>
    </xf>
    <xf numFmtId="246" fontId="72" fillId="4" borderId="5" xfId="17" applyFont="true" applyBorder="true" applyAlignment="true" applyProtection="true">
      <alignment horizontal="center" vertical="bottom" textRotation="0" wrapText="false" indent="0" shrinkToFit="false"/>
      <protection locked="true" hidden="false"/>
    </xf>
    <xf numFmtId="248" fontId="74" fillId="0" borderId="0" xfId="15" applyFont="true" applyBorder="true" applyAlignment="true" applyProtection="true">
      <alignment horizontal="general" vertical="bottom" textRotation="0" wrapText="false" indent="0" shrinkToFit="false"/>
      <protection locked="true" hidden="false"/>
    </xf>
    <xf numFmtId="248" fontId="81" fillId="7" borderId="11" xfId="15" applyFont="true" applyBorder="true" applyAlignment="true" applyProtection="true">
      <alignment horizontal="general" vertical="bottom" textRotation="0" wrapText="false" indent="0" shrinkToFit="false"/>
      <protection locked="true" hidden="false"/>
    </xf>
    <xf numFmtId="246" fontId="72" fillId="0" borderId="0" xfId="17" applyFont="true" applyBorder="true" applyAlignment="true" applyProtection="true">
      <alignment horizontal="center" vertical="bottom" textRotation="0" wrapText="false" indent="0" shrinkToFit="false"/>
      <protection locked="true" hidden="false"/>
    </xf>
    <xf numFmtId="164" fontId="72" fillId="0" borderId="0" xfId="0" applyFont="true" applyBorder="true" applyAlignment="true" applyProtection="false">
      <alignment horizontal="right" vertical="bottom" textRotation="0" wrapText="false" indent="0" shrinkToFit="false"/>
      <protection locked="true" hidden="false"/>
    </xf>
    <xf numFmtId="243" fontId="72" fillId="0" borderId="11" xfId="19" applyFont="true" applyBorder="true" applyAlignment="true" applyProtection="true">
      <alignment horizontal="center" vertical="bottom" textRotation="0" wrapText="false" indent="0" shrinkToFit="false"/>
      <protection locked="true" hidden="false"/>
    </xf>
    <xf numFmtId="200" fontId="72" fillId="0" borderId="0" xfId="0" applyFont="true" applyBorder="true" applyAlignment="true" applyProtection="false">
      <alignment horizontal="right" vertical="bottom" textRotation="0" wrapText="false" indent="0" shrinkToFit="false"/>
      <protection locked="true" hidden="false"/>
    </xf>
    <xf numFmtId="246" fontId="72" fillId="0" borderId="11" xfId="17" applyFont="true" applyBorder="true" applyAlignment="true" applyProtection="true">
      <alignment horizontal="center" vertical="bottom" textRotation="0" wrapText="false" indent="0" shrinkToFit="false"/>
      <protection locked="true" hidden="false"/>
    </xf>
    <xf numFmtId="247" fontId="74" fillId="0" borderId="0" xfId="17" applyFont="true" applyBorder="true" applyAlignment="true" applyProtection="true">
      <alignment horizontal="general" vertical="bottom" textRotation="0" wrapText="false" indent="0" shrinkToFit="false"/>
      <protection locked="true" hidden="false"/>
    </xf>
    <xf numFmtId="200" fontId="74" fillId="0" borderId="3" xfId="0" applyFont="true" applyBorder="true" applyAlignment="true" applyProtection="false">
      <alignment horizontal="right" vertical="bottom" textRotation="0" wrapText="false" indent="0" shrinkToFit="false"/>
      <protection locked="true" hidden="false"/>
    </xf>
    <xf numFmtId="244" fontId="74" fillId="0" borderId="7" xfId="19" applyFont="true" applyBorder="true" applyAlignment="true" applyProtection="true">
      <alignment horizontal="left" vertical="bottom" textRotation="0" wrapText="false" indent="0" shrinkToFit="false"/>
      <protection locked="true" hidden="false"/>
    </xf>
    <xf numFmtId="256" fontId="74" fillId="0" borderId="0" xfId="0" applyFont="true" applyBorder="true" applyAlignment="false" applyProtection="false">
      <alignment horizontal="general" vertical="bottom" textRotation="0" wrapText="false" indent="0" shrinkToFit="false"/>
      <protection locked="true" hidden="false"/>
    </xf>
    <xf numFmtId="164" fontId="73" fillId="0" borderId="0" xfId="0" applyFont="true" applyBorder="true" applyAlignment="false" applyProtection="false">
      <alignment horizontal="general" vertical="bottom" textRotation="0" wrapText="false" indent="0" shrinkToFit="false"/>
      <protection locked="true" hidden="false"/>
    </xf>
    <xf numFmtId="164" fontId="93" fillId="0" borderId="11" xfId="0" applyFont="true" applyBorder="true" applyAlignment="true" applyProtection="false">
      <alignment horizontal="center" vertical="bottom" textRotation="0" wrapText="false" indent="0" shrinkToFit="false"/>
      <protection locked="true" hidden="false"/>
    </xf>
    <xf numFmtId="247" fontId="87" fillId="0" borderId="0" xfId="17" applyFont="true" applyBorder="true" applyAlignment="true" applyProtection="true">
      <alignment horizontal="general" vertical="bottom" textRotation="0" wrapText="false" indent="0" shrinkToFit="false"/>
      <protection locked="true" hidden="false"/>
    </xf>
    <xf numFmtId="169" fontId="72" fillId="0" borderId="11" xfId="0" applyFont="true" applyBorder="true" applyAlignment="false" applyProtection="false">
      <alignment horizontal="general" vertical="bottom" textRotation="0" wrapText="false" indent="0" shrinkToFit="false"/>
      <protection locked="true" hidden="false"/>
    </xf>
    <xf numFmtId="164" fontId="74" fillId="4" borderId="5" xfId="0" applyFont="true" applyBorder="true" applyAlignment="false" applyProtection="true">
      <alignment horizontal="general" vertical="bottom" textRotation="0" wrapText="false" indent="0" shrinkToFit="false"/>
      <protection locked="true" hidden="false"/>
    </xf>
    <xf numFmtId="243" fontId="74" fillId="0" borderId="3" xfId="19" applyFont="true" applyBorder="true" applyAlignment="true" applyProtection="true">
      <alignment horizontal="general" vertical="bottom" textRotation="0" wrapText="false" indent="0" shrinkToFit="false"/>
      <protection locked="true" hidden="false"/>
    </xf>
    <xf numFmtId="164" fontId="85" fillId="0" borderId="10" xfId="0" applyFont="true" applyBorder="true" applyAlignment="false" applyProtection="false">
      <alignment horizontal="general" vertical="bottom" textRotation="0" wrapText="false" indent="0" shrinkToFit="false"/>
      <protection locked="true" hidden="false"/>
    </xf>
    <xf numFmtId="169" fontId="85" fillId="0" borderId="11" xfId="0" applyFont="true" applyBorder="true" applyAlignment="false" applyProtection="false">
      <alignment horizontal="general" vertical="bottom" textRotation="0" wrapText="false" indent="0" shrinkToFit="false"/>
      <protection locked="true" hidden="false"/>
    </xf>
    <xf numFmtId="235" fontId="72" fillId="0" borderId="10" xfId="1237" applyFont="true" applyBorder="true" applyAlignment="true" applyProtection="true">
      <alignment horizontal="left" vertical="bottom" textRotation="0" wrapText="false" indent="0" shrinkToFit="false"/>
      <protection locked="true" hidden="false"/>
    </xf>
    <xf numFmtId="164" fontId="80" fillId="0" borderId="0" xfId="0" applyFont="true" applyBorder="false" applyAlignment="true" applyProtection="true">
      <alignment horizontal="left" vertical="bottom" textRotation="0" wrapText="false" indent="0" shrinkToFit="false"/>
      <protection locked="true" hidden="false"/>
    </xf>
    <xf numFmtId="164" fontId="80" fillId="0" borderId="0" xfId="0" applyFont="true" applyBorder="false" applyAlignment="false" applyProtection="false">
      <alignment horizontal="general" vertical="bottom" textRotation="0" wrapText="false" indent="0" shrinkToFit="false"/>
      <protection locked="true" hidden="false"/>
    </xf>
    <xf numFmtId="247" fontId="72" fillId="0" borderId="0" xfId="17" applyFont="true" applyBorder="true" applyAlignment="true" applyProtection="true">
      <alignment horizontal="general" vertical="bottom" textRotation="0" wrapText="false" indent="0" shrinkToFit="false"/>
      <protection locked="false" hidden="false"/>
    </xf>
    <xf numFmtId="169" fontId="72" fillId="0" borderId="0" xfId="0" applyFont="true" applyBorder="false" applyAlignment="false" applyProtection="false">
      <alignment horizontal="general" vertical="bottom" textRotation="0" wrapText="false" indent="0" shrinkToFit="false"/>
      <protection locked="true" hidden="false"/>
    </xf>
    <xf numFmtId="248" fontId="73" fillId="0" borderId="0" xfId="15" applyFont="true" applyBorder="true" applyAlignment="true" applyProtection="true">
      <alignment horizontal="general" vertical="bottom" textRotation="0" wrapText="false" indent="0" shrinkToFit="false"/>
      <protection locked="true" hidden="false"/>
    </xf>
    <xf numFmtId="169" fontId="93" fillId="0" borderId="11" xfId="0" applyFont="true" applyBorder="true" applyAlignment="false" applyProtection="false">
      <alignment horizontal="general" vertical="bottom" textRotation="0" wrapText="false" indent="0" shrinkToFit="false"/>
      <protection locked="true" hidden="false"/>
    </xf>
    <xf numFmtId="164" fontId="72" fillId="0" borderId="10" xfId="0" applyFont="true" applyBorder="true" applyAlignment="false" applyProtection="false">
      <alignment horizontal="general" vertical="bottom" textRotation="0" wrapText="false" indent="0" shrinkToFit="false"/>
      <protection locked="true" hidden="false"/>
    </xf>
    <xf numFmtId="164" fontId="72" fillId="0" borderId="0" xfId="0" applyFont="true" applyBorder="true" applyAlignment="false" applyProtection="false">
      <alignment horizontal="general" vertical="bottom" textRotation="0" wrapText="false" indent="0" shrinkToFit="false"/>
      <protection locked="true" hidden="false"/>
    </xf>
    <xf numFmtId="248" fontId="72" fillId="0" borderId="11" xfId="15" applyFont="true" applyBorder="true" applyAlignment="true" applyProtection="true">
      <alignment horizontal="general" vertical="bottom" textRotation="0" wrapText="false" indent="0" shrinkToFit="false"/>
      <protection locked="true" hidden="false"/>
    </xf>
    <xf numFmtId="164" fontId="84" fillId="0" borderId="10" xfId="0" applyFont="true" applyBorder="true" applyAlignment="true" applyProtection="true">
      <alignment horizontal="left" vertical="bottom" textRotation="0" wrapText="false" indent="0" shrinkToFit="false"/>
      <protection locked="true" hidden="false"/>
    </xf>
    <xf numFmtId="248" fontId="72" fillId="0" borderId="11" xfId="0" applyFont="true" applyBorder="true" applyAlignment="false" applyProtection="false">
      <alignment horizontal="general" vertical="bottom" textRotation="0" wrapText="false" indent="0" shrinkToFit="false"/>
      <protection locked="true" hidden="false"/>
    </xf>
    <xf numFmtId="243" fontId="74" fillId="7" borderId="0" xfId="19" applyFont="true" applyBorder="true" applyAlignment="true" applyProtection="true">
      <alignment horizontal="center" vertical="bottom" textRotation="0" wrapText="false" indent="0" shrinkToFit="false"/>
      <protection locked="true" hidden="false"/>
    </xf>
    <xf numFmtId="248" fontId="81" fillId="9" borderId="11" xfId="15" applyFont="true" applyBorder="true" applyAlignment="true" applyProtection="true">
      <alignment horizontal="general" vertical="bottom" textRotation="0" wrapText="false" indent="0" shrinkToFit="false"/>
      <protection locked="true" hidden="false"/>
    </xf>
    <xf numFmtId="257" fontId="67" fillId="0" borderId="11" xfId="15" applyFont="true" applyBorder="true" applyAlignment="true" applyProtection="true">
      <alignment horizontal="right" vertical="bottom" textRotation="0" wrapText="false" indent="0" shrinkToFit="false"/>
      <protection locked="true" hidden="false"/>
    </xf>
    <xf numFmtId="247" fontId="74" fillId="8" borderId="0" xfId="17" applyFont="true" applyBorder="true" applyAlignment="true" applyProtection="true">
      <alignment horizontal="general" vertical="bottom" textRotation="0" wrapText="false" indent="0" shrinkToFit="false"/>
      <protection locked="true" hidden="false"/>
    </xf>
    <xf numFmtId="248" fontId="93" fillId="0" borderId="0" xfId="0" applyFont="true" applyBorder="true" applyAlignment="false" applyProtection="false">
      <alignment horizontal="general" vertical="bottom" textRotation="0" wrapText="false" indent="0" shrinkToFit="false"/>
      <protection locked="true" hidden="false"/>
    </xf>
    <xf numFmtId="248" fontId="85" fillId="0" borderId="11" xfId="0" applyFont="true" applyBorder="true" applyAlignment="false" applyProtection="false">
      <alignment horizontal="general" vertical="bottom" textRotation="0" wrapText="false" indent="0" shrinkToFit="false"/>
      <protection locked="true" hidden="false"/>
    </xf>
    <xf numFmtId="248" fontId="94" fillId="7" borderId="11" xfId="15" applyFont="true" applyBorder="true" applyAlignment="true" applyProtection="true">
      <alignment horizontal="general" vertical="bottom" textRotation="0" wrapText="false" indent="0" shrinkToFit="false"/>
      <protection locked="true" hidden="false"/>
    </xf>
    <xf numFmtId="243" fontId="67" fillId="0" borderId="11" xfId="19" applyFont="true" applyBorder="true" applyAlignment="true" applyProtection="true">
      <alignment horizontal="right" vertical="bottom" textRotation="0" wrapText="false" indent="0" shrinkToFit="false"/>
      <protection locked="true" hidden="false"/>
    </xf>
    <xf numFmtId="248" fontId="72" fillId="0" borderId="7" xfId="0" applyFont="true" applyBorder="true" applyAlignment="false" applyProtection="false">
      <alignment horizontal="general" vertical="bottom" textRotation="0" wrapText="false" indent="0" shrinkToFit="false"/>
      <protection locked="true" hidden="false"/>
    </xf>
    <xf numFmtId="248" fontId="72" fillId="0" borderId="0" xfId="0" applyFont="true" applyBorder="true" applyAlignment="true" applyProtection="false">
      <alignment horizontal="center" vertical="bottom" textRotation="0" wrapText="false" indent="0" shrinkToFit="false"/>
      <protection locked="true" hidden="false"/>
    </xf>
    <xf numFmtId="248" fontId="72" fillId="8" borderId="11" xfId="15" applyFont="true" applyBorder="true" applyAlignment="true" applyProtection="true">
      <alignment horizontal="general" vertical="bottom" textRotation="0" wrapText="false" indent="0" shrinkToFit="false"/>
      <protection locked="true" hidden="false"/>
    </xf>
    <xf numFmtId="243" fontId="67" fillId="0" borderId="7" xfId="19" applyFont="true" applyBorder="true" applyAlignment="true" applyProtection="true">
      <alignment horizontal="right" vertical="bottom" textRotation="0" wrapText="false" indent="0" shrinkToFit="false"/>
      <protection locked="true" hidden="false"/>
    </xf>
    <xf numFmtId="247" fontId="87" fillId="8" borderId="0" xfId="17" applyFont="true" applyBorder="true" applyAlignment="true" applyProtection="true">
      <alignment horizontal="general" vertical="bottom" textRotation="0" wrapText="false" indent="0" shrinkToFit="false"/>
      <protection locked="true" hidden="false"/>
    </xf>
    <xf numFmtId="248" fontId="95" fillId="8" borderId="11" xfId="15" applyFont="true" applyBorder="true" applyAlignment="true" applyProtection="true">
      <alignment horizontal="general" vertical="bottom" textRotation="0" wrapText="false" indent="0" shrinkToFit="false"/>
      <protection locked="true" hidden="false"/>
    </xf>
    <xf numFmtId="243" fontId="74" fillId="0" borderId="0" xfId="19" applyFont="true" applyBorder="true" applyAlignment="true" applyProtection="true">
      <alignment horizontal="general" vertical="bottom" textRotation="0" wrapText="false" indent="0" shrinkToFit="false"/>
      <protection locked="true" hidden="false"/>
    </xf>
    <xf numFmtId="247" fontId="72" fillId="0" borderId="0" xfId="17" applyFont="true" applyBorder="true" applyAlignment="true" applyProtection="true">
      <alignment horizontal="general" vertical="bottom" textRotation="0" wrapText="false" indent="0" shrinkToFit="false"/>
      <protection locked="true" hidden="false"/>
    </xf>
    <xf numFmtId="248" fontId="74" fillId="8" borderId="11" xfId="15" applyFont="true" applyBorder="true" applyAlignment="true" applyProtection="true">
      <alignment horizontal="general" vertical="bottom" textRotation="0" wrapText="false" indent="0" shrinkToFit="false"/>
      <protection locked="true" hidden="false"/>
    </xf>
    <xf numFmtId="238" fontId="72" fillId="4" borderId="9" xfId="0" applyFont="true" applyBorder="true" applyAlignment="false" applyProtection="true">
      <alignment horizontal="general" vertical="bottom" textRotation="0" wrapText="false" indent="0" shrinkToFit="false"/>
      <protection locked="true" hidden="false"/>
    </xf>
    <xf numFmtId="247" fontId="74" fillId="0" borderId="0" xfId="17" applyFont="true" applyBorder="true" applyAlignment="true" applyProtection="true">
      <alignment horizontal="general" vertical="bottom" textRotation="0" wrapText="false" indent="0" shrinkToFit="false"/>
      <protection locked="false" hidden="false"/>
    </xf>
    <xf numFmtId="164" fontId="86" fillId="0" borderId="0" xfId="0" applyFont="true" applyBorder="true" applyAlignment="true" applyProtection="true">
      <alignment horizontal="center" vertical="bottom" textRotation="0" wrapText="false" indent="0" shrinkToFit="false"/>
      <protection locked="true" hidden="false"/>
    </xf>
    <xf numFmtId="164" fontId="86" fillId="0" borderId="11" xfId="0" applyFont="true" applyBorder="true" applyAlignment="true" applyProtection="true">
      <alignment horizontal="center" vertical="bottom" textRotation="0" wrapText="false" indent="0" shrinkToFit="false"/>
      <protection locked="true" hidden="false"/>
    </xf>
    <xf numFmtId="247" fontId="88" fillId="0" borderId="11" xfId="0" applyFont="true" applyBorder="true" applyAlignment="true" applyProtection="false">
      <alignment horizontal="right" vertical="bottom" textRotation="0" wrapText="false" indent="0" shrinkToFit="false"/>
      <protection locked="true" hidden="false"/>
    </xf>
    <xf numFmtId="243" fontId="74" fillId="9" borderId="0" xfId="19" applyFont="true" applyBorder="true" applyAlignment="true" applyProtection="true">
      <alignment horizontal="center" vertical="bottom" textRotation="0" wrapText="false" indent="0" shrinkToFit="false"/>
      <protection locked="true" hidden="false"/>
    </xf>
    <xf numFmtId="248" fontId="74" fillId="0" borderId="0" xfId="17" applyFont="true" applyBorder="true" applyAlignment="true" applyProtection="true">
      <alignment horizontal="general" vertical="bottom" textRotation="0" wrapText="false" indent="0" shrinkToFit="false"/>
      <protection locked="true" hidden="false"/>
    </xf>
    <xf numFmtId="164" fontId="89" fillId="0" borderId="10" xfId="0" applyFont="true" applyBorder="true" applyAlignment="true" applyProtection="true">
      <alignment horizontal="left" vertical="bottom" textRotation="0" wrapText="false" indent="0" shrinkToFit="false"/>
      <protection locked="true" hidden="false"/>
    </xf>
    <xf numFmtId="247" fontId="88" fillId="0" borderId="0" xfId="17" applyFont="true" applyBorder="true" applyAlignment="true" applyProtection="true">
      <alignment horizontal="general" vertical="bottom" textRotation="0" wrapText="false" indent="0" shrinkToFit="false"/>
      <protection locked="true" hidden="false"/>
    </xf>
    <xf numFmtId="164" fontId="88" fillId="0" borderId="0" xfId="0" applyFont="true" applyBorder="true" applyAlignment="false" applyProtection="false">
      <alignment horizontal="general" vertical="bottom" textRotation="0" wrapText="false" indent="0" shrinkToFit="false"/>
      <protection locked="true" hidden="false"/>
    </xf>
    <xf numFmtId="164" fontId="74" fillId="0" borderId="0" xfId="0" applyFont="true" applyBorder="true" applyAlignment="false" applyProtection="true">
      <alignment horizontal="general" vertical="bottom" textRotation="0" wrapText="false" indent="0" shrinkToFit="false"/>
      <protection locked="true" hidden="false"/>
    </xf>
    <xf numFmtId="164" fontId="74" fillId="0" borderId="0" xfId="0" applyFont="true" applyBorder="true" applyAlignment="false" applyProtection="true">
      <alignment horizontal="general" vertical="bottom" textRotation="0" wrapText="false" indent="0" shrinkToFit="false"/>
      <protection locked="true" hidden="false"/>
    </xf>
    <xf numFmtId="164" fontId="72" fillId="0" borderId="10" xfId="0" applyFont="true" applyBorder="true" applyAlignment="true" applyProtection="true">
      <alignment horizontal="general" vertical="bottom" textRotation="0" wrapText="false" indent="0" shrinkToFit="false"/>
      <protection locked="true" hidden="false"/>
    </xf>
    <xf numFmtId="243" fontId="72" fillId="0" borderId="11" xfId="0" applyFont="true" applyBorder="true" applyAlignment="false" applyProtection="false">
      <alignment horizontal="general" vertical="bottom" textRotation="0" wrapText="false" indent="0" shrinkToFit="false"/>
      <protection locked="true" hidden="false"/>
    </xf>
    <xf numFmtId="164" fontId="80" fillId="0" borderId="10" xfId="0" applyFont="true" applyBorder="true" applyAlignment="false" applyProtection="false">
      <alignment horizontal="general" vertical="bottom" textRotation="0" wrapText="false" indent="0" shrinkToFit="false"/>
      <protection locked="true" hidden="false"/>
    </xf>
    <xf numFmtId="243" fontId="74" fillId="0" borderId="0" xfId="0" applyFont="true" applyBorder="true" applyAlignment="false" applyProtection="false">
      <alignment horizontal="general" vertical="bottom" textRotation="0" wrapText="false" indent="0" shrinkToFit="false"/>
      <protection locked="true" hidden="false"/>
    </xf>
    <xf numFmtId="229" fontId="74" fillId="0" borderId="0" xfId="0" applyFont="true" applyBorder="true" applyAlignment="false" applyProtection="true">
      <alignment horizontal="general" vertical="bottom" textRotation="0" wrapText="false" indent="0" shrinkToFit="false"/>
      <protection locked="true" hidden="false"/>
    </xf>
    <xf numFmtId="229" fontId="74" fillId="0" borderId="0" xfId="0" applyFont="true" applyBorder="true" applyAlignment="true" applyProtection="true">
      <alignment horizontal="right" vertical="bottom" textRotation="0" wrapText="false" indent="0" shrinkToFit="false"/>
      <protection locked="true" hidden="false"/>
    </xf>
    <xf numFmtId="229" fontId="72" fillId="0" borderId="11" xfId="0" applyFont="true" applyBorder="true" applyAlignment="false" applyProtection="false">
      <alignment horizontal="general" vertical="bottom" textRotation="0" wrapText="false" indent="0" shrinkToFit="false"/>
      <protection locked="true" hidden="false"/>
    </xf>
    <xf numFmtId="164" fontId="80" fillId="0" borderId="6" xfId="0" applyFont="true" applyBorder="true" applyAlignment="false" applyProtection="false">
      <alignment horizontal="general" vertical="bottom" textRotation="0" wrapText="false" indent="0" shrinkToFit="false"/>
      <protection locked="true" hidden="false"/>
    </xf>
    <xf numFmtId="169" fontId="72" fillId="0" borderId="7" xfId="0" applyFont="true" applyBorder="true" applyAlignment="false" applyProtection="false">
      <alignment horizontal="general" vertical="bottom" textRotation="0" wrapText="false" indent="0" shrinkToFit="false"/>
      <protection locked="true" hidden="false"/>
    </xf>
    <xf numFmtId="244" fontId="74" fillId="0" borderId="0" xfId="19" applyFont="true" applyBorder="true" applyAlignment="true" applyProtection="true">
      <alignment horizontal="general" vertical="bottom" textRotation="0" wrapText="false" indent="0" shrinkToFit="false"/>
      <protection locked="true" hidden="false"/>
    </xf>
    <xf numFmtId="248" fontId="87" fillId="8" borderId="11" xfId="15" applyFont="true" applyBorder="true" applyAlignment="true" applyProtection="true">
      <alignment horizontal="general" vertical="bottom" textRotation="0" wrapText="false" indent="0" shrinkToFit="false"/>
      <protection locked="true" hidden="false"/>
    </xf>
    <xf numFmtId="164" fontId="72" fillId="0" borderId="6" xfId="0" applyFont="true" applyBorder="true" applyAlignment="true" applyProtection="true">
      <alignment horizontal="general" vertical="bottom" textRotation="0" wrapText="false" indent="0" shrinkToFit="false"/>
      <protection locked="true" hidden="false"/>
    </xf>
    <xf numFmtId="229" fontId="80" fillId="0" borderId="3" xfId="0" applyFont="true" applyBorder="true" applyAlignment="false" applyProtection="true">
      <alignment horizontal="general" vertical="bottom" textRotation="0" wrapText="false" indent="0" shrinkToFit="false"/>
      <protection locked="true" hidden="false"/>
    </xf>
    <xf numFmtId="229" fontId="80" fillId="0" borderId="3" xfId="0" applyFont="true" applyBorder="true" applyAlignment="true" applyProtection="true">
      <alignment horizontal="right" vertical="bottom" textRotation="0" wrapText="false" indent="0" shrinkToFit="false"/>
      <protection locked="true" hidden="false"/>
    </xf>
    <xf numFmtId="229" fontId="72" fillId="0" borderId="7" xfId="0" applyFont="true" applyBorder="true" applyAlignment="false" applyProtection="false">
      <alignment horizontal="general" vertical="bottom" textRotation="0" wrapText="false" indent="0" shrinkToFit="false"/>
      <protection locked="true" hidden="false"/>
    </xf>
    <xf numFmtId="164" fontId="90" fillId="4" borderId="4" xfId="0" applyFont="true" applyBorder="true" applyAlignment="false" applyProtection="false">
      <alignment horizontal="general" vertical="bottom" textRotation="0" wrapText="false" indent="0" shrinkToFit="false"/>
      <protection locked="true" hidden="false"/>
    </xf>
    <xf numFmtId="164" fontId="28" fillId="4" borderId="9" xfId="0" applyFont="true" applyBorder="true" applyAlignment="false" applyProtection="false">
      <alignment horizontal="general" vertical="bottom" textRotation="0" wrapText="false" indent="0" shrinkToFit="false"/>
      <protection locked="true" hidden="false"/>
    </xf>
    <xf numFmtId="243" fontId="74" fillId="4" borderId="9" xfId="19" applyFont="true" applyBorder="true" applyAlignment="true" applyProtection="true">
      <alignment horizontal="general" vertical="bottom" textRotation="0" wrapText="false" indent="0" shrinkToFit="false"/>
      <protection locked="true" hidden="false"/>
    </xf>
    <xf numFmtId="246" fontId="72" fillId="0" borderId="0" xfId="0" applyFont="true" applyBorder="false" applyAlignment="false" applyProtection="true">
      <alignment horizontal="general" vertical="bottom" textRotation="0" wrapText="false" indent="0" shrinkToFit="false"/>
      <protection locked="true" hidden="false"/>
    </xf>
    <xf numFmtId="164" fontId="83" fillId="0" borderId="0" xfId="0" applyFont="true" applyBorder="true" applyAlignment="true" applyProtection="false">
      <alignment horizontal="center" vertical="bottom" textRotation="0" wrapText="false" indent="0" shrinkToFit="false"/>
      <protection locked="true" hidden="false"/>
    </xf>
    <xf numFmtId="164" fontId="28" fillId="0" borderId="0" xfId="0" applyFont="true" applyBorder="true" applyAlignment="false" applyProtection="false">
      <alignment horizontal="general" vertical="bottom" textRotation="0" wrapText="false" indent="0" shrinkToFit="false"/>
      <protection locked="true" hidden="false"/>
    </xf>
    <xf numFmtId="242" fontId="83" fillId="0" borderId="0" xfId="19" applyFont="true" applyBorder="true" applyAlignment="true" applyProtection="true">
      <alignment horizontal="center" vertical="bottom" textRotation="0" wrapText="false" indent="0" shrinkToFit="false"/>
      <protection locked="true" hidden="false"/>
    </xf>
    <xf numFmtId="243" fontId="72" fillId="0" borderId="0" xfId="19" applyFont="true" applyBorder="true" applyAlignment="true" applyProtection="true">
      <alignment horizontal="general" vertical="bottom" textRotation="0" wrapText="false" indent="0" shrinkToFit="false"/>
      <protection locked="true" hidden="false"/>
    </xf>
    <xf numFmtId="164" fontId="72" fillId="8" borderId="11" xfId="0" applyFont="true" applyBorder="true" applyAlignment="false" applyProtection="false">
      <alignment horizontal="general" vertical="bottom" textRotation="0" wrapText="false" indent="0" shrinkToFit="false"/>
      <protection locked="true" hidden="false"/>
    </xf>
    <xf numFmtId="229" fontId="74" fillId="4" borderId="5" xfId="0" applyFont="true" applyBorder="true" applyAlignment="false" applyProtection="true">
      <alignment horizontal="general" vertical="bottom" textRotation="0" wrapText="false" indent="0" shrinkToFit="false"/>
      <protection locked="true" hidden="false"/>
    </xf>
    <xf numFmtId="247" fontId="88" fillId="0" borderId="0" xfId="0" applyFont="true" applyBorder="true" applyAlignment="false" applyProtection="false">
      <alignment horizontal="general" vertical="bottom" textRotation="0" wrapText="false" indent="0" shrinkToFit="false"/>
      <protection locked="true" hidden="false"/>
    </xf>
    <xf numFmtId="193" fontId="88" fillId="0" borderId="0" xfId="0" applyFont="true" applyBorder="true" applyAlignment="false" applyProtection="false">
      <alignment horizontal="general" vertical="bottom" textRotation="0" wrapText="false" indent="0" shrinkToFit="false"/>
      <protection locked="true" hidden="false"/>
    </xf>
    <xf numFmtId="179" fontId="72" fillId="0" borderId="11" xfId="0" applyFont="true" applyBorder="true" applyAlignment="false" applyProtection="false">
      <alignment horizontal="general" vertical="bottom" textRotation="0" wrapText="false" indent="0" shrinkToFit="false"/>
      <protection locked="true" hidden="false"/>
    </xf>
    <xf numFmtId="229" fontId="74" fillId="0" borderId="11" xfId="0" applyFont="true" applyBorder="true" applyAlignment="true" applyProtection="true">
      <alignment horizontal="right" vertical="bottom" textRotation="0" wrapText="false" indent="0" shrinkToFit="false"/>
      <protection locked="true" hidden="false"/>
    </xf>
    <xf numFmtId="193" fontId="72" fillId="0" borderId="0" xfId="0" applyFont="true" applyBorder="true" applyAlignment="false" applyProtection="false">
      <alignment horizontal="general" vertical="bottom" textRotation="0" wrapText="false" indent="0" shrinkToFit="false"/>
      <protection locked="true" hidden="false"/>
    </xf>
    <xf numFmtId="248" fontId="72" fillId="0" borderId="11" xfId="15" applyFont="true" applyBorder="true" applyAlignment="true" applyProtection="true">
      <alignment horizontal="right" vertical="bottom" textRotation="0" wrapText="false" indent="0" shrinkToFit="false"/>
      <protection locked="true" hidden="false"/>
    </xf>
    <xf numFmtId="247" fontId="72" fillId="0" borderId="0" xfId="0" applyFont="true" applyBorder="true" applyAlignment="false" applyProtection="false">
      <alignment horizontal="general" vertical="bottom" textRotation="0" wrapText="false" indent="0" shrinkToFit="false"/>
      <protection locked="true" hidden="false"/>
    </xf>
    <xf numFmtId="247" fontId="72" fillId="0" borderId="11" xfId="0" applyFont="true" applyBorder="true" applyAlignment="false" applyProtection="false">
      <alignment horizontal="general" vertical="bottom" textRotation="0" wrapText="false" indent="0" shrinkToFit="false"/>
      <protection locked="true" hidden="false"/>
    </xf>
    <xf numFmtId="164" fontId="72" fillId="0" borderId="6" xfId="0" applyFont="true" applyBorder="true" applyAlignment="true" applyProtection="true">
      <alignment horizontal="left" vertical="bottom" textRotation="0" wrapText="false" indent="0" shrinkToFit="false"/>
      <protection locked="true" hidden="false"/>
    </xf>
    <xf numFmtId="246" fontId="74" fillId="0" borderId="3" xfId="0" applyFont="true" applyBorder="true" applyAlignment="false" applyProtection="false">
      <alignment horizontal="general" vertical="bottom" textRotation="0" wrapText="false" indent="0" shrinkToFit="false"/>
      <protection locked="true" hidden="false"/>
    </xf>
    <xf numFmtId="250" fontId="74" fillId="0" borderId="7" xfId="0" applyFont="true" applyBorder="true" applyAlignment="false" applyProtection="false">
      <alignment horizontal="general" vertical="bottom" textRotation="0" wrapText="false" indent="0" shrinkToFit="false"/>
      <protection locked="true" hidden="false"/>
    </xf>
    <xf numFmtId="247" fontId="85" fillId="0" borderId="0" xfId="0" applyFont="true" applyBorder="true" applyAlignment="false" applyProtection="false">
      <alignment horizontal="general" vertical="bottom" textRotation="0" wrapText="false" indent="0" shrinkToFit="false"/>
      <protection locked="true" hidden="false"/>
    </xf>
    <xf numFmtId="247" fontId="85" fillId="0" borderId="11" xfId="0" applyFont="true" applyBorder="true" applyAlignment="false" applyProtection="false">
      <alignment horizontal="general" vertical="bottom" textRotation="0" wrapText="false" indent="0" shrinkToFit="false"/>
      <protection locked="true" hidden="false"/>
    </xf>
    <xf numFmtId="250" fontId="72" fillId="0" borderId="0" xfId="0" applyFont="true" applyBorder="true" applyAlignment="true" applyProtection="false">
      <alignment horizontal="center" vertical="bottom" textRotation="0" wrapText="false" indent="0" shrinkToFit="false"/>
      <protection locked="true" hidden="false"/>
    </xf>
    <xf numFmtId="247" fontId="88" fillId="0" borderId="11" xfId="0" applyFont="true" applyBorder="true" applyAlignment="false" applyProtection="false">
      <alignment horizontal="general" vertical="bottom" textRotation="0" wrapText="false" indent="0" shrinkToFit="false"/>
      <protection locked="true" hidden="false"/>
    </xf>
    <xf numFmtId="248" fontId="85" fillId="0" borderId="11" xfId="15" applyFont="true" applyBorder="true" applyAlignment="true" applyProtection="true">
      <alignment horizontal="general" vertical="bottom" textRotation="0" wrapText="false" indent="0" shrinkToFit="false"/>
      <protection locked="true" hidden="false"/>
    </xf>
    <xf numFmtId="164" fontId="88" fillId="0" borderId="10" xfId="0" applyFont="true" applyBorder="true" applyAlignment="false" applyProtection="false">
      <alignment horizontal="general" vertical="bottom" textRotation="0" wrapText="false" indent="0" shrinkToFit="false"/>
      <protection locked="true" hidden="false"/>
    </xf>
    <xf numFmtId="164" fontId="93" fillId="0" borderId="0" xfId="0" applyFont="true" applyBorder="true" applyAlignment="true" applyProtection="false">
      <alignment horizontal="center" vertical="bottom" textRotation="0" wrapText="false" indent="0" shrinkToFit="false"/>
      <protection locked="true" hidden="false"/>
    </xf>
    <xf numFmtId="250" fontId="74" fillId="0" borderId="11" xfId="0" applyFont="true" applyBorder="true" applyAlignment="false" applyProtection="false">
      <alignment horizontal="general" vertical="bottom" textRotation="0" wrapText="false" indent="0" shrinkToFit="false"/>
      <protection locked="true" hidden="false"/>
    </xf>
    <xf numFmtId="248" fontId="95" fillId="0" borderId="11" xfId="15" applyFont="true" applyBorder="true" applyAlignment="true" applyProtection="true">
      <alignment horizontal="general" vertical="bottom" textRotation="0" wrapText="false" indent="0" shrinkToFit="false"/>
      <protection locked="true" hidden="false"/>
    </xf>
    <xf numFmtId="248" fontId="74" fillId="0" borderId="7" xfId="0" applyFont="true" applyBorder="true" applyAlignment="false" applyProtection="false">
      <alignment horizontal="general" vertical="bottom" textRotation="0" wrapText="false" indent="0" shrinkToFit="false"/>
      <protection locked="true" hidden="false"/>
    </xf>
    <xf numFmtId="193" fontId="72" fillId="0" borderId="11" xfId="0" applyFont="true" applyBorder="true" applyAlignment="false" applyProtection="false">
      <alignment horizontal="general" vertical="bottom" textRotation="0" wrapText="false" indent="0" shrinkToFit="false"/>
      <protection locked="true" hidden="false"/>
    </xf>
    <xf numFmtId="243" fontId="74" fillId="0" borderId="0" xfId="19" applyFont="true" applyBorder="true" applyAlignment="true" applyProtection="true">
      <alignment horizontal="center" vertical="bottom" textRotation="0" wrapText="false" indent="0" shrinkToFit="false"/>
      <protection locked="false" hidden="false"/>
    </xf>
    <xf numFmtId="248" fontId="94" fillId="0" borderId="11" xfId="15" applyFont="true" applyBorder="true" applyAlignment="true" applyProtection="true">
      <alignment horizontal="general" vertical="bottom" textRotation="0" wrapText="false" indent="0" shrinkToFit="false"/>
      <protection locked="true" hidden="false"/>
    </xf>
    <xf numFmtId="248" fontId="74" fillId="0" borderId="0" xfId="0" applyFont="true" applyBorder="true" applyAlignment="false" applyProtection="false">
      <alignment horizontal="general" vertical="bottom" textRotation="0" wrapText="false" indent="0" shrinkToFit="false"/>
      <protection locked="true" hidden="false"/>
    </xf>
    <xf numFmtId="193" fontId="85" fillId="0" borderId="0" xfId="0" applyFont="true" applyBorder="true" applyAlignment="false" applyProtection="false">
      <alignment horizontal="general" vertical="bottom" textRotation="0" wrapText="false" indent="0" shrinkToFit="false"/>
      <protection locked="true" hidden="false"/>
    </xf>
    <xf numFmtId="179" fontId="85" fillId="0" borderId="11" xfId="0" applyFont="true" applyBorder="true" applyAlignment="false" applyProtection="false">
      <alignment horizontal="general" vertical="bottom" textRotation="0" wrapText="false" indent="0" shrinkToFit="false"/>
      <protection locked="true" hidden="false"/>
    </xf>
    <xf numFmtId="250" fontId="74" fillId="0" borderId="0" xfId="19" applyFont="true" applyBorder="true" applyAlignment="true" applyProtection="true">
      <alignment horizontal="center" vertical="bottom" textRotation="0" wrapText="false" indent="0" shrinkToFit="false"/>
      <protection locked="false" hidden="false"/>
    </xf>
    <xf numFmtId="244" fontId="81" fillId="0" borderId="11" xfId="19" applyFont="true" applyBorder="true" applyAlignment="true" applyProtection="true">
      <alignment horizontal="center" vertical="bottom" textRotation="0" wrapText="false" indent="0" shrinkToFit="false"/>
      <protection locked="true" hidden="false"/>
    </xf>
    <xf numFmtId="164" fontId="89" fillId="0" borderId="12" xfId="0" applyFont="true" applyBorder="true" applyAlignment="false" applyProtection="false">
      <alignment horizontal="general" vertical="bottom" textRotation="0" wrapText="false" indent="0" shrinkToFit="false"/>
      <protection locked="true" hidden="false"/>
    </xf>
    <xf numFmtId="248" fontId="88" fillId="0" borderId="14" xfId="0" applyFont="true" applyBorder="true" applyAlignment="false" applyProtection="false">
      <alignment horizontal="general" vertical="bottom" textRotation="0" wrapText="false" indent="0" shrinkToFit="false"/>
      <protection locked="true" hidden="false"/>
    </xf>
    <xf numFmtId="164" fontId="72" fillId="0" borderId="14" xfId="0" applyFont="true" applyBorder="true" applyAlignment="true" applyProtection="false">
      <alignment horizontal="center" vertical="bottom" textRotation="0" wrapText="false" indent="0" shrinkToFit="false"/>
      <protection locked="true" hidden="false"/>
    </xf>
    <xf numFmtId="193" fontId="88" fillId="0" borderId="14" xfId="0" applyFont="true" applyBorder="true" applyAlignment="false" applyProtection="false">
      <alignment horizontal="general" vertical="bottom" textRotation="0" wrapText="false" indent="0" shrinkToFit="false"/>
      <protection locked="true" hidden="false"/>
    </xf>
    <xf numFmtId="243" fontId="72" fillId="0" borderId="14" xfId="19" applyFont="true" applyBorder="true" applyAlignment="true" applyProtection="true">
      <alignment horizontal="general" vertical="bottom" textRotation="0" wrapText="false" indent="0" shrinkToFit="false"/>
      <protection locked="true" hidden="false"/>
    </xf>
    <xf numFmtId="179" fontId="88" fillId="0" borderId="13" xfId="0" applyFont="true" applyBorder="true" applyAlignment="false" applyProtection="false">
      <alignment horizontal="general" vertical="bottom" textRotation="0" wrapText="false" indent="0" shrinkToFit="false"/>
      <protection locked="true" hidden="false"/>
    </xf>
    <xf numFmtId="250" fontId="74" fillId="7" borderId="0" xfId="19" applyFont="true" applyBorder="true" applyAlignment="true" applyProtection="true">
      <alignment horizontal="center" vertical="bottom" textRotation="0" wrapText="false" indent="0" shrinkToFit="false"/>
      <protection locked="true" hidden="false"/>
    </xf>
    <xf numFmtId="248" fontId="81" fillId="0" borderId="11" xfId="15" applyFont="true" applyBorder="true" applyAlignment="true" applyProtection="true">
      <alignment horizontal="general" vertical="bottom" textRotation="0" wrapText="false" indent="0" shrinkToFit="false"/>
      <protection locked="true" hidden="false"/>
    </xf>
    <xf numFmtId="164" fontId="88" fillId="0" borderId="0" xfId="0" applyFont="true" applyBorder="true" applyAlignment="true" applyProtection="true">
      <alignment horizontal="center" vertical="bottom" textRotation="0" wrapText="false" indent="0" shrinkToFit="false"/>
      <protection locked="true" hidden="false"/>
    </xf>
    <xf numFmtId="164" fontId="88" fillId="0" borderId="11" xfId="0" applyFont="true" applyBorder="true" applyAlignment="true" applyProtection="true">
      <alignment horizontal="center" vertical="bottom" textRotation="0" wrapText="false" indent="0" shrinkToFit="false"/>
      <protection locked="true" hidden="false"/>
    </xf>
    <xf numFmtId="164" fontId="86" fillId="0" borderId="10" xfId="0" applyFont="true" applyBorder="true" applyAlignment="true" applyProtection="true">
      <alignment horizontal="center" vertical="bottom" textRotation="0" wrapText="false" indent="0" shrinkToFit="false"/>
      <protection locked="true" hidden="false"/>
    </xf>
    <xf numFmtId="164" fontId="85" fillId="0" borderId="0" xfId="0" applyFont="true" applyBorder="true" applyAlignment="false" applyProtection="false">
      <alignment horizontal="general" vertical="bottom" textRotation="0" wrapText="false" indent="0" shrinkToFit="false"/>
      <protection locked="true" hidden="false"/>
    </xf>
    <xf numFmtId="250" fontId="74" fillId="0" borderId="0" xfId="19" applyFont="true" applyBorder="true" applyAlignment="true" applyProtection="true">
      <alignment horizontal="center" vertical="bottom" textRotation="0" wrapText="false" indent="0" shrinkToFit="false"/>
      <protection locked="true" hidden="false"/>
    </xf>
    <xf numFmtId="164" fontId="72" fillId="0" borderId="10" xfId="0" applyFont="true" applyBorder="true" applyAlignment="true" applyProtection="true">
      <alignment horizontal="center" vertical="bottom" textRotation="0" wrapText="false" indent="0" shrinkToFit="false"/>
      <protection locked="true" hidden="false"/>
    </xf>
    <xf numFmtId="243" fontId="72" fillId="0" borderId="0" xfId="0" applyFont="true" applyBorder="true" applyAlignment="true" applyProtection="true">
      <alignment horizontal="center" vertical="bottom" textRotation="0" wrapText="false" indent="0" shrinkToFit="false"/>
      <protection locked="true" hidden="false"/>
    </xf>
    <xf numFmtId="243" fontId="72" fillId="0" borderId="11" xfId="0" applyFont="true" applyBorder="true" applyAlignment="true" applyProtection="true">
      <alignment horizontal="center" vertical="bottom" textRotation="0" wrapText="false" indent="0" shrinkToFit="false"/>
      <protection locked="true" hidden="false"/>
    </xf>
    <xf numFmtId="164" fontId="74" fillId="0" borderId="3" xfId="0" applyFont="true" applyBorder="true" applyAlignment="false" applyProtection="false">
      <alignment horizontal="general" vertical="bottom" textRotation="0" wrapText="false" indent="0" shrinkToFit="false"/>
      <protection locked="true" hidden="false"/>
    </xf>
    <xf numFmtId="164" fontId="72" fillId="0" borderId="7" xfId="0" applyFont="true" applyBorder="true" applyAlignment="false" applyProtection="false">
      <alignment horizontal="general" vertical="bottom" textRotation="0" wrapText="false" indent="0" shrinkToFit="false"/>
      <protection locked="true" hidden="false"/>
    </xf>
    <xf numFmtId="250" fontId="74" fillId="0" borderId="0" xfId="19" applyFont="true" applyBorder="true" applyAlignment="true" applyProtection="true">
      <alignment horizontal="general" vertical="bottom" textRotation="0" wrapText="false" indent="0" shrinkToFit="false"/>
      <protection locked="true" hidden="false"/>
    </xf>
    <xf numFmtId="164" fontId="88" fillId="0" borderId="6" xfId="0" applyFont="true" applyBorder="true" applyAlignment="true" applyProtection="true">
      <alignment horizontal="left" vertical="bottom" textRotation="0" wrapText="false" indent="0" shrinkToFit="false"/>
      <protection locked="true" hidden="false"/>
    </xf>
    <xf numFmtId="164" fontId="89" fillId="0" borderId="3" xfId="0" applyFont="true" applyBorder="true" applyAlignment="true" applyProtection="false">
      <alignment horizontal="center" vertical="bottom" textRotation="0" wrapText="false" indent="0" shrinkToFit="false"/>
      <protection locked="true" hidden="false"/>
    </xf>
    <xf numFmtId="247" fontId="89" fillId="0" borderId="7" xfId="17" applyFont="true" applyBorder="true" applyAlignment="true" applyProtection="true">
      <alignment horizontal="general" vertical="bottom" textRotation="0" wrapText="false" indent="0" shrinkToFit="false"/>
      <protection locked="true" hidden="false"/>
    </xf>
    <xf numFmtId="243" fontId="74" fillId="0" borderId="0" xfId="0" applyFont="true" applyBorder="true" applyAlignment="false" applyProtection="true">
      <alignment horizontal="general" vertical="bottom" textRotation="0" wrapText="false" indent="0" shrinkToFit="false"/>
      <protection locked="false" hidden="false"/>
    </xf>
    <xf numFmtId="243" fontId="74" fillId="0" borderId="3" xfId="0" applyFont="true" applyBorder="true" applyAlignment="true" applyProtection="true">
      <alignment horizontal="right" vertical="bottom" textRotation="0" wrapText="false" indent="0" shrinkToFit="false"/>
      <protection locked="false" hidden="false"/>
    </xf>
    <xf numFmtId="243" fontId="80" fillId="0" borderId="0" xfId="1138" applyFont="true" applyBorder="true" applyAlignment="false" applyProtection="true">
      <alignment horizontal="general" vertical="bottom" textRotation="0" wrapText="false" indent="0" shrinkToFit="false"/>
      <protection locked="false" hidden="false"/>
    </xf>
    <xf numFmtId="256" fontId="74" fillId="0" borderId="11" xfId="0" applyFont="true" applyBorder="true" applyAlignment="true" applyProtection="false">
      <alignment horizontal="right" vertical="bottom" textRotation="0" wrapText="false" indent="0" shrinkToFit="false"/>
      <protection locked="true" hidden="false"/>
    </xf>
    <xf numFmtId="246" fontId="72" fillId="0" borderId="0" xfId="19" applyFont="true" applyBorder="true" applyAlignment="true" applyProtection="true">
      <alignment horizontal="center" vertical="bottom" textRotation="0" wrapText="false" indent="0" shrinkToFit="false"/>
      <protection locked="true" hidden="false"/>
    </xf>
    <xf numFmtId="246" fontId="72" fillId="0" borderId="11" xfId="19" applyFont="true" applyBorder="true" applyAlignment="true" applyProtection="true">
      <alignment horizontal="center" vertical="bottom" textRotation="0" wrapText="false" indent="0" shrinkToFit="false"/>
      <protection locked="true" hidden="false"/>
    </xf>
    <xf numFmtId="243" fontId="74" fillId="7" borderId="0" xfId="0" applyFont="true" applyBorder="true" applyAlignment="false" applyProtection="true">
      <alignment horizontal="general" vertical="bottom" textRotation="0" wrapText="false" indent="0" shrinkToFit="false"/>
      <protection locked="false" hidden="false"/>
    </xf>
    <xf numFmtId="164" fontId="72" fillId="0" borderId="6" xfId="0" applyFont="true" applyBorder="true" applyAlignment="true" applyProtection="true">
      <alignment horizontal="center" vertical="bottom" textRotation="0" wrapText="false" indent="0" shrinkToFit="false"/>
      <protection locked="true" hidden="false"/>
    </xf>
    <xf numFmtId="164" fontId="72" fillId="0" borderId="3" xfId="0" applyFont="true" applyBorder="true" applyAlignment="true" applyProtection="false">
      <alignment horizontal="center" vertical="bottom" textRotation="0" wrapText="false" indent="0" shrinkToFit="false"/>
      <protection locked="true" hidden="false"/>
    </xf>
    <xf numFmtId="246" fontId="72" fillId="0" borderId="3" xfId="19" applyFont="true" applyBorder="true" applyAlignment="true" applyProtection="true">
      <alignment horizontal="center" vertical="bottom" textRotation="0" wrapText="false" indent="0" shrinkToFit="false"/>
      <protection locked="true" hidden="false"/>
    </xf>
    <xf numFmtId="246" fontId="72" fillId="0" borderId="7" xfId="19" applyFont="true" applyBorder="true" applyAlignment="true" applyProtection="true">
      <alignment horizontal="center" vertical="bottom" textRotation="0" wrapText="false" indent="0" shrinkToFit="false"/>
      <protection locked="true" hidden="false"/>
    </xf>
    <xf numFmtId="164" fontId="72" fillId="0" borderId="0" xfId="0" applyFont="true" applyBorder="false" applyAlignment="true" applyProtection="true">
      <alignment horizontal="center" vertical="bottom" textRotation="0" wrapText="false" indent="0" shrinkToFit="false"/>
      <protection locked="true" hidden="false"/>
    </xf>
    <xf numFmtId="164" fontId="72" fillId="0" borderId="0" xfId="0" applyFont="true" applyBorder="false" applyAlignment="true" applyProtection="false">
      <alignment horizontal="center" vertical="bottom" textRotation="0" wrapText="false" indent="0" shrinkToFit="false"/>
      <protection locked="true" hidden="false"/>
    </xf>
    <xf numFmtId="244" fontId="74" fillId="0" borderId="3" xfId="0" applyFont="true" applyBorder="true" applyAlignment="true" applyProtection="true">
      <alignment horizontal="right" vertical="bottom" textRotation="0" wrapText="false" indent="0" shrinkToFit="false"/>
      <protection locked="false" hidden="false"/>
    </xf>
    <xf numFmtId="248" fontId="74" fillId="0" borderId="3" xfId="0" applyFont="true" applyBorder="true" applyAlignment="true" applyProtection="true">
      <alignment horizontal="right" vertical="bottom" textRotation="0" wrapText="false" indent="0" shrinkToFit="false"/>
      <protection locked="false" hidden="false"/>
    </xf>
    <xf numFmtId="249" fontId="74" fillId="0" borderId="7" xfId="0" applyFont="true" applyBorder="true" applyAlignment="false" applyProtection="true">
      <alignment horizontal="general" vertical="bottom" textRotation="0" wrapText="false" indent="0" shrinkToFit="false"/>
      <protection locked="false" hidden="false"/>
    </xf>
    <xf numFmtId="256" fontId="74" fillId="0" borderId="11" xfId="0" applyFont="true" applyBorder="true" applyAlignment="false" applyProtection="false">
      <alignment horizontal="general" vertical="bottom" textRotation="0" wrapText="false" indent="0" shrinkToFit="false"/>
      <protection locked="true" hidden="false"/>
    </xf>
    <xf numFmtId="242" fontId="67" fillId="0" borderId="11" xfId="15" applyFont="true" applyBorder="true" applyAlignment="true" applyProtection="true">
      <alignment horizontal="right" vertical="bottom" textRotation="0" wrapText="false" indent="0" shrinkToFit="false"/>
      <protection locked="true" hidden="false"/>
    </xf>
    <xf numFmtId="164" fontId="72" fillId="0" borderId="11" xfId="0" applyFont="true" applyBorder="true" applyAlignment="true" applyProtection="false">
      <alignment horizontal="right" vertical="bottom" textRotation="0" wrapText="false" indent="0" shrinkToFit="false"/>
      <protection locked="true" hidden="false"/>
    </xf>
    <xf numFmtId="164" fontId="74" fillId="0" borderId="7" xfId="0" applyFont="true" applyBorder="true" applyAlignment="true" applyProtection="false">
      <alignment horizontal="right" vertical="bottom" textRotation="0" wrapText="false" indent="0" shrinkToFit="false"/>
      <protection locked="true" hidden="false"/>
    </xf>
    <xf numFmtId="235" fontId="72" fillId="0" borderId="0" xfId="0" applyFont="true" applyBorder="false" applyAlignment="false" applyProtection="false">
      <alignment horizontal="general" vertical="bottom" textRotation="0" wrapText="false" indent="0" shrinkToFit="false"/>
      <protection locked="true" hidden="false"/>
    </xf>
    <xf numFmtId="164" fontId="72" fillId="10" borderId="0" xfId="0" applyFont="true" applyBorder="false" applyAlignment="false" applyProtection="false">
      <alignment horizontal="general" vertical="bottom" textRotation="0" wrapText="false" indent="0" shrinkToFit="false"/>
      <protection locked="true" hidden="false"/>
    </xf>
    <xf numFmtId="254" fontId="67" fillId="0" borderId="0" xfId="404" applyFont="true" applyBorder="true" applyAlignment="true" applyProtection="true">
      <alignment horizontal="right" vertical="bottom" textRotation="0" wrapText="false" indent="0" shrinkToFit="false"/>
      <protection locked="true" hidden="false"/>
    </xf>
    <xf numFmtId="256" fontId="72" fillId="11" borderId="0" xfId="0" applyFont="true" applyBorder="false" applyAlignment="true" applyProtection="false">
      <alignment horizontal="right" vertical="bottom" textRotation="0" wrapText="false" indent="0" shrinkToFit="false"/>
      <protection locked="true" hidden="false"/>
    </xf>
    <xf numFmtId="164" fontId="72" fillId="12" borderId="0" xfId="0" applyFont="true" applyBorder="false" applyAlignment="false" applyProtection="false">
      <alignment horizontal="general" vertical="bottom" textRotation="0" wrapText="false" indent="0" shrinkToFit="false"/>
      <protection locked="true" hidden="false"/>
    </xf>
    <xf numFmtId="164" fontId="72" fillId="9" borderId="0" xfId="0" applyFont="true" applyBorder="false" applyAlignment="false" applyProtection="false">
      <alignment horizontal="general" vertical="bottom" textRotation="0" wrapText="false" indent="0" shrinkToFit="false"/>
      <protection locked="true" hidden="false"/>
    </xf>
    <xf numFmtId="164" fontId="72" fillId="7" borderId="0" xfId="0" applyFont="true" applyBorder="false" applyAlignment="false" applyProtection="false">
      <alignment horizontal="general" vertical="bottom" textRotation="0" wrapText="false" indent="0" shrinkToFit="false"/>
      <protection locked="true" hidden="false"/>
    </xf>
    <xf numFmtId="164" fontId="96" fillId="0" borderId="15" xfId="0" applyFont="true" applyBorder="true" applyAlignment="false" applyProtection="false">
      <alignment horizontal="general" vertical="bottom" textRotation="0" wrapText="false" indent="0" shrinkToFit="false"/>
      <protection locked="true" hidden="false"/>
    </xf>
    <xf numFmtId="164" fontId="72" fillId="0" borderId="16" xfId="0" applyFont="true" applyBorder="true" applyAlignment="false" applyProtection="false">
      <alignment horizontal="general" vertical="bottom" textRotation="0" wrapText="false" indent="0" shrinkToFit="false"/>
      <protection locked="true" hidden="false"/>
    </xf>
    <xf numFmtId="164" fontId="72" fillId="0" borderId="17" xfId="0" applyFont="true" applyBorder="true" applyAlignment="false" applyProtection="false">
      <alignment horizontal="general" vertical="bottom" textRotation="0" wrapText="false" indent="0" shrinkToFit="false"/>
      <protection locked="true" hidden="false"/>
    </xf>
    <xf numFmtId="164" fontId="74" fillId="0" borderId="0" xfId="0" applyFont="true" applyBorder="false" applyAlignment="false" applyProtection="true">
      <alignment horizontal="general" vertical="bottom" textRotation="0" wrapText="false" indent="0" shrinkToFit="false"/>
      <protection locked="true" hidden="false"/>
    </xf>
    <xf numFmtId="164" fontId="72" fillId="0" borderId="18" xfId="0" applyFont="true" applyBorder="true" applyAlignment="false" applyProtection="false">
      <alignment horizontal="general" vertical="bottom" textRotation="0" wrapText="false" indent="0" shrinkToFit="false"/>
      <protection locked="true" hidden="false"/>
    </xf>
    <xf numFmtId="164" fontId="72" fillId="0" borderId="19" xfId="0" applyFont="true" applyBorder="true" applyAlignment="false" applyProtection="false">
      <alignment horizontal="general" vertical="bottom" textRotation="0" wrapText="false" indent="0" shrinkToFit="false"/>
      <protection locked="true" hidden="false"/>
    </xf>
    <xf numFmtId="164" fontId="74" fillId="0" borderId="0" xfId="0" applyFont="true" applyBorder="false" applyAlignment="false" applyProtection="true">
      <alignment horizontal="general" vertical="bottom" textRotation="0" wrapText="false" indent="0" shrinkToFit="false"/>
      <protection locked="false" hidden="false"/>
    </xf>
    <xf numFmtId="164" fontId="97" fillId="13" borderId="0" xfId="0" applyFont="true" applyBorder="false" applyAlignment="true" applyProtection="false">
      <alignment horizontal="general" vertical="top" textRotation="0" wrapText="true" indent="0" shrinkToFit="false"/>
      <protection locked="true" hidden="false"/>
    </xf>
    <xf numFmtId="247" fontId="72" fillId="0" borderId="20" xfId="0" applyFont="true" applyBorder="true" applyAlignment="false" applyProtection="false">
      <alignment horizontal="general" vertical="bottom" textRotation="0" wrapText="false" indent="0" shrinkToFit="false"/>
      <protection locked="true" hidden="false"/>
    </xf>
    <xf numFmtId="164" fontId="72" fillId="0" borderId="0" xfId="0" applyFont="true" applyBorder="false" applyAlignment="true" applyProtection="false">
      <alignment horizontal="right" vertical="bottom" textRotation="0" wrapText="false" indent="0" shrinkToFit="false"/>
      <protection locked="true" hidden="false"/>
    </xf>
    <xf numFmtId="164" fontId="72" fillId="0" borderId="21" xfId="0" applyFont="true" applyBorder="true" applyAlignment="true" applyProtection="true">
      <alignment horizontal="left" vertical="bottom" textRotation="0" wrapText="false" indent="0" shrinkToFit="false"/>
      <protection locked="true" hidden="false"/>
    </xf>
    <xf numFmtId="248" fontId="72" fillId="0" borderId="20" xfId="0" applyFont="true" applyBorder="true" applyAlignment="false" applyProtection="false">
      <alignment horizontal="general" vertical="bottom" textRotation="0" wrapText="false" indent="0" shrinkToFit="false"/>
      <protection locked="true" hidden="false"/>
    </xf>
    <xf numFmtId="164" fontId="72" fillId="0" borderId="20" xfId="0" applyFont="true" applyBorder="true" applyAlignment="false" applyProtection="false">
      <alignment horizontal="general" vertical="bottom" textRotation="0" wrapText="false" indent="0" shrinkToFit="false"/>
      <protection locked="true" hidden="false"/>
    </xf>
    <xf numFmtId="164" fontId="72" fillId="0" borderId="22" xfId="0" applyFont="true" applyBorder="true" applyAlignment="false" applyProtection="false">
      <alignment horizontal="general" vertical="bottom" textRotation="0" wrapText="false" indent="0" shrinkToFit="false"/>
      <protection locked="true" hidden="false"/>
    </xf>
    <xf numFmtId="247" fontId="72" fillId="0" borderId="0" xfId="0" applyFont="true" applyBorder="false" applyAlignment="false" applyProtection="false">
      <alignment horizontal="general" vertical="bottom" textRotation="0" wrapText="false" indent="0" shrinkToFit="false"/>
      <protection locked="true" hidden="false"/>
    </xf>
    <xf numFmtId="164" fontId="96" fillId="0" borderId="23" xfId="0" applyFont="true" applyBorder="true" applyAlignment="true" applyProtection="true">
      <alignment horizontal="center" vertical="bottom" textRotation="0" wrapText="false" indent="0" shrinkToFit="false"/>
      <protection locked="true" hidden="false"/>
    </xf>
    <xf numFmtId="164" fontId="96" fillId="0" borderId="17" xfId="0" applyFont="true" applyBorder="true" applyAlignment="true" applyProtection="true">
      <alignment horizontal="center" vertical="bottom" textRotation="0" wrapText="false" indent="0" shrinkToFit="false"/>
      <protection locked="true" hidden="false"/>
    </xf>
    <xf numFmtId="247" fontId="96" fillId="0" borderId="23" xfId="0" applyFont="true" applyBorder="true" applyAlignment="true" applyProtection="false">
      <alignment horizontal="center" vertical="bottom" textRotation="0" wrapText="false" indent="0" shrinkToFit="false"/>
      <protection locked="true" hidden="false"/>
    </xf>
    <xf numFmtId="247" fontId="96" fillId="0" borderId="17" xfId="0" applyFont="true" applyBorder="true" applyAlignment="true" applyProtection="false">
      <alignment horizontal="center" vertical="bottom" textRotation="0" wrapText="false" indent="0" shrinkToFit="false"/>
      <protection locked="true" hidden="false"/>
    </xf>
    <xf numFmtId="248" fontId="96" fillId="0" borderId="16" xfId="15" applyFont="true" applyBorder="true" applyAlignment="true" applyProtection="true">
      <alignment horizontal="center" vertical="bottom" textRotation="0" wrapText="false" indent="0" shrinkToFit="false"/>
      <protection locked="true" hidden="false"/>
    </xf>
    <xf numFmtId="248" fontId="96" fillId="0" borderId="17" xfId="15" applyFont="true" applyBorder="true" applyAlignment="true" applyProtection="true">
      <alignment horizontal="center" vertical="bottom" textRotation="0" wrapText="false" indent="0" shrinkToFit="false"/>
      <protection locked="true" hidden="false"/>
    </xf>
    <xf numFmtId="193" fontId="28" fillId="0" borderId="15" xfId="17" applyFont="true" applyBorder="true" applyAlignment="true" applyProtection="true">
      <alignment horizontal="center" vertical="bottom" textRotation="0" wrapText="false" indent="0" shrinkToFit="false"/>
      <protection locked="true" hidden="false"/>
    </xf>
    <xf numFmtId="247" fontId="28" fillId="0" borderId="15" xfId="17" applyFont="true" applyBorder="true" applyAlignment="true" applyProtection="true">
      <alignment horizontal="center" vertical="bottom" textRotation="0" wrapText="false" indent="0" shrinkToFit="false"/>
      <protection locked="true" hidden="false"/>
    </xf>
    <xf numFmtId="164" fontId="72" fillId="0" borderId="0" xfId="0" applyFont="true" applyBorder="false" applyAlignment="true" applyProtection="true">
      <alignment horizontal="general" vertical="bottom" textRotation="0" wrapText="false" indent="0" shrinkToFit="false"/>
      <protection locked="true" hidden="false"/>
    </xf>
    <xf numFmtId="164" fontId="85" fillId="0" borderId="0" xfId="0" applyFont="true" applyBorder="false" applyAlignment="false" applyProtection="false">
      <alignment horizontal="general" vertical="bottom" textRotation="0" wrapText="false" indent="0" shrinkToFit="false"/>
      <protection locked="true" hidden="false"/>
    </xf>
    <xf numFmtId="229" fontId="72" fillId="0" borderId="0" xfId="0" applyFont="true" applyBorder="false" applyAlignment="false" applyProtection="false">
      <alignment horizontal="general" vertical="bottom" textRotation="0" wrapText="false" indent="0" shrinkToFit="false"/>
      <protection locked="true" hidden="false"/>
    </xf>
    <xf numFmtId="244" fontId="60" fillId="2" borderId="4" xfId="19" applyFont="true" applyBorder="true" applyAlignment="true" applyProtection="true">
      <alignment horizontal="left" vertical="bottom" textRotation="0" wrapText="false" indent="0" shrinkToFit="false"/>
      <protection locked="true" hidden="false"/>
    </xf>
    <xf numFmtId="164" fontId="28" fillId="2" borderId="5" xfId="0" applyFont="true" applyBorder="true" applyAlignment="false" applyProtection="false">
      <alignment horizontal="general" vertical="bottom" textRotation="0" wrapText="false" indent="0" shrinkToFit="false"/>
      <protection locked="true" hidden="false"/>
    </xf>
    <xf numFmtId="258" fontId="57" fillId="0" borderId="0" xfId="15" applyFont="true" applyBorder="true" applyAlignment="true" applyProtection="true">
      <alignment horizontal="right" vertical="bottom" textRotation="0" wrapText="false" indent="0" shrinkToFit="false"/>
      <protection locked="true" hidden="false"/>
    </xf>
    <xf numFmtId="164" fontId="63" fillId="2" borderId="6" xfId="0" applyFont="true" applyBorder="true" applyAlignment="false" applyProtection="false">
      <alignment horizontal="general" vertical="bottom" textRotation="0" wrapText="false" indent="0" shrinkToFit="false"/>
      <protection locked="true" hidden="false"/>
    </xf>
    <xf numFmtId="164" fontId="28" fillId="2" borderId="7" xfId="0" applyFont="true" applyBorder="true" applyAlignment="false" applyProtection="false">
      <alignment horizontal="general" vertical="bottom" textRotation="0" wrapText="false" indent="0" shrinkToFit="false"/>
      <protection locked="true" hidden="false"/>
    </xf>
    <xf numFmtId="235" fontId="28" fillId="0" borderId="0" xfId="0" applyFont="true" applyBorder="false" applyAlignment="false" applyProtection="false">
      <alignment horizontal="general" vertical="bottom" textRotation="0" wrapText="false" indent="0" shrinkToFit="false"/>
      <protection locked="true" hidden="false"/>
    </xf>
    <xf numFmtId="164" fontId="28" fillId="0" borderId="4" xfId="0" applyFont="true" applyBorder="true" applyAlignment="false" applyProtection="false">
      <alignment horizontal="general" vertical="bottom" textRotation="0" wrapText="false" indent="0" shrinkToFit="false"/>
      <protection locked="true" hidden="false"/>
    </xf>
    <xf numFmtId="164" fontId="57" fillId="0" borderId="9" xfId="0" applyFont="true" applyBorder="true" applyAlignment="false" applyProtection="false">
      <alignment horizontal="general" vertical="bottom" textRotation="0" wrapText="false" indent="0" shrinkToFit="false"/>
      <protection locked="true" hidden="false"/>
    </xf>
    <xf numFmtId="259" fontId="107" fillId="2" borderId="9" xfId="0" applyFont="true" applyBorder="true" applyAlignment="false" applyProtection="true">
      <alignment horizontal="general" vertical="bottom" textRotation="0" wrapText="false" indent="0" shrinkToFit="false"/>
      <protection locked="true" hidden="false"/>
    </xf>
    <xf numFmtId="259" fontId="107" fillId="2" borderId="5" xfId="0" applyFont="true" applyBorder="true" applyAlignment="false" applyProtection="true">
      <alignment horizontal="general" vertical="bottom" textRotation="0" wrapText="false" indent="0" shrinkToFit="false"/>
      <protection locked="true" hidden="false"/>
    </xf>
    <xf numFmtId="235" fontId="63" fillId="0" borderId="10" xfId="1237" applyFont="true" applyBorder="true" applyAlignment="true" applyProtection="true">
      <alignment horizontal="left" vertical="bottom" textRotation="0" wrapText="false" indent="0" shrinkToFit="false"/>
      <protection locked="true" hidden="false"/>
    </xf>
    <xf numFmtId="164" fontId="57" fillId="0" borderId="0" xfId="0" applyFont="true" applyBorder="true" applyAlignment="false" applyProtection="false">
      <alignment horizontal="general" vertical="bottom" textRotation="0" wrapText="false" indent="0" shrinkToFit="false"/>
      <protection locked="true" hidden="false"/>
    </xf>
    <xf numFmtId="260" fontId="57" fillId="0" borderId="0" xfId="15" applyFont="true" applyBorder="true" applyAlignment="true" applyProtection="true">
      <alignment horizontal="general" vertical="bottom" textRotation="0" wrapText="false" indent="0" shrinkToFit="false"/>
      <protection locked="true" hidden="false"/>
    </xf>
    <xf numFmtId="240" fontId="57" fillId="0" borderId="0" xfId="1237" applyFont="true" applyBorder="true" applyAlignment="true" applyProtection="true">
      <alignment horizontal="general" vertical="bottom" textRotation="0" wrapText="false" indent="0" shrinkToFit="false"/>
      <protection locked="true" hidden="false"/>
    </xf>
    <xf numFmtId="240" fontId="67" fillId="0" borderId="0" xfId="1237" applyFont="true" applyBorder="true" applyAlignment="true" applyProtection="true">
      <alignment horizontal="general" vertical="bottom" textRotation="0" wrapText="false" indent="0" shrinkToFit="false"/>
      <protection locked="true" hidden="false"/>
    </xf>
    <xf numFmtId="240" fontId="57" fillId="0" borderId="11" xfId="1237" applyFont="true" applyBorder="true" applyAlignment="true" applyProtection="true">
      <alignment horizontal="general" vertical="bottom" textRotation="0" wrapText="false" indent="0" shrinkToFit="false"/>
      <protection locked="true" hidden="false"/>
    </xf>
    <xf numFmtId="235" fontId="63" fillId="0" borderId="10" xfId="1237" applyFont="true" applyBorder="true" applyAlignment="true" applyProtection="true">
      <alignment horizontal="general" vertical="bottom" textRotation="0" wrapText="false" indent="0" shrinkToFit="false"/>
      <protection locked="true" hidden="false"/>
    </xf>
    <xf numFmtId="244" fontId="57" fillId="0" borderId="0" xfId="19" applyFont="true" applyBorder="true" applyAlignment="true" applyProtection="true">
      <alignment horizontal="center" vertical="bottom" textRotation="0" wrapText="false" indent="0" shrinkToFit="false"/>
      <protection locked="true" hidden="false"/>
    </xf>
    <xf numFmtId="244" fontId="57" fillId="0" borderId="11" xfId="19" applyFont="true" applyBorder="true" applyAlignment="true" applyProtection="true">
      <alignment horizontal="center" vertical="bottom" textRotation="0" wrapText="false" indent="0" shrinkToFit="false"/>
      <protection locked="true" hidden="false"/>
    </xf>
    <xf numFmtId="235" fontId="63" fillId="0" borderId="6" xfId="1237" applyFont="true" applyBorder="true" applyAlignment="true" applyProtection="true">
      <alignment horizontal="general" vertical="bottom" textRotation="0" wrapText="false" indent="0" shrinkToFit="false"/>
      <protection locked="true" hidden="false"/>
    </xf>
    <xf numFmtId="258" fontId="57" fillId="0" borderId="3" xfId="0" applyFont="true" applyBorder="true" applyAlignment="false" applyProtection="false">
      <alignment horizontal="general" vertical="bottom" textRotation="0" wrapText="false" indent="0" shrinkToFit="false"/>
      <protection locked="true" hidden="false"/>
    </xf>
    <xf numFmtId="240" fontId="57" fillId="0" borderId="3" xfId="1237" applyFont="true" applyBorder="true" applyAlignment="true" applyProtection="true">
      <alignment horizontal="center" vertical="bottom" textRotation="0" wrapText="false" indent="0" shrinkToFit="false"/>
      <protection locked="true" hidden="false"/>
    </xf>
    <xf numFmtId="240" fontId="57" fillId="0" borderId="7" xfId="1237" applyFont="true" applyBorder="true" applyAlignment="true" applyProtection="true">
      <alignment horizontal="center" vertical="bottom" textRotation="0" wrapText="false" indent="0" shrinkToFit="false"/>
      <protection locked="true" hidden="false"/>
    </xf>
    <xf numFmtId="259" fontId="107" fillId="0" borderId="0" xfId="0" applyFont="true" applyBorder="false" applyAlignment="false" applyProtection="true">
      <alignment horizontal="general" vertical="bottom" textRotation="0" wrapText="false" indent="0" shrinkToFit="false"/>
      <protection locked="true" hidden="false"/>
    </xf>
    <xf numFmtId="258" fontId="57" fillId="0" borderId="9" xfId="15" applyFont="true" applyBorder="true" applyAlignment="true" applyProtection="true">
      <alignment horizontal="right" vertical="bottom" textRotation="0" wrapText="false" indent="0" shrinkToFit="false"/>
      <protection locked="true" hidden="false"/>
    </xf>
    <xf numFmtId="258" fontId="57" fillId="0" borderId="5" xfId="15" applyFont="true" applyBorder="true" applyAlignment="true" applyProtection="true">
      <alignment horizontal="right" vertical="bottom" textRotation="0" wrapText="false" indent="0" shrinkToFit="false"/>
      <protection locked="true" hidden="false"/>
    </xf>
    <xf numFmtId="164" fontId="28" fillId="0" borderId="10" xfId="0" applyFont="true" applyBorder="true" applyAlignment="false" applyProtection="false">
      <alignment horizontal="general" vertical="bottom" textRotation="0" wrapText="false" indent="0" shrinkToFit="false"/>
      <protection locked="true" hidden="false"/>
    </xf>
    <xf numFmtId="258" fontId="57" fillId="0" borderId="11" xfId="15" applyFont="true" applyBorder="true" applyAlignment="true" applyProtection="true">
      <alignment horizontal="right" vertical="bottom" textRotation="0" wrapText="false" indent="0" shrinkToFit="false"/>
      <protection locked="true" hidden="false"/>
    </xf>
    <xf numFmtId="170" fontId="57" fillId="0" borderId="0" xfId="0" applyFont="true" applyBorder="true" applyAlignment="false" applyProtection="false">
      <alignment horizontal="general" vertical="bottom" textRotation="0" wrapText="false" indent="0" shrinkToFit="false"/>
      <protection locked="true" hidden="false"/>
    </xf>
    <xf numFmtId="193" fontId="67" fillId="0" borderId="0" xfId="15" applyFont="true" applyBorder="true" applyAlignment="true" applyProtection="true">
      <alignment horizontal="right" vertical="bottom" textRotation="0" wrapText="false" indent="0" shrinkToFit="false"/>
      <protection locked="true" hidden="false"/>
    </xf>
    <xf numFmtId="193" fontId="57" fillId="0" borderId="0" xfId="15" applyFont="true" applyBorder="true" applyAlignment="true" applyProtection="true">
      <alignment horizontal="right" vertical="bottom" textRotation="0" wrapText="false" indent="0" shrinkToFit="false"/>
      <protection locked="true" hidden="false"/>
    </xf>
    <xf numFmtId="193" fontId="57" fillId="0" borderId="11" xfId="15" applyFont="true" applyBorder="true" applyAlignment="true" applyProtection="true">
      <alignment horizontal="right" vertical="bottom" textRotation="0" wrapText="false" indent="0" shrinkToFit="false"/>
      <protection locked="true" hidden="false"/>
    </xf>
    <xf numFmtId="243" fontId="57" fillId="0" borderId="0" xfId="0" applyFont="true" applyBorder="true" applyAlignment="false" applyProtection="false">
      <alignment horizontal="general" vertical="bottom" textRotation="0" wrapText="false" indent="0" shrinkToFit="false"/>
      <protection locked="true" hidden="false"/>
    </xf>
    <xf numFmtId="258" fontId="67" fillId="0" borderId="0" xfId="15" applyFont="true" applyBorder="true" applyAlignment="true" applyProtection="true">
      <alignment horizontal="general" vertical="bottom" textRotation="0" wrapText="false" indent="0" shrinkToFit="false"/>
      <protection locked="true" hidden="false"/>
    </xf>
    <xf numFmtId="258" fontId="57" fillId="0" borderId="0" xfId="15" applyFont="true" applyBorder="true" applyAlignment="true" applyProtection="true">
      <alignment horizontal="general" vertical="bottom" textRotation="0" wrapText="false" indent="0" shrinkToFit="false"/>
      <protection locked="true" hidden="false"/>
    </xf>
    <xf numFmtId="258" fontId="57" fillId="0" borderId="11" xfId="15" applyFont="true" applyBorder="true" applyAlignment="true" applyProtection="true">
      <alignment horizontal="general" vertical="bottom" textRotation="0" wrapText="false" indent="0" shrinkToFit="false"/>
      <protection locked="true" hidden="false"/>
    </xf>
    <xf numFmtId="164" fontId="57" fillId="0" borderId="10" xfId="0" applyFont="true" applyBorder="true" applyAlignment="false" applyProtection="false">
      <alignment horizontal="general" vertical="bottom" textRotation="0" wrapText="false" indent="0" shrinkToFit="false"/>
      <protection locked="true" hidden="false"/>
    </xf>
    <xf numFmtId="244" fontId="67" fillId="0" borderId="0" xfId="15" applyFont="true" applyBorder="true" applyAlignment="true" applyProtection="true">
      <alignment horizontal="general" vertical="bottom" textRotation="0" wrapText="false" indent="0" shrinkToFit="false"/>
      <protection locked="true" hidden="false"/>
    </xf>
    <xf numFmtId="244" fontId="57" fillId="0" borderId="0" xfId="15" applyFont="true" applyBorder="true" applyAlignment="true" applyProtection="true">
      <alignment horizontal="general" vertical="bottom" textRotation="0" wrapText="false" indent="0" shrinkToFit="false"/>
      <protection locked="true" hidden="false"/>
    </xf>
    <xf numFmtId="244" fontId="57" fillId="0" borderId="11" xfId="15" applyFont="true" applyBorder="true" applyAlignment="true" applyProtection="true">
      <alignment horizontal="general" vertical="bottom" textRotation="0" wrapText="false" indent="0" shrinkToFit="false"/>
      <protection locked="true" hidden="false"/>
    </xf>
    <xf numFmtId="164" fontId="78" fillId="0" borderId="10" xfId="0" applyFont="true" applyBorder="true" applyAlignment="false" applyProtection="false">
      <alignment horizontal="general" vertical="bottom" textRotation="0" wrapText="false" indent="0" shrinkToFit="false"/>
      <protection locked="true" hidden="false"/>
    </xf>
    <xf numFmtId="164" fontId="57" fillId="0" borderId="11" xfId="0" applyFont="true" applyBorder="true" applyAlignment="false" applyProtection="false">
      <alignment horizontal="general" vertical="bottom" textRotation="0" wrapText="false" indent="0" shrinkToFit="false"/>
      <protection locked="true" hidden="false"/>
    </xf>
    <xf numFmtId="235" fontId="57" fillId="0" borderId="10" xfId="1237" applyFont="true" applyBorder="true" applyAlignment="true" applyProtection="true">
      <alignment horizontal="left" vertical="bottom" textRotation="0" wrapText="false" indent="0" shrinkToFit="false"/>
      <protection locked="true" hidden="false"/>
    </xf>
    <xf numFmtId="235" fontId="57" fillId="0" borderId="0" xfId="1237" applyFont="true" applyBorder="true" applyAlignment="true" applyProtection="true">
      <alignment horizontal="general" vertical="bottom" textRotation="0" wrapText="false" indent="0" shrinkToFit="false"/>
      <protection locked="true" hidden="false"/>
    </xf>
    <xf numFmtId="180" fontId="57" fillId="0" borderId="0" xfId="404" applyFont="true" applyBorder="true" applyAlignment="true" applyProtection="true">
      <alignment horizontal="general" vertical="bottom" textRotation="0" wrapText="false" indent="0" shrinkToFit="false"/>
      <protection locked="true" hidden="false"/>
    </xf>
    <xf numFmtId="180" fontId="57" fillId="0" borderId="11" xfId="404" applyFont="true" applyBorder="true" applyAlignment="true" applyProtection="true">
      <alignment horizontal="general" vertical="bottom" textRotation="0" wrapText="false" indent="0" shrinkToFit="false"/>
      <protection locked="true" hidden="false"/>
    </xf>
    <xf numFmtId="235" fontId="57" fillId="0" borderId="10" xfId="1237" applyFont="true" applyBorder="true" applyAlignment="true" applyProtection="true">
      <alignment horizontal="general" vertical="bottom" textRotation="0" wrapText="false" indent="0" shrinkToFit="false"/>
      <protection locked="true" hidden="false"/>
    </xf>
    <xf numFmtId="256" fontId="57" fillId="0" borderId="0" xfId="404" applyFont="true" applyBorder="true" applyAlignment="true" applyProtection="true">
      <alignment horizontal="general" vertical="bottom" textRotation="0" wrapText="false" indent="0" shrinkToFit="false"/>
      <protection locked="true" hidden="false"/>
    </xf>
    <xf numFmtId="256" fontId="57" fillId="0" borderId="11" xfId="404" applyFont="true" applyBorder="true" applyAlignment="true" applyProtection="true">
      <alignment horizontal="general" vertical="bottom" textRotation="0" wrapText="false" indent="0" shrinkToFit="false"/>
      <protection locked="true" hidden="false"/>
    </xf>
    <xf numFmtId="256" fontId="108" fillId="0" borderId="0" xfId="404" applyFont="true" applyBorder="true" applyAlignment="true" applyProtection="true">
      <alignment horizontal="general" vertical="bottom" textRotation="0" wrapText="false" indent="0" shrinkToFit="false"/>
      <protection locked="true" hidden="false"/>
    </xf>
    <xf numFmtId="235" fontId="57" fillId="0" borderId="6" xfId="1237" applyFont="true" applyBorder="true" applyAlignment="true" applyProtection="true">
      <alignment horizontal="left" vertical="bottom" textRotation="0" wrapText="false" indent="0" shrinkToFit="false"/>
      <protection locked="true" hidden="false"/>
    </xf>
    <xf numFmtId="235" fontId="57" fillId="0" borderId="3" xfId="1237" applyFont="true" applyBorder="true" applyAlignment="true" applyProtection="true">
      <alignment horizontal="general" vertical="bottom" textRotation="0" wrapText="false" indent="0" shrinkToFit="false"/>
      <protection locked="true" hidden="false"/>
    </xf>
    <xf numFmtId="256" fontId="57" fillId="0" borderId="3" xfId="404" applyFont="true" applyBorder="true" applyAlignment="true" applyProtection="true">
      <alignment horizontal="general" vertical="bottom" textRotation="0" wrapText="false" indent="0" shrinkToFit="false"/>
      <protection locked="true" hidden="false"/>
    </xf>
    <xf numFmtId="256" fontId="57" fillId="0" borderId="7" xfId="404" applyFont="true" applyBorder="true" applyAlignment="true" applyProtection="true">
      <alignment horizontal="general" vertical="bottom" textRotation="0" wrapText="false" indent="0" shrinkToFit="false"/>
      <protection locked="true" hidden="false"/>
    </xf>
    <xf numFmtId="235" fontId="57" fillId="0" borderId="0" xfId="1237" applyFont="true" applyBorder="true" applyAlignment="true" applyProtection="true">
      <alignment horizontal="left" vertical="bottom" textRotation="0" wrapText="false" indent="0" shrinkToFit="false"/>
      <protection locked="true" hidden="false"/>
    </xf>
    <xf numFmtId="179" fontId="57" fillId="0" borderId="0" xfId="404" applyFont="true" applyBorder="true" applyAlignment="true" applyProtection="true">
      <alignment horizontal="general" vertical="bottom" textRotation="0" wrapText="false" indent="0" shrinkToFit="false"/>
      <protection locked="true" hidden="false"/>
    </xf>
    <xf numFmtId="164" fontId="78" fillId="0" borderId="4" xfId="0" applyFont="true" applyBorder="true" applyAlignment="false" applyProtection="false">
      <alignment horizontal="general" vertical="bottom" textRotation="0" wrapText="false" indent="0" shrinkToFit="false"/>
      <protection locked="true" hidden="false"/>
    </xf>
    <xf numFmtId="164" fontId="66" fillId="0" borderId="9" xfId="0" applyFont="true" applyBorder="true" applyAlignment="false" applyProtection="false">
      <alignment horizontal="general" vertical="bottom" textRotation="0" wrapText="false" indent="0" shrinkToFit="false"/>
      <protection locked="true" hidden="false"/>
    </xf>
    <xf numFmtId="164" fontId="66" fillId="0" borderId="5" xfId="0" applyFont="true" applyBorder="true" applyAlignment="false" applyProtection="false">
      <alignment horizontal="general" vertical="bottom" textRotation="0" wrapText="false" indent="0" shrinkToFit="false"/>
      <protection locked="true" hidden="false"/>
    </xf>
    <xf numFmtId="164" fontId="66" fillId="0" borderId="10" xfId="0" applyFont="true" applyBorder="true" applyAlignment="false" applyProtection="false">
      <alignment horizontal="general" vertical="bottom" textRotation="0" wrapText="false" indent="0" shrinkToFit="false"/>
      <protection locked="true" hidden="false"/>
    </xf>
    <xf numFmtId="164" fontId="66" fillId="0" borderId="0" xfId="0" applyFont="true" applyBorder="true" applyAlignment="false" applyProtection="false">
      <alignment horizontal="general" vertical="bottom" textRotation="0" wrapText="false" indent="0" shrinkToFit="false"/>
      <protection locked="true" hidden="false"/>
    </xf>
    <xf numFmtId="164" fontId="66" fillId="0" borderId="11" xfId="0" applyFont="true" applyBorder="true" applyAlignment="false" applyProtection="false">
      <alignment horizontal="general" vertical="bottom" textRotation="0" wrapText="false" indent="0" shrinkToFit="false"/>
      <protection locked="true" hidden="false"/>
    </xf>
    <xf numFmtId="185" fontId="57" fillId="0" borderId="24" xfId="0" applyFont="true" applyBorder="true" applyAlignment="false" applyProtection="false">
      <alignment horizontal="general" vertical="bottom" textRotation="0" wrapText="false" indent="0" shrinkToFit="false"/>
      <protection locked="true" hidden="false"/>
    </xf>
    <xf numFmtId="247" fontId="57" fillId="0" borderId="11" xfId="17" applyFont="true" applyBorder="true" applyAlignment="true" applyProtection="true">
      <alignment horizontal="general" vertical="bottom" textRotation="0" wrapText="false" indent="0" shrinkToFit="false"/>
      <protection locked="true" hidden="false"/>
    </xf>
    <xf numFmtId="185" fontId="57" fillId="0" borderId="25" xfId="0" applyFont="true" applyBorder="true" applyAlignment="false" applyProtection="false">
      <alignment horizontal="general" vertical="bottom" textRotation="0" wrapText="false" indent="0" shrinkToFit="false"/>
      <protection locked="true" hidden="false"/>
    </xf>
    <xf numFmtId="185" fontId="57" fillId="0" borderId="26" xfId="0" applyFont="true" applyBorder="true" applyAlignment="false" applyProtection="false">
      <alignment horizontal="general" vertical="bottom" textRotation="0" wrapText="false" indent="0" shrinkToFit="false"/>
      <protection locked="true" hidden="false"/>
    </xf>
    <xf numFmtId="247" fontId="108" fillId="0" borderId="0" xfId="17" applyFont="true" applyBorder="true" applyAlignment="true" applyProtection="true">
      <alignment horizontal="general" vertical="bottom" textRotation="0" wrapText="false" indent="0" shrinkToFit="false"/>
      <protection locked="true" hidden="false"/>
    </xf>
    <xf numFmtId="164" fontId="107" fillId="0" borderId="10" xfId="0" applyFont="true" applyBorder="true" applyAlignment="false" applyProtection="false">
      <alignment horizontal="general" vertical="bottom" textRotation="0" wrapText="false" indent="0" shrinkToFit="false"/>
      <protection locked="true" hidden="false"/>
    </xf>
    <xf numFmtId="185" fontId="57" fillId="0" borderId="0" xfId="915" applyFont="true" applyBorder="true" applyAlignment="true" applyProtection="true">
      <alignment horizontal="general" vertical="bottom" textRotation="0" wrapText="false" indent="0" shrinkToFit="false"/>
      <protection locked="true" hidden="false"/>
    </xf>
    <xf numFmtId="193" fontId="57" fillId="0" borderId="24" xfId="15" applyFont="true" applyBorder="true" applyAlignment="true" applyProtection="true">
      <alignment horizontal="general" vertical="bottom" textRotation="0" wrapText="false" indent="0" shrinkToFit="false"/>
      <protection locked="true" hidden="false"/>
    </xf>
    <xf numFmtId="217" fontId="57" fillId="0" borderId="0" xfId="17" applyFont="true" applyBorder="true" applyAlignment="true" applyProtection="true">
      <alignment horizontal="general" vertical="bottom" textRotation="0" wrapText="false" indent="0" shrinkToFit="false"/>
      <protection locked="true" hidden="false"/>
    </xf>
    <xf numFmtId="193" fontId="57" fillId="0" borderId="25" xfId="15" applyFont="true" applyBorder="true" applyAlignment="true" applyProtection="true">
      <alignment horizontal="general" vertical="bottom" textRotation="0" wrapText="false" indent="0" shrinkToFit="false"/>
      <protection locked="true" hidden="false"/>
    </xf>
    <xf numFmtId="193" fontId="108" fillId="0" borderId="25" xfId="15" applyFont="true" applyBorder="true" applyAlignment="true" applyProtection="true">
      <alignment horizontal="general" vertical="bottom" textRotation="0" wrapText="false" indent="0" shrinkToFit="false"/>
      <protection locked="true" hidden="false"/>
    </xf>
    <xf numFmtId="193" fontId="108" fillId="0" borderId="0" xfId="15" applyFont="true" applyBorder="true" applyAlignment="true" applyProtection="true">
      <alignment horizontal="general" vertical="bottom" textRotation="0" wrapText="false" indent="0" shrinkToFit="false"/>
      <protection locked="true" hidden="false"/>
    </xf>
    <xf numFmtId="164" fontId="57" fillId="0" borderId="25" xfId="0" applyFont="true" applyBorder="true" applyAlignment="false" applyProtection="false">
      <alignment horizontal="general" vertical="bottom" textRotation="0" wrapText="false" indent="0" shrinkToFit="false"/>
      <protection locked="true" hidden="false"/>
    </xf>
    <xf numFmtId="169" fontId="57" fillId="0" borderId="0" xfId="0" applyFont="true" applyBorder="true" applyAlignment="false" applyProtection="false">
      <alignment horizontal="general" vertical="bottom" textRotation="0" wrapText="false" indent="0" shrinkToFit="false"/>
      <protection locked="true" hidden="false"/>
    </xf>
    <xf numFmtId="193" fontId="57" fillId="0" borderId="0" xfId="15" applyFont="true" applyBorder="true" applyAlignment="true" applyProtection="true">
      <alignment horizontal="general" vertical="bottom" textRotation="0" wrapText="false" indent="0" shrinkToFit="false"/>
      <protection locked="true" hidden="false"/>
    </xf>
    <xf numFmtId="179" fontId="57" fillId="0" borderId="0" xfId="0" applyFont="true" applyBorder="true" applyAlignment="false" applyProtection="false">
      <alignment horizontal="general" vertical="bottom" textRotation="0" wrapText="false" indent="0" shrinkToFit="false"/>
      <protection locked="true" hidden="false"/>
    </xf>
    <xf numFmtId="193" fontId="57" fillId="0" borderId="26" xfId="15" applyFont="true" applyBorder="true" applyAlignment="true" applyProtection="true">
      <alignment horizontal="general" vertical="bottom" textRotation="0" wrapText="false" indent="0" shrinkToFit="false"/>
      <protection locked="true" hidden="false"/>
    </xf>
    <xf numFmtId="164" fontId="57" fillId="0" borderId="6" xfId="0" applyFont="true" applyBorder="true" applyAlignment="false" applyProtection="false">
      <alignment horizontal="general" vertical="bottom" textRotation="0" wrapText="false" indent="0" shrinkToFit="false"/>
      <protection locked="true" hidden="false"/>
    </xf>
    <xf numFmtId="193" fontId="57" fillId="0" borderId="26" xfId="0" applyFont="true" applyBorder="true" applyAlignment="false" applyProtection="false">
      <alignment horizontal="general" vertical="bottom" textRotation="0" wrapText="false" indent="0" shrinkToFit="false"/>
      <protection locked="true" hidden="false"/>
    </xf>
    <xf numFmtId="217" fontId="57" fillId="0" borderId="3" xfId="17" applyFont="true" applyBorder="true" applyAlignment="true" applyProtection="true">
      <alignment horizontal="general" vertical="bottom" textRotation="0" wrapText="false" indent="0" shrinkToFit="false"/>
      <protection locked="true" hidden="false"/>
    </xf>
    <xf numFmtId="217" fontId="57" fillId="0" borderId="3" xfId="17" applyFont="true" applyBorder="true" applyAlignment="true" applyProtection="true">
      <alignment horizontal="general" vertical="bottom" textRotation="0" wrapText="false" indent="0" shrinkToFit="false"/>
      <protection locked="true" hidden="false"/>
    </xf>
    <xf numFmtId="217" fontId="57" fillId="0" borderId="7" xfId="17" applyFont="true" applyBorder="true" applyAlignment="true" applyProtection="true">
      <alignment horizontal="general" vertical="bottom" textRotation="0" wrapText="false" indent="0" shrinkToFit="false"/>
      <protection locked="true" hidden="false"/>
    </xf>
    <xf numFmtId="217" fontId="57" fillId="0" borderId="0" xfId="17" applyFont="true" applyBorder="true" applyAlignment="true" applyProtection="true">
      <alignment horizontal="general" vertical="bottom" textRotation="0" wrapText="false" indent="0" shrinkToFit="false"/>
      <protection locked="true" hidden="false"/>
    </xf>
    <xf numFmtId="164" fontId="28" fillId="0" borderId="9" xfId="0" applyFont="true" applyBorder="true" applyAlignment="false" applyProtection="false">
      <alignment horizontal="general" vertical="bottom" textRotation="0" wrapText="false" indent="0" shrinkToFit="false"/>
      <protection locked="true" hidden="false"/>
    </xf>
    <xf numFmtId="164" fontId="28" fillId="0" borderId="5" xfId="0" applyFont="true" applyBorder="true" applyAlignment="false" applyProtection="false">
      <alignment horizontal="general" vertical="bottom" textRotation="0" wrapText="false" indent="0" shrinkToFit="false"/>
      <protection locked="true" hidden="false"/>
    </xf>
    <xf numFmtId="258" fontId="28" fillId="0" borderId="24" xfId="0" applyFont="true" applyBorder="true" applyAlignment="false" applyProtection="false">
      <alignment horizontal="general" vertical="bottom" textRotation="0" wrapText="false" indent="0" shrinkToFit="false"/>
      <protection locked="true" hidden="false"/>
    </xf>
    <xf numFmtId="164" fontId="28" fillId="0" borderId="11" xfId="0" applyFont="true" applyBorder="true" applyAlignment="false" applyProtection="false">
      <alignment horizontal="general" vertical="bottom" textRotation="0" wrapText="false" indent="0" shrinkToFit="false"/>
      <protection locked="true" hidden="false"/>
    </xf>
    <xf numFmtId="258" fontId="28" fillId="0" borderId="25" xfId="0" applyFont="true" applyBorder="true" applyAlignment="false" applyProtection="false">
      <alignment horizontal="general" vertical="bottom" textRotation="0" wrapText="false" indent="0" shrinkToFit="false"/>
      <protection locked="true" hidden="false"/>
    </xf>
    <xf numFmtId="258" fontId="28" fillId="0" borderId="26" xfId="0" applyFont="true" applyBorder="true" applyAlignment="false" applyProtection="false">
      <alignment horizontal="general" vertical="bottom" textRotation="0" wrapText="false" indent="0" shrinkToFit="false"/>
      <protection locked="true" hidden="false"/>
    </xf>
    <xf numFmtId="164" fontId="67" fillId="0" borderId="10" xfId="0" applyFont="true" applyBorder="true" applyAlignment="false" applyProtection="false">
      <alignment horizontal="general" vertical="bottom" textRotation="0" wrapText="false" indent="0" shrinkToFit="false"/>
      <protection locked="true" hidden="false"/>
    </xf>
    <xf numFmtId="258" fontId="109" fillId="0" borderId="0" xfId="15" applyFont="true" applyBorder="true" applyAlignment="true" applyProtection="true">
      <alignment horizontal="general" vertical="bottom" textRotation="0" wrapText="false" indent="0" shrinkToFit="false"/>
      <protection locked="true" hidden="false"/>
    </xf>
    <xf numFmtId="258" fontId="109" fillId="0" borderId="11" xfId="15" applyFont="true" applyBorder="true" applyAlignment="true" applyProtection="true">
      <alignment horizontal="general" vertical="bottom" textRotation="0" wrapText="false" indent="0" shrinkToFit="false"/>
      <protection locked="true" hidden="false"/>
    </xf>
    <xf numFmtId="179" fontId="57" fillId="0" borderId="11" xfId="404" applyFont="true" applyBorder="true" applyAlignment="true" applyProtection="true">
      <alignment horizontal="general" vertical="bottom" textRotation="0" wrapText="false" indent="0" shrinkToFit="false"/>
      <protection locked="true" hidden="false"/>
    </xf>
    <xf numFmtId="243" fontId="57" fillId="0" borderId="0" xfId="19" applyFont="true" applyBorder="true" applyAlignment="true" applyProtection="true">
      <alignment horizontal="general" vertical="bottom" textRotation="0" wrapText="false" indent="0" shrinkToFit="false"/>
      <protection locked="true" hidden="false"/>
    </xf>
    <xf numFmtId="261" fontId="57" fillId="0" borderId="0" xfId="1237" applyFont="true" applyBorder="true" applyAlignment="true" applyProtection="true">
      <alignment horizontal="general" vertical="bottom" textRotation="0" wrapText="false" indent="0" shrinkToFit="false"/>
      <protection locked="true" hidden="false"/>
    </xf>
    <xf numFmtId="235" fontId="67" fillId="0" borderId="10" xfId="1237" applyFont="true" applyBorder="true" applyAlignment="true" applyProtection="true">
      <alignment horizontal="left" vertical="bottom" textRotation="0" wrapText="false" indent="0" shrinkToFit="false"/>
      <protection locked="true" hidden="false"/>
    </xf>
    <xf numFmtId="179" fontId="67" fillId="0" borderId="0" xfId="404" applyFont="true" applyBorder="true" applyAlignment="true" applyProtection="true">
      <alignment horizontal="general" vertical="bottom" textRotation="0" wrapText="false" indent="0" shrinkToFit="false"/>
      <protection locked="true" hidden="false"/>
    </xf>
    <xf numFmtId="235" fontId="67" fillId="0" borderId="6" xfId="1237" applyFont="true" applyBorder="true" applyAlignment="true" applyProtection="true">
      <alignment horizontal="left" vertical="bottom" textRotation="0" wrapText="false" indent="0" shrinkToFit="false"/>
      <protection locked="true" hidden="false"/>
    </xf>
    <xf numFmtId="164" fontId="57" fillId="0" borderId="3" xfId="0" applyFont="true" applyBorder="true" applyAlignment="false" applyProtection="false">
      <alignment horizontal="general" vertical="bottom" textRotation="0" wrapText="false" indent="0" shrinkToFit="false"/>
      <protection locked="true" hidden="false"/>
    </xf>
    <xf numFmtId="179" fontId="67" fillId="0" borderId="3" xfId="404" applyFont="true" applyBorder="true" applyAlignment="true" applyProtection="true">
      <alignment horizontal="general" vertical="bottom" textRotation="0" wrapText="false" indent="0" shrinkToFit="false"/>
      <protection locked="true" hidden="false"/>
    </xf>
    <xf numFmtId="164" fontId="28" fillId="0" borderId="3" xfId="0" applyFont="true" applyBorder="true" applyAlignment="false" applyProtection="false">
      <alignment horizontal="general" vertical="bottom" textRotation="0" wrapText="false" indent="0" shrinkToFit="false"/>
      <protection locked="true" hidden="false"/>
    </xf>
    <xf numFmtId="164" fontId="28" fillId="0" borderId="7"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false" applyAlignment="true" applyProtection="false">
      <alignment horizontal="center" vertical="bottom" textRotation="0" wrapText="false" indent="0" shrinkToFit="false"/>
      <protection locked="true" hidden="false"/>
    </xf>
    <xf numFmtId="235" fontId="96" fillId="0" borderId="0" xfId="1237" applyFont="true" applyBorder="true" applyAlignment="true" applyProtection="true">
      <alignment horizontal="left" vertical="bottom" textRotation="0" wrapText="false" indent="0" shrinkToFit="false"/>
      <protection locked="true" hidden="false"/>
    </xf>
    <xf numFmtId="235" fontId="57" fillId="0" borderId="0" xfId="1237" applyFont="true" applyBorder="true" applyAlignment="true" applyProtection="true">
      <alignment horizontal="general" vertical="bottom" textRotation="0" wrapText="false" indent="0" shrinkToFit="false"/>
      <protection locked="true" hidden="false"/>
    </xf>
    <xf numFmtId="235" fontId="57" fillId="0" borderId="0" xfId="1237" applyFont="true" applyBorder="true" applyAlignment="true" applyProtection="true">
      <alignment horizontal="right" vertical="bottom" textRotation="0" wrapText="false" indent="0" shrinkToFit="false"/>
      <protection locked="true" hidden="false"/>
    </xf>
    <xf numFmtId="261" fontId="57" fillId="0" borderId="0" xfId="1237" applyFont="true" applyBorder="true" applyAlignment="true" applyProtection="true">
      <alignment horizontal="general" vertical="bottom" textRotation="0" wrapText="false" indent="0" shrinkToFit="false"/>
      <protection locked="true" hidden="false"/>
    </xf>
    <xf numFmtId="235" fontId="66" fillId="0" borderId="4" xfId="1237" applyFont="true" applyBorder="true" applyAlignment="true" applyProtection="true">
      <alignment horizontal="general" vertical="bottom" textRotation="0" wrapText="false" indent="0" shrinkToFit="false"/>
      <protection locked="true" hidden="false"/>
    </xf>
    <xf numFmtId="235" fontId="57" fillId="0" borderId="9" xfId="1237" applyFont="true" applyBorder="true" applyAlignment="true" applyProtection="true">
      <alignment horizontal="general" vertical="bottom" textRotation="0" wrapText="false" indent="0" shrinkToFit="false"/>
      <protection locked="true" hidden="false"/>
    </xf>
    <xf numFmtId="259" fontId="110" fillId="0" borderId="0" xfId="0" applyFont="true" applyBorder="false" applyAlignment="false" applyProtection="true">
      <alignment horizontal="general" vertical="bottom" textRotation="0" wrapText="false" indent="0" shrinkToFit="false"/>
      <protection locked="true" hidden="false"/>
    </xf>
    <xf numFmtId="250" fontId="67" fillId="9" borderId="0" xfId="19" applyFont="true" applyBorder="true" applyAlignment="true" applyProtection="true">
      <alignment horizontal="general" vertical="bottom" textRotation="0" wrapText="false" indent="0" shrinkToFit="false"/>
      <protection locked="true" hidden="false"/>
    </xf>
    <xf numFmtId="250" fontId="67" fillId="9" borderId="11" xfId="19" applyFont="true" applyBorder="true" applyAlignment="true" applyProtection="true">
      <alignment horizontal="general" vertical="bottom" textRotation="0" wrapText="false" indent="0" shrinkToFit="false"/>
      <protection locked="true" hidden="false"/>
    </xf>
    <xf numFmtId="235" fontId="57" fillId="0" borderId="11" xfId="1237" applyFont="true" applyBorder="true" applyAlignment="true" applyProtection="true">
      <alignment horizontal="general" vertical="bottom" textRotation="0" wrapText="false" indent="0" shrinkToFit="false"/>
      <protection locked="true" hidden="false"/>
    </xf>
    <xf numFmtId="235" fontId="25" fillId="0" borderId="0" xfId="1237" applyFont="true" applyBorder="true" applyAlignment="true" applyProtection="true">
      <alignment horizontal="general" vertical="bottom" textRotation="0" wrapText="false" indent="0" shrinkToFit="false"/>
      <protection locked="true" hidden="false"/>
    </xf>
    <xf numFmtId="185" fontId="108" fillId="0" borderId="0" xfId="915" applyFont="true" applyBorder="true" applyAlignment="true" applyProtection="true">
      <alignment horizontal="general" vertical="bottom" textRotation="0" wrapText="false" indent="0" shrinkToFit="false"/>
      <protection locked="true" hidden="false"/>
    </xf>
    <xf numFmtId="185" fontId="108" fillId="0" borderId="11" xfId="915" applyFont="true" applyBorder="true" applyAlignment="true" applyProtection="true">
      <alignment horizontal="general" vertical="bottom" textRotation="0" wrapText="false" indent="0" shrinkToFit="false"/>
      <protection locked="true" hidden="false"/>
    </xf>
    <xf numFmtId="235" fontId="57" fillId="0" borderId="3" xfId="1237" applyFont="true" applyBorder="true" applyAlignment="true" applyProtection="true">
      <alignment horizontal="general" vertical="bottom" textRotation="0" wrapText="false" indent="0" shrinkToFit="false"/>
      <protection locked="true" hidden="false"/>
    </xf>
    <xf numFmtId="185" fontId="57" fillId="0" borderId="3" xfId="915" applyFont="true" applyBorder="true" applyAlignment="true" applyProtection="true">
      <alignment horizontal="general" vertical="bottom" textRotation="0" wrapText="false" indent="0" shrinkToFit="false"/>
      <protection locked="true" hidden="false"/>
    </xf>
    <xf numFmtId="185" fontId="57" fillId="0" borderId="7" xfId="915" applyFont="true" applyBorder="true" applyAlignment="true" applyProtection="true">
      <alignment horizontal="general" vertical="bottom" textRotation="0" wrapText="false" indent="0" shrinkToFit="false"/>
      <protection locked="true" hidden="false"/>
    </xf>
    <xf numFmtId="250" fontId="111" fillId="9" borderId="0" xfId="19" applyFont="true" applyBorder="true" applyAlignment="true" applyProtection="true">
      <alignment horizontal="general" vertical="bottom" textRotation="0" wrapText="false" indent="0" shrinkToFit="false"/>
      <protection locked="true" hidden="false"/>
    </xf>
    <xf numFmtId="250" fontId="111" fillId="9" borderId="11" xfId="19" applyFont="true" applyBorder="true" applyAlignment="true" applyProtection="true">
      <alignment horizontal="general" vertical="bottom" textRotation="0" wrapText="false" indent="0" shrinkToFit="false"/>
      <protection locked="true" hidden="false"/>
    </xf>
    <xf numFmtId="247" fontId="57" fillId="0" borderId="9" xfId="17" applyFont="true" applyBorder="true" applyAlignment="true" applyProtection="true">
      <alignment horizontal="general" vertical="bottom" textRotation="0" wrapText="false" indent="0" shrinkToFit="false"/>
      <protection locked="true" hidden="false"/>
    </xf>
    <xf numFmtId="247" fontId="57" fillId="0" borderId="5" xfId="17" applyFont="true" applyBorder="true" applyAlignment="true" applyProtection="true">
      <alignment horizontal="general" vertical="bottom" textRotation="0" wrapText="false" indent="0" shrinkToFit="false"/>
      <protection locked="true" hidden="false"/>
    </xf>
    <xf numFmtId="169" fontId="67" fillId="0" borderId="0" xfId="0" applyFont="true" applyBorder="true" applyAlignment="false" applyProtection="false">
      <alignment horizontal="general" vertical="bottom" textRotation="0" wrapText="false" indent="0" shrinkToFit="false"/>
      <protection locked="true" hidden="false"/>
    </xf>
    <xf numFmtId="169" fontId="67" fillId="0" borderId="11" xfId="0" applyFont="true" applyBorder="true" applyAlignment="false" applyProtection="false">
      <alignment horizontal="general" vertical="bottom" textRotation="0" wrapText="false" indent="0" shrinkToFit="false"/>
      <protection locked="true" hidden="false"/>
    </xf>
    <xf numFmtId="169" fontId="67" fillId="0" borderId="0" xfId="0" applyFont="true" applyBorder="false" applyAlignment="false" applyProtection="false">
      <alignment horizontal="general" vertical="bottom" textRotation="0" wrapText="false" indent="0" shrinkToFit="false"/>
      <protection locked="true" hidden="false"/>
    </xf>
    <xf numFmtId="250" fontId="57" fillId="0" borderId="0" xfId="19" applyFont="true" applyBorder="true" applyAlignment="true" applyProtection="true">
      <alignment horizontal="general" vertical="bottom" textRotation="0" wrapText="false" indent="0" shrinkToFit="false"/>
      <protection locked="true" hidden="false"/>
    </xf>
    <xf numFmtId="250" fontId="57" fillId="0" borderId="11" xfId="19" applyFont="true" applyBorder="true" applyAlignment="true" applyProtection="true">
      <alignment horizontal="general" vertical="bottom" textRotation="0" wrapText="false" indent="0" shrinkToFit="false"/>
      <protection locked="true" hidden="false"/>
    </xf>
    <xf numFmtId="169" fontId="57" fillId="0" borderId="11" xfId="0" applyFont="true" applyBorder="true" applyAlignment="false" applyProtection="false">
      <alignment horizontal="general" vertical="bottom" textRotation="0" wrapText="false" indent="0" shrinkToFit="false"/>
      <protection locked="true" hidden="false"/>
    </xf>
    <xf numFmtId="169" fontId="57" fillId="0" borderId="0" xfId="0" applyFont="true" applyBorder="false" applyAlignment="false" applyProtection="false">
      <alignment horizontal="general" vertical="bottom" textRotation="0" wrapText="false" indent="0" shrinkToFit="false"/>
      <protection locked="true" hidden="false"/>
    </xf>
    <xf numFmtId="250" fontId="108" fillId="0" borderId="0" xfId="19" applyFont="true" applyBorder="true" applyAlignment="true" applyProtection="true">
      <alignment horizontal="general" vertical="bottom" textRotation="0" wrapText="false" indent="0" shrinkToFit="false"/>
      <protection locked="true" hidden="false"/>
    </xf>
    <xf numFmtId="250" fontId="108" fillId="0" borderId="11" xfId="19" applyFont="true" applyBorder="true" applyAlignment="true" applyProtection="true">
      <alignment horizontal="general" vertical="bottom" textRotation="0" wrapText="false" indent="0" shrinkToFit="false"/>
      <protection locked="true" hidden="false"/>
    </xf>
    <xf numFmtId="185" fontId="57" fillId="0" borderId="11" xfId="915" applyFont="true" applyBorder="true" applyAlignment="true" applyProtection="true">
      <alignment horizontal="general" vertical="bottom" textRotation="0" wrapText="false" indent="0" shrinkToFit="false"/>
      <protection locked="true" hidden="false"/>
    </xf>
    <xf numFmtId="235" fontId="108" fillId="0" borderId="0" xfId="1237" applyFont="true" applyBorder="true" applyAlignment="true" applyProtection="true">
      <alignment horizontal="general" vertical="bottom" textRotation="0" wrapText="false" indent="0" shrinkToFit="false"/>
      <protection locked="true" hidden="false"/>
    </xf>
    <xf numFmtId="235" fontId="108" fillId="0" borderId="11" xfId="1237" applyFont="true" applyBorder="true" applyAlignment="true" applyProtection="true">
      <alignment horizontal="general" vertical="bottom" textRotation="0" wrapText="false" indent="0" shrinkToFit="false"/>
      <protection locked="true" hidden="false"/>
    </xf>
    <xf numFmtId="248" fontId="108" fillId="0" borderId="0" xfId="15" applyFont="true" applyBorder="true" applyAlignment="true" applyProtection="true">
      <alignment horizontal="general" vertical="bottom" textRotation="0" wrapText="false" indent="0" shrinkToFit="false"/>
      <protection locked="true" hidden="false"/>
    </xf>
    <xf numFmtId="248" fontId="108" fillId="0" borderId="11" xfId="15" applyFont="true" applyBorder="true" applyAlignment="true" applyProtection="true">
      <alignment horizontal="general" vertical="bottom" textRotation="0" wrapText="false" indent="0" shrinkToFit="false"/>
      <protection locked="true" hidden="false"/>
    </xf>
    <xf numFmtId="248" fontId="28" fillId="0" borderId="0" xfId="15" applyFont="true" applyBorder="true" applyAlignment="true" applyProtection="true">
      <alignment horizontal="general" vertical="bottom" textRotation="0" wrapText="false" indent="0" shrinkToFit="false"/>
      <protection locked="true" hidden="false"/>
    </xf>
    <xf numFmtId="164" fontId="28" fillId="0" borderId="6" xfId="0" applyFont="true" applyBorder="true" applyAlignment="false" applyProtection="false">
      <alignment horizontal="general" vertical="bottom" textRotation="0" wrapText="false" indent="0" shrinkToFit="false"/>
      <protection locked="true" hidden="false"/>
    </xf>
    <xf numFmtId="248" fontId="57" fillId="0" borderId="3" xfId="15" applyFont="true" applyBorder="true" applyAlignment="true" applyProtection="true">
      <alignment horizontal="general" vertical="bottom" textRotation="0" wrapText="false" indent="0" shrinkToFit="false"/>
      <protection locked="true" hidden="false"/>
    </xf>
    <xf numFmtId="248" fontId="57" fillId="0" borderId="7" xfId="15" applyFont="true" applyBorder="true" applyAlignment="true" applyProtection="true">
      <alignment horizontal="general" vertical="bottom" textRotation="0" wrapText="false" indent="0" shrinkToFit="false"/>
      <protection locked="true" hidden="false"/>
    </xf>
    <xf numFmtId="164" fontId="57" fillId="0" borderId="5"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true" applyAlignment="false" applyProtection="false">
      <alignment horizontal="general" vertical="bottom" textRotation="0" wrapText="false" indent="0" shrinkToFit="false"/>
      <protection locked="true" hidden="false"/>
    </xf>
    <xf numFmtId="180" fontId="67" fillId="14" borderId="0" xfId="915" applyFont="true" applyBorder="true" applyAlignment="true" applyProtection="true">
      <alignment horizontal="general" vertical="bottom" textRotation="0" wrapText="false" indent="0" shrinkToFit="false"/>
      <protection locked="true" hidden="false"/>
    </xf>
    <xf numFmtId="180" fontId="67" fillId="14" borderId="11" xfId="915" applyFont="true" applyBorder="true" applyAlignment="true" applyProtection="true">
      <alignment horizontal="general" vertical="bottom" textRotation="0" wrapText="false" indent="0" shrinkToFit="false"/>
      <protection locked="true" hidden="false"/>
    </xf>
    <xf numFmtId="180" fontId="67" fillId="0" borderId="0" xfId="915" applyFont="true" applyBorder="true" applyAlignment="true" applyProtection="true">
      <alignment horizontal="general" vertical="bottom" textRotation="0" wrapText="false" indent="0" shrinkToFit="false"/>
      <protection locked="true" hidden="false"/>
    </xf>
    <xf numFmtId="180" fontId="67" fillId="0" borderId="11" xfId="915" applyFont="true" applyBorder="true" applyAlignment="true" applyProtection="true">
      <alignment horizontal="general" vertical="bottom" textRotation="0" wrapText="false" indent="0" shrinkToFit="false"/>
      <protection locked="true" hidden="false"/>
    </xf>
    <xf numFmtId="243" fontId="67" fillId="0" borderId="0" xfId="19" applyFont="true" applyBorder="true" applyAlignment="true" applyProtection="true">
      <alignment horizontal="general" vertical="bottom" textRotation="0" wrapText="false" indent="0" shrinkToFit="false"/>
      <protection locked="true" hidden="false"/>
    </xf>
    <xf numFmtId="180" fontId="57" fillId="0" borderId="0" xfId="915" applyFont="true" applyBorder="true" applyAlignment="true" applyProtection="true">
      <alignment horizontal="general" vertical="bottom" textRotation="0" wrapText="false" indent="0" shrinkToFit="false"/>
      <protection locked="true" hidden="false"/>
    </xf>
    <xf numFmtId="180" fontId="57" fillId="0" borderId="11" xfId="915" applyFont="true" applyBorder="true" applyAlignment="true" applyProtection="true">
      <alignment horizontal="general" vertical="bottom" textRotation="0" wrapText="false" indent="0" shrinkToFit="false"/>
      <protection locked="true" hidden="false"/>
    </xf>
    <xf numFmtId="180" fontId="67" fillId="0" borderId="3" xfId="915" applyFont="true" applyBorder="true" applyAlignment="true" applyProtection="true">
      <alignment horizontal="general" vertical="bottom" textRotation="0" wrapText="false" indent="0" shrinkToFit="false"/>
      <protection locked="true" hidden="false"/>
    </xf>
    <xf numFmtId="180" fontId="67" fillId="0" borderId="7" xfId="915" applyFont="true" applyBorder="true" applyAlignment="true" applyProtection="true">
      <alignment horizontal="general" vertical="bottom" textRotation="0" wrapText="false" indent="0" shrinkToFit="false"/>
      <protection locked="true" hidden="false"/>
    </xf>
    <xf numFmtId="215" fontId="28" fillId="0" borderId="0" xfId="0" applyFont="true" applyBorder="false" applyAlignment="false" applyProtection="false">
      <alignment horizontal="general" vertical="bottom" textRotation="0" wrapText="false" indent="0" shrinkToFit="false"/>
      <protection locked="true" hidden="false"/>
    </xf>
    <xf numFmtId="244" fontId="60" fillId="2" borderId="24" xfId="19" applyFont="true" applyBorder="true" applyAlignment="true" applyProtection="true">
      <alignment horizontal="left" vertical="bottom" textRotation="0" wrapText="false" indent="0" shrinkToFit="false"/>
      <protection locked="true" hidden="false"/>
    </xf>
    <xf numFmtId="164" fontId="63" fillId="2" borderId="26" xfId="0" applyFont="true" applyBorder="true" applyAlignment="false" applyProtection="false">
      <alignment horizontal="general" vertical="bottom" textRotation="0" wrapText="false" indent="0" shrinkToFit="false"/>
      <protection locked="true" hidden="false"/>
    </xf>
    <xf numFmtId="235" fontId="66" fillId="0" borderId="9" xfId="1237" applyFont="true" applyBorder="true" applyAlignment="true" applyProtection="true">
      <alignment horizontal="general" vertical="bottom" textRotation="0" wrapText="false" indent="0" shrinkToFit="false"/>
      <protection locked="true" hidden="false"/>
    </xf>
    <xf numFmtId="242" fontId="107" fillId="2" borderId="9" xfId="0" applyFont="true" applyBorder="true" applyAlignment="true" applyProtection="true">
      <alignment horizontal="center" vertical="bottom" textRotation="0" wrapText="false" indent="0" shrinkToFit="false"/>
      <protection locked="true" hidden="false"/>
    </xf>
    <xf numFmtId="242" fontId="107" fillId="2" borderId="5" xfId="0" applyFont="true" applyBorder="true" applyAlignment="true" applyProtection="true">
      <alignment horizontal="center" vertical="bottom" textRotation="0" wrapText="false" indent="0" shrinkToFit="false"/>
      <protection locked="true" hidden="false"/>
    </xf>
    <xf numFmtId="235" fontId="28" fillId="0" borderId="0" xfId="1237" applyFont="true" applyBorder="true" applyAlignment="true" applyProtection="true">
      <alignment horizontal="left" vertical="bottom" textRotation="0" wrapText="false" indent="0" shrinkToFit="false"/>
      <protection locked="true" hidden="false"/>
    </xf>
    <xf numFmtId="235" fontId="28" fillId="0" borderId="0" xfId="1237" applyFont="true" applyBorder="true" applyAlignment="true" applyProtection="true">
      <alignment horizontal="general" vertical="bottom" textRotation="0" wrapText="false" indent="0" shrinkToFit="false"/>
      <protection locked="true" hidden="false"/>
    </xf>
    <xf numFmtId="247" fontId="28" fillId="0" borderId="0" xfId="17" applyFont="true" applyBorder="true" applyAlignment="true" applyProtection="true">
      <alignment horizontal="general" vertical="bottom" textRotation="0" wrapText="false" indent="0" shrinkToFit="false"/>
      <protection locked="true" hidden="false"/>
    </xf>
    <xf numFmtId="247" fontId="28" fillId="0" borderId="11" xfId="17" applyFont="true" applyBorder="true" applyAlignment="true" applyProtection="true">
      <alignment horizontal="general" vertical="bottom" textRotation="0" wrapText="false" indent="0" shrinkToFit="false"/>
      <protection locked="true" hidden="false"/>
    </xf>
    <xf numFmtId="206" fontId="57" fillId="0" borderId="0" xfId="1237" applyFont="true" applyBorder="true" applyAlignment="true" applyProtection="true">
      <alignment horizontal="general" vertical="bottom" textRotation="0" wrapText="false" indent="0" shrinkToFit="false"/>
      <protection locked="true" hidden="false"/>
    </xf>
    <xf numFmtId="235" fontId="57" fillId="0" borderId="11" xfId="1237" applyFont="true" applyBorder="true" applyAlignment="true" applyProtection="true">
      <alignment horizontal="general" vertical="bottom" textRotation="0" wrapText="false" indent="0" shrinkToFit="false"/>
      <protection locked="true" hidden="false"/>
    </xf>
    <xf numFmtId="164" fontId="28" fillId="0" borderId="10" xfId="0" applyFont="true" applyBorder="true" applyAlignment="false" applyProtection="false">
      <alignment horizontal="general" vertical="bottom" textRotation="0" wrapText="false" indent="0" shrinkToFit="false"/>
      <protection locked="true" hidden="false"/>
    </xf>
    <xf numFmtId="164" fontId="28" fillId="0" borderId="0" xfId="0" applyFont="true" applyBorder="true" applyAlignment="false" applyProtection="false">
      <alignment horizontal="general" vertical="bottom" textRotation="0" wrapText="false" indent="0" shrinkToFit="false"/>
      <protection locked="true" hidden="false"/>
    </xf>
    <xf numFmtId="193" fontId="28" fillId="0" borderId="0" xfId="15" applyFont="true" applyBorder="true" applyAlignment="true" applyProtection="true">
      <alignment horizontal="general" vertical="bottom" textRotation="0" wrapText="false" indent="0" shrinkToFit="false"/>
      <protection locked="true" hidden="false"/>
    </xf>
    <xf numFmtId="193" fontId="28" fillId="0" borderId="11" xfId="15" applyFont="true" applyBorder="true" applyAlignment="true" applyProtection="true">
      <alignment horizontal="general" vertical="bottom" textRotation="0" wrapText="false" indent="0" shrinkToFit="false"/>
      <protection locked="true" hidden="false"/>
    </xf>
    <xf numFmtId="193" fontId="112" fillId="0" borderId="0" xfId="15" applyFont="true" applyBorder="true" applyAlignment="true" applyProtection="true">
      <alignment horizontal="general" vertical="bottom" textRotation="0" wrapText="false" indent="0" shrinkToFit="false"/>
      <protection locked="true" hidden="false"/>
    </xf>
    <xf numFmtId="164" fontId="28" fillId="0" borderId="0" xfId="0" applyFont="true" applyBorder="false" applyAlignment="false" applyProtection="false">
      <alignment horizontal="general" vertical="bottom" textRotation="0" wrapText="false" indent="0" shrinkToFit="false"/>
      <protection locked="true" hidden="false"/>
    </xf>
    <xf numFmtId="243" fontId="28" fillId="0" borderId="0" xfId="19" applyFont="true" applyBorder="true" applyAlignment="true" applyProtection="true">
      <alignment horizontal="general" vertical="bottom" textRotation="0" wrapText="false" indent="0" shrinkToFit="false"/>
      <protection locked="true" hidden="false"/>
    </xf>
    <xf numFmtId="243" fontId="28" fillId="0" borderId="11" xfId="19" applyFont="true" applyBorder="true" applyAlignment="true" applyProtection="true">
      <alignment horizontal="general" vertical="bottom" textRotation="0" wrapText="false" indent="0" shrinkToFit="false"/>
      <protection locked="true" hidden="false"/>
    </xf>
    <xf numFmtId="164" fontId="28" fillId="0" borderId="6" xfId="0" applyFont="true" applyBorder="true" applyAlignment="false" applyProtection="false">
      <alignment horizontal="general" vertical="bottom" textRotation="0" wrapText="false" indent="0" shrinkToFit="false"/>
      <protection locked="true" hidden="false"/>
    </xf>
    <xf numFmtId="164" fontId="28" fillId="0" borderId="3" xfId="0" applyFont="true" applyBorder="true" applyAlignment="false" applyProtection="false">
      <alignment horizontal="general" vertical="bottom" textRotation="0" wrapText="false" indent="0" shrinkToFit="false"/>
      <protection locked="true" hidden="false"/>
    </xf>
    <xf numFmtId="243" fontId="28" fillId="0" borderId="3" xfId="19" applyFont="true" applyBorder="true" applyAlignment="true" applyProtection="true">
      <alignment horizontal="general" vertical="bottom" textRotation="0" wrapText="false" indent="0" shrinkToFit="false"/>
      <protection locked="true" hidden="false"/>
    </xf>
    <xf numFmtId="243" fontId="28" fillId="0" borderId="7" xfId="19" applyFont="true" applyBorder="true" applyAlignment="true" applyProtection="true">
      <alignment horizontal="general" vertical="bottom" textRotation="0" wrapText="false" indent="0" shrinkToFit="false"/>
      <protection locked="true" hidden="false"/>
    </xf>
    <xf numFmtId="164" fontId="63" fillId="0" borderId="4" xfId="0" applyFont="true" applyBorder="true" applyAlignment="false" applyProtection="false">
      <alignment horizontal="general" vertical="bottom" textRotation="0" wrapText="false" indent="0" shrinkToFit="false"/>
      <protection locked="true" hidden="false"/>
    </xf>
    <xf numFmtId="164" fontId="28" fillId="0" borderId="9" xfId="0" applyFont="true" applyBorder="true" applyAlignment="false" applyProtection="false">
      <alignment horizontal="general" vertical="bottom" textRotation="0" wrapText="false" indent="0" shrinkToFit="false"/>
      <protection locked="true" hidden="false"/>
    </xf>
    <xf numFmtId="247" fontId="28" fillId="0" borderId="9" xfId="17" applyFont="true" applyBorder="true" applyAlignment="true" applyProtection="true">
      <alignment horizontal="general" vertical="bottom" textRotation="0" wrapText="false" indent="0" shrinkToFit="false"/>
      <protection locked="true" hidden="false"/>
    </xf>
    <xf numFmtId="247" fontId="28" fillId="0" borderId="5" xfId="17" applyFont="true" applyBorder="true" applyAlignment="true" applyProtection="true">
      <alignment horizontal="general" vertical="bottom" textRotation="0" wrapText="false" indent="0" shrinkToFit="false"/>
      <protection locked="true" hidden="false"/>
    </xf>
    <xf numFmtId="164" fontId="63" fillId="0" borderId="10" xfId="0" applyFont="true" applyBorder="true" applyAlignment="false" applyProtection="false">
      <alignment horizontal="general" vertical="bottom" textRotation="0" wrapText="false" indent="0" shrinkToFit="false"/>
      <protection locked="true" hidden="false"/>
    </xf>
    <xf numFmtId="248" fontId="28" fillId="0" borderId="11" xfId="15" applyFont="true" applyBorder="true" applyAlignment="true" applyProtection="true">
      <alignment horizontal="general" vertical="bottom" textRotation="0" wrapText="false" indent="0" shrinkToFit="false"/>
      <protection locked="true" hidden="false"/>
    </xf>
    <xf numFmtId="224" fontId="107" fillId="0" borderId="0" xfId="0" applyFont="true" applyBorder="true" applyAlignment="false" applyProtection="true">
      <alignment horizontal="general" vertical="bottom" textRotation="0" wrapText="false" indent="0" shrinkToFit="false"/>
      <protection locked="true" hidden="false"/>
    </xf>
    <xf numFmtId="248" fontId="113" fillId="0" borderId="0" xfId="15" applyFont="true" applyBorder="true" applyAlignment="true" applyProtection="true">
      <alignment horizontal="general" vertical="bottom" textRotation="0" wrapText="false" indent="0" shrinkToFit="false"/>
      <protection locked="true" hidden="false"/>
    </xf>
    <xf numFmtId="164" fontId="63" fillId="0" borderId="6" xfId="0" applyFont="true" applyBorder="true" applyAlignment="false" applyProtection="false">
      <alignment horizontal="general" vertical="bottom" textRotation="0" wrapText="false" indent="0" shrinkToFit="false"/>
      <protection locked="true" hidden="false"/>
    </xf>
    <xf numFmtId="247" fontId="63" fillId="0" borderId="3" xfId="17" applyFont="true" applyBorder="true" applyAlignment="true" applyProtection="true">
      <alignment horizontal="general" vertical="bottom" textRotation="0" wrapText="false" indent="0" shrinkToFit="false"/>
      <protection locked="true" hidden="false"/>
    </xf>
    <xf numFmtId="248" fontId="63" fillId="0" borderId="3" xfId="15" applyFont="true" applyBorder="true" applyAlignment="true" applyProtection="true">
      <alignment horizontal="general" vertical="bottom" textRotation="0" wrapText="false" indent="0" shrinkToFit="false"/>
      <protection locked="true" hidden="false"/>
    </xf>
    <xf numFmtId="248" fontId="28" fillId="0" borderId="3" xfId="0" applyFont="true" applyBorder="true" applyAlignment="false" applyProtection="false">
      <alignment horizontal="general" vertical="bottom" textRotation="0" wrapText="false" indent="0" shrinkToFit="false"/>
      <protection locked="true" hidden="false"/>
    </xf>
    <xf numFmtId="248" fontId="28" fillId="0" borderId="7" xfId="0" applyFont="true" applyBorder="true" applyAlignment="false" applyProtection="false">
      <alignment horizontal="general" vertical="bottom" textRotation="0" wrapText="false" indent="0" shrinkToFit="false"/>
      <protection locked="true" hidden="false"/>
    </xf>
    <xf numFmtId="170" fontId="28" fillId="0" borderId="0" xfId="0" applyFont="true" applyBorder="false" applyAlignment="false" applyProtection="false">
      <alignment horizontal="general" vertical="bottom" textRotation="0" wrapText="false" indent="0" shrinkToFit="false"/>
      <protection locked="true" hidden="false"/>
    </xf>
    <xf numFmtId="248" fontId="28" fillId="0" borderId="0" xfId="0" applyFont="true" applyBorder="false" applyAlignment="false" applyProtection="false">
      <alignment horizontal="general" vertical="bottom" textRotation="0" wrapText="false" indent="0" shrinkToFit="false"/>
      <protection locked="true" hidden="false"/>
    </xf>
    <xf numFmtId="193" fontId="28" fillId="0" borderId="0" xfId="15" applyFont="true" applyBorder="true" applyAlignment="true" applyProtection="true">
      <alignment horizontal="general" vertical="bottom" textRotation="0" wrapText="false" indent="0" shrinkToFit="false"/>
      <protection locked="true" hidden="false"/>
    </xf>
    <xf numFmtId="169" fontId="112" fillId="0" borderId="9" xfId="0" applyFont="true" applyBorder="true" applyAlignment="false" applyProtection="false">
      <alignment horizontal="general" vertical="bottom" textRotation="0" wrapText="false" indent="0" shrinkToFit="false"/>
      <protection locked="true" hidden="false"/>
    </xf>
    <xf numFmtId="248" fontId="28" fillId="0" borderId="9" xfId="15" applyFont="true" applyBorder="true" applyAlignment="true" applyProtection="true">
      <alignment horizontal="general" vertical="bottom" textRotation="0" wrapText="false" indent="0" shrinkToFit="false"/>
      <protection locked="true" hidden="false"/>
    </xf>
    <xf numFmtId="243" fontId="112" fillId="0" borderId="0" xfId="19" applyFont="true" applyBorder="true" applyAlignment="true" applyProtection="true">
      <alignment horizontal="general" vertical="bottom" textRotation="0" wrapText="false" indent="0" shrinkToFit="false"/>
      <protection locked="true" hidden="false"/>
    </xf>
    <xf numFmtId="193" fontId="28" fillId="0" borderId="3" xfId="15" applyFont="true" applyBorder="true" applyAlignment="true" applyProtection="true">
      <alignment horizontal="general" vertical="bottom" textRotation="0" wrapText="false" indent="0" shrinkToFit="false"/>
      <protection locked="true" hidden="false"/>
    </xf>
    <xf numFmtId="248" fontId="28" fillId="0" borderId="3" xfId="15" applyFont="true" applyBorder="true" applyAlignment="true" applyProtection="true">
      <alignment horizontal="general" vertical="bottom" textRotation="0" wrapText="false" indent="0" shrinkToFit="false"/>
      <protection locked="true" hidden="false"/>
    </xf>
    <xf numFmtId="248" fontId="28" fillId="0" borderId="7" xfId="15" applyFont="true" applyBorder="true" applyAlignment="true" applyProtection="true">
      <alignment horizontal="general" vertical="bottom" textRotation="0" wrapText="false" indent="0" shrinkToFit="false"/>
      <protection locked="true" hidden="false"/>
    </xf>
    <xf numFmtId="244" fontId="112" fillId="0" borderId="0" xfId="19" applyFont="true" applyBorder="true" applyAlignment="true" applyProtection="true">
      <alignment horizontal="general" vertical="bottom" textRotation="0" wrapText="false" indent="0" shrinkToFit="false"/>
      <protection locked="true" hidden="false"/>
    </xf>
    <xf numFmtId="243" fontId="57" fillId="0" borderId="3" xfId="19" applyFont="true" applyBorder="true" applyAlignment="true" applyProtection="true">
      <alignment horizontal="general" vertical="bottom" textRotation="0" wrapText="false" indent="0" shrinkToFit="false"/>
      <protection locked="true" hidden="false"/>
    </xf>
    <xf numFmtId="193" fontId="28" fillId="0" borderId="3" xfId="0" applyFont="true" applyBorder="true" applyAlignment="false" applyProtection="false">
      <alignment horizontal="general" vertical="bottom" textRotation="0" wrapText="false" indent="0" shrinkToFit="false"/>
      <protection locked="true" hidden="false"/>
    </xf>
    <xf numFmtId="262" fontId="28" fillId="0" borderId="0" xfId="15" applyFont="true" applyBorder="true" applyAlignment="true" applyProtection="true">
      <alignment horizontal="general" vertical="bottom" textRotation="0" wrapText="false" indent="0" shrinkToFit="false"/>
      <protection locked="true" hidden="false"/>
    </xf>
    <xf numFmtId="169" fontId="112" fillId="0" borderId="9" xfId="0" applyFont="true" applyBorder="true" applyAlignment="false" applyProtection="false">
      <alignment horizontal="general" vertical="bottom" textRotation="0" wrapText="false" indent="0" shrinkToFit="false"/>
      <protection locked="true" hidden="false"/>
    </xf>
    <xf numFmtId="263" fontId="28" fillId="0" borderId="9" xfId="15" applyFont="true" applyBorder="true" applyAlignment="true" applyProtection="true">
      <alignment horizontal="general" vertical="bottom" textRotation="0" wrapText="false" indent="0" shrinkToFit="false"/>
      <protection locked="true" hidden="false"/>
    </xf>
    <xf numFmtId="164" fontId="28" fillId="0" borderId="5" xfId="0" applyFont="true" applyBorder="true" applyAlignment="false" applyProtection="false">
      <alignment horizontal="general" vertical="bottom" textRotation="0" wrapText="false" indent="0" shrinkToFit="false"/>
      <protection locked="true" hidden="false"/>
    </xf>
    <xf numFmtId="244" fontId="28" fillId="0" borderId="0" xfId="19" applyFont="true" applyBorder="true" applyAlignment="true" applyProtection="true">
      <alignment horizontal="general" vertical="bottom" textRotation="0" wrapText="false" indent="0" shrinkToFit="false"/>
      <protection locked="true" hidden="false"/>
    </xf>
    <xf numFmtId="248" fontId="28" fillId="0" borderId="0" xfId="0" applyFont="true" applyBorder="true" applyAlignment="false" applyProtection="false">
      <alignment horizontal="general" vertical="bottom" textRotation="0" wrapText="false" indent="0" shrinkToFit="false"/>
      <protection locked="true" hidden="false"/>
    </xf>
    <xf numFmtId="248" fontId="28" fillId="0" borderId="11"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false" applyAlignment="false" applyProtection="false">
      <alignment horizontal="general" vertical="bottom" textRotation="0" wrapText="false" indent="0" shrinkToFit="false"/>
      <protection locked="true" hidden="false"/>
    </xf>
    <xf numFmtId="193" fontId="28" fillId="0" borderId="0" xfId="0" applyFont="true" applyBorder="false" applyAlignment="false" applyProtection="false">
      <alignment horizontal="general" vertical="bottom" textRotation="0" wrapText="false" indent="0" shrinkToFit="false"/>
      <protection locked="true" hidden="false"/>
    </xf>
    <xf numFmtId="164" fontId="63" fillId="0" borderId="23" xfId="0" applyFont="true" applyBorder="true" applyAlignment="false" applyProtection="false">
      <alignment horizontal="general" vertical="bottom" textRotation="0" wrapText="false" indent="0" shrinkToFit="false"/>
      <protection locked="true" hidden="false"/>
    </xf>
    <xf numFmtId="164" fontId="28" fillId="0" borderId="16" xfId="0" applyFont="true" applyBorder="true" applyAlignment="false" applyProtection="false">
      <alignment horizontal="general" vertical="bottom" textRotation="0" wrapText="false" indent="0" shrinkToFit="false"/>
      <protection locked="true" hidden="false"/>
    </xf>
    <xf numFmtId="248" fontId="28" fillId="0" borderId="16" xfId="15" applyFont="true" applyBorder="true" applyAlignment="true" applyProtection="true">
      <alignment horizontal="general" vertical="bottom" textRotation="0" wrapText="false" indent="0" shrinkToFit="false"/>
      <protection locked="true" hidden="false"/>
    </xf>
    <xf numFmtId="248" fontId="28" fillId="0" borderId="17" xfId="15" applyFont="true" applyBorder="true" applyAlignment="true" applyProtection="true">
      <alignment horizontal="general" vertical="bottom" textRotation="0" wrapText="false" indent="0" shrinkToFit="false"/>
      <protection locked="true" hidden="false"/>
    </xf>
    <xf numFmtId="164" fontId="28" fillId="0" borderId="18" xfId="0" applyFont="true" applyBorder="true" applyAlignment="false" applyProtection="false">
      <alignment horizontal="general" vertical="bottom" textRotation="0" wrapText="false" indent="0" shrinkToFit="false"/>
      <protection locked="true" hidden="false"/>
    </xf>
    <xf numFmtId="247" fontId="28" fillId="0" borderId="19" xfId="17" applyFont="true" applyBorder="true" applyAlignment="true" applyProtection="true">
      <alignment horizontal="general" vertical="bottom" textRotation="0" wrapText="false" indent="0" shrinkToFit="false"/>
      <protection locked="true" hidden="false"/>
    </xf>
    <xf numFmtId="248" fontId="28" fillId="0" borderId="19" xfId="15" applyFont="true" applyBorder="true" applyAlignment="true" applyProtection="true">
      <alignment horizontal="general" vertical="bottom" textRotation="0" wrapText="false" indent="0" shrinkToFit="false"/>
      <protection locked="true" hidden="false"/>
    </xf>
    <xf numFmtId="169" fontId="112" fillId="0" borderId="0" xfId="0" applyFont="true" applyBorder="true" applyAlignment="false" applyProtection="false">
      <alignment horizontal="general" vertical="bottom" textRotation="0" wrapText="false" indent="0" shrinkToFit="false"/>
      <protection locked="true" hidden="false"/>
    </xf>
    <xf numFmtId="164" fontId="28" fillId="0" borderId="18" xfId="0" applyFont="true" applyBorder="true" applyAlignment="false" applyProtection="false">
      <alignment horizontal="general" vertical="bottom" textRotation="0" wrapText="false" indent="0" shrinkToFit="false"/>
      <protection locked="true" hidden="false"/>
    </xf>
    <xf numFmtId="193" fontId="28" fillId="0" borderId="0" xfId="0" applyFont="true" applyBorder="true" applyAlignment="false" applyProtection="false">
      <alignment horizontal="general" vertical="bottom" textRotation="0" wrapText="false" indent="0" shrinkToFit="false"/>
      <protection locked="true" hidden="false"/>
    </xf>
    <xf numFmtId="193" fontId="28" fillId="0" borderId="19" xfId="0" applyFont="true" applyBorder="true" applyAlignment="false" applyProtection="false">
      <alignment horizontal="general" vertical="bottom" textRotation="0" wrapText="false" indent="0" shrinkToFit="false"/>
      <protection locked="true" hidden="false"/>
    </xf>
    <xf numFmtId="164" fontId="28" fillId="0" borderId="21" xfId="0" applyFont="true" applyBorder="true" applyAlignment="false" applyProtection="false">
      <alignment horizontal="general" vertical="bottom" textRotation="0" wrapText="false" indent="0" shrinkToFit="false"/>
      <protection locked="true" hidden="false"/>
    </xf>
    <xf numFmtId="243" fontId="28" fillId="0" borderId="20" xfId="19" applyFont="true" applyBorder="true" applyAlignment="true" applyProtection="true">
      <alignment horizontal="general" vertical="bottom" textRotation="0" wrapText="false" indent="0" shrinkToFit="false"/>
      <protection locked="true" hidden="false"/>
    </xf>
    <xf numFmtId="164" fontId="28" fillId="0" borderId="20" xfId="0" applyFont="true" applyBorder="true" applyAlignment="false" applyProtection="false">
      <alignment horizontal="general" vertical="bottom" textRotation="0" wrapText="false" indent="0" shrinkToFit="false"/>
      <protection locked="true" hidden="false"/>
    </xf>
    <xf numFmtId="248" fontId="28" fillId="0" borderId="20" xfId="0" applyFont="true" applyBorder="true" applyAlignment="false" applyProtection="false">
      <alignment horizontal="general" vertical="bottom" textRotation="0" wrapText="false" indent="0" shrinkToFit="false"/>
      <protection locked="true" hidden="false"/>
    </xf>
    <xf numFmtId="248" fontId="28" fillId="0" borderId="22" xfId="0" applyFont="true" applyBorder="true" applyAlignment="false" applyProtection="false">
      <alignment horizontal="general" vertical="bottom" textRotation="0" wrapText="false" indent="0" shrinkToFit="false"/>
      <protection locked="true" hidden="false"/>
    </xf>
    <xf numFmtId="169" fontId="28" fillId="0" borderId="5" xfId="0" applyFont="true" applyBorder="true" applyAlignment="false" applyProtection="false">
      <alignment horizontal="general" vertical="bottom" textRotation="0" wrapText="false" indent="0" shrinkToFit="false"/>
      <protection locked="true" hidden="false"/>
    </xf>
    <xf numFmtId="243" fontId="28" fillId="0" borderId="11" xfId="0" applyFont="true" applyBorder="true" applyAlignment="false" applyProtection="false">
      <alignment horizontal="general" vertical="bottom" textRotation="0" wrapText="false" indent="0" shrinkToFit="false"/>
      <protection locked="true" hidden="false"/>
    </xf>
    <xf numFmtId="235" fontId="63" fillId="0" borderId="0" xfId="0" applyFont="true" applyBorder="false" applyAlignment="false" applyProtection="false">
      <alignment horizontal="general" vertical="bottom" textRotation="0" wrapText="false" indent="0" shrinkToFit="false"/>
      <protection locked="true" hidden="false"/>
    </xf>
    <xf numFmtId="235" fontId="114" fillId="0" borderId="0" xfId="1237" applyFont="true" applyBorder="true" applyAlignment="true" applyProtection="true">
      <alignment horizontal="left" vertical="bottom" textRotation="0" wrapText="false" indent="0" shrinkToFit="false"/>
      <protection locked="true" hidden="false"/>
    </xf>
    <xf numFmtId="235" fontId="114" fillId="0" borderId="0" xfId="1237" applyFont="true" applyBorder="true" applyAlignment="true" applyProtection="true">
      <alignment horizontal="general" vertical="bottom" textRotation="0" wrapText="false" indent="0" shrinkToFit="false"/>
      <protection locked="true" hidden="false"/>
    </xf>
    <xf numFmtId="235" fontId="115" fillId="0" borderId="0" xfId="1237" applyFont="true" applyBorder="true" applyAlignment="true" applyProtection="true">
      <alignment horizontal="general" vertical="bottom" textRotation="0" wrapText="false" indent="0" shrinkToFit="false"/>
      <protection locked="true" hidden="false"/>
    </xf>
    <xf numFmtId="247" fontId="115" fillId="0" borderId="0" xfId="17" applyFont="true" applyBorder="true" applyAlignment="true" applyProtection="true">
      <alignment horizontal="general" vertical="bottom" textRotation="0" wrapText="false" indent="0" shrinkToFit="false"/>
      <protection locked="true" hidden="false"/>
    </xf>
    <xf numFmtId="247" fontId="115" fillId="0" borderId="8" xfId="17" applyFont="true" applyBorder="true" applyAlignment="true" applyProtection="true">
      <alignment horizontal="general" vertical="bottom" textRotation="0" wrapText="false" indent="0" shrinkToFit="false"/>
      <protection locked="true" hidden="false"/>
    </xf>
    <xf numFmtId="243" fontId="115" fillId="0" borderId="0" xfId="19" applyFont="true" applyBorder="true" applyAlignment="true" applyProtection="true">
      <alignment horizontal="general" vertical="bottom" textRotation="0" wrapText="false" indent="0" shrinkToFit="false"/>
      <protection locked="true" hidden="false"/>
    </xf>
    <xf numFmtId="247" fontId="115" fillId="9" borderId="0" xfId="17" applyFont="true" applyBorder="true" applyAlignment="true" applyProtection="true">
      <alignment horizontal="general" vertical="bottom" textRotation="0" wrapText="false" indent="0" shrinkToFit="false"/>
      <protection locked="true" hidden="false"/>
    </xf>
    <xf numFmtId="247" fontId="114" fillId="0" borderId="0" xfId="17" applyFont="true" applyBorder="true" applyAlignment="true" applyProtection="true">
      <alignment horizontal="general" vertical="bottom" textRotation="0" wrapText="false" indent="0" shrinkToFit="false"/>
      <protection locked="true" hidden="false"/>
    </xf>
    <xf numFmtId="193" fontId="115" fillId="0" borderId="0" xfId="15" applyFont="true" applyBorder="true" applyAlignment="true" applyProtection="true">
      <alignment horizontal="general" vertical="bottom" textRotation="0" wrapText="false" indent="0" shrinkToFit="false"/>
      <protection locked="true" hidden="false"/>
    </xf>
    <xf numFmtId="164" fontId="28" fillId="0" borderId="0" xfId="0" applyFont="true" applyBorder="false" applyAlignment="true" applyProtection="false">
      <alignment horizontal="right" vertical="bottom" textRotation="0" wrapText="false" indent="0" shrinkToFit="false"/>
      <protection locked="true" hidden="false"/>
    </xf>
    <xf numFmtId="244" fontId="28" fillId="0" borderId="0" xfId="19" applyFont="true" applyBorder="true" applyAlignment="true" applyProtection="true">
      <alignment horizontal="general" vertical="bottom" textRotation="0" wrapText="false" indent="0" shrinkToFit="false"/>
      <protection locked="true" hidden="false"/>
    </xf>
    <xf numFmtId="193" fontId="115" fillId="0" borderId="0" xfId="15" applyFont="true" applyBorder="true" applyAlignment="true" applyProtection="true">
      <alignment horizontal="general" vertical="bottom" textRotation="0" wrapText="false" indent="0" shrinkToFit="false"/>
      <protection locked="true" hidden="false"/>
    </xf>
    <xf numFmtId="242" fontId="63" fillId="0" borderId="0" xfId="0" applyFont="true" applyBorder="false" applyAlignment="false" applyProtection="false">
      <alignment horizontal="general" vertical="bottom" textRotation="0" wrapText="false" indent="0" shrinkToFit="false"/>
      <protection locked="true" hidden="false"/>
    </xf>
    <xf numFmtId="193" fontId="0" fillId="0" borderId="0" xfId="0" applyFont="false" applyBorder="false" applyAlignment="false" applyProtection="false">
      <alignment horizontal="general" vertical="bottom" textRotation="0" wrapText="false" indent="0" shrinkToFit="false"/>
      <protection locked="true" hidden="false"/>
    </xf>
    <xf numFmtId="206" fontId="25" fillId="0" borderId="0" xfId="1237" applyFont="false" applyBorder="true" applyAlignment="true" applyProtection="true">
      <alignment horizontal="general" vertical="bottom" textRotation="0" wrapText="false" indent="0" shrinkToFit="false"/>
      <protection locked="true" hidden="false"/>
    </xf>
    <xf numFmtId="235" fontId="25" fillId="0" borderId="0" xfId="1237" applyFont="false" applyBorder="true" applyAlignment="true" applyProtection="true">
      <alignment horizontal="general" vertical="bottom" textRotation="0" wrapText="false" indent="0" shrinkToFit="false"/>
      <protection locked="true" hidden="false"/>
    </xf>
    <xf numFmtId="224" fontId="107" fillId="0" borderId="0" xfId="0" applyFont="true" applyBorder="true" applyAlignment="false" applyProtection="false">
      <alignment horizontal="general" vertical="bottom" textRotation="0" wrapText="false" indent="0" shrinkToFit="false"/>
      <protection locked="true" hidden="false"/>
    </xf>
    <xf numFmtId="224" fontId="107" fillId="0" borderId="11" xfId="0" applyFont="true" applyBorder="true" applyAlignment="false" applyProtection="false">
      <alignment horizontal="general" vertical="bottom" textRotation="0" wrapText="false" indent="0" shrinkToFit="false"/>
      <protection locked="true" hidden="false"/>
    </xf>
    <xf numFmtId="244" fontId="57" fillId="0" borderId="0" xfId="0" applyFont="true" applyBorder="true" applyAlignment="false" applyProtection="false">
      <alignment horizontal="general" vertical="bottom" textRotation="0" wrapText="false" indent="0" shrinkToFit="false"/>
      <protection locked="true" hidden="false"/>
    </xf>
    <xf numFmtId="244" fontId="57" fillId="0" borderId="11" xfId="0" applyFont="true" applyBorder="true" applyAlignment="false" applyProtection="false">
      <alignment horizontal="general" vertical="bottom" textRotation="0" wrapText="false" indent="0" shrinkToFit="false"/>
      <protection locked="true" hidden="false"/>
    </xf>
    <xf numFmtId="200" fontId="57" fillId="0" borderId="0" xfId="0" applyFont="true" applyBorder="true" applyAlignment="false" applyProtection="true">
      <alignment horizontal="general" vertical="bottom" textRotation="0" wrapText="false" indent="0" shrinkToFit="false"/>
      <protection locked="true" hidden="false"/>
    </xf>
    <xf numFmtId="200" fontId="57" fillId="0" borderId="11" xfId="0" applyFont="true" applyBorder="true" applyAlignment="false" applyProtection="true">
      <alignment horizontal="general" vertical="bottom" textRotation="0" wrapText="false" indent="0" shrinkToFit="false"/>
      <protection locked="true" hidden="false"/>
    </xf>
    <xf numFmtId="244" fontId="57" fillId="0" borderId="0" xfId="19" applyFont="true" applyBorder="true" applyAlignment="true" applyProtection="true">
      <alignment horizontal="general" vertical="bottom" textRotation="0" wrapText="false" indent="0" shrinkToFit="false"/>
      <protection locked="true" hidden="false"/>
    </xf>
    <xf numFmtId="170" fontId="28" fillId="0" borderId="0" xfId="0" applyFont="true" applyBorder="true" applyAlignment="false" applyProtection="false">
      <alignment horizontal="general" vertical="bottom" textRotation="0" wrapText="false" indent="0" shrinkToFit="false"/>
      <protection locked="true" hidden="false"/>
    </xf>
    <xf numFmtId="200" fontId="28" fillId="0" borderId="0" xfId="0" applyFont="true" applyBorder="true" applyAlignment="false" applyProtection="false">
      <alignment horizontal="general" vertical="bottom" textRotation="0" wrapText="false" indent="0" shrinkToFit="false"/>
      <protection locked="true" hidden="false"/>
    </xf>
    <xf numFmtId="229" fontId="57" fillId="0" borderId="0" xfId="0" applyFont="true" applyBorder="true" applyAlignment="true" applyProtection="false">
      <alignment horizontal="right" vertical="bottom" textRotation="0" wrapText="false" indent="0" shrinkToFit="false"/>
      <protection locked="true" hidden="false"/>
    </xf>
    <xf numFmtId="229" fontId="57" fillId="0" borderId="11" xfId="0" applyFont="true" applyBorder="true" applyAlignment="true" applyProtection="false">
      <alignment horizontal="right" vertical="bottom" textRotation="0" wrapText="false" indent="0" shrinkToFit="false"/>
      <protection locked="true" hidden="false"/>
    </xf>
    <xf numFmtId="229" fontId="57" fillId="0" borderId="0" xfId="0" applyFont="true" applyBorder="true" applyAlignment="false" applyProtection="false">
      <alignment horizontal="general" vertical="bottom" textRotation="0" wrapText="false" indent="0" shrinkToFit="false"/>
      <protection locked="true" hidden="false"/>
    </xf>
    <xf numFmtId="229" fontId="57" fillId="0" borderId="11" xfId="0" applyFont="true" applyBorder="true" applyAlignment="false" applyProtection="false">
      <alignment horizontal="general" vertical="bottom" textRotation="0" wrapText="false" indent="0" shrinkToFit="false"/>
      <protection locked="true" hidden="false"/>
    </xf>
    <xf numFmtId="193" fontId="57" fillId="0" borderId="0" xfId="0" applyFont="true" applyBorder="true" applyAlignment="true" applyProtection="false">
      <alignment horizontal="right" vertical="bottom" textRotation="0" wrapText="false" indent="0" shrinkToFit="false"/>
      <protection locked="true" hidden="false"/>
    </xf>
    <xf numFmtId="193" fontId="57" fillId="0" borderId="11" xfId="0" applyFont="true" applyBorder="true" applyAlignment="true" applyProtection="false">
      <alignment horizontal="right" vertical="bottom" textRotation="0" wrapText="false" indent="0" shrinkToFit="false"/>
      <protection locked="true" hidden="false"/>
    </xf>
    <xf numFmtId="244" fontId="57" fillId="0" borderId="11" xfId="19" applyFont="true" applyBorder="true" applyAlignment="true" applyProtection="true">
      <alignment horizontal="general" vertical="bottom" textRotation="0" wrapText="false" indent="0" shrinkToFit="false"/>
      <protection locked="true" hidden="false"/>
    </xf>
    <xf numFmtId="244" fontId="57" fillId="0" borderId="3" xfId="19" applyFont="true" applyBorder="true" applyAlignment="true" applyProtection="true">
      <alignment horizontal="general" vertical="bottom" textRotation="0" wrapText="false" indent="0" shrinkToFit="false"/>
      <protection locked="true" hidden="false"/>
    </xf>
    <xf numFmtId="244" fontId="57" fillId="0" borderId="7" xfId="19" applyFont="true" applyBorder="true" applyAlignment="true" applyProtection="true">
      <alignment horizontal="general" vertical="bottom" textRotation="0" wrapText="false" indent="0" shrinkToFit="false"/>
      <protection locked="true" hidden="false"/>
    </xf>
    <xf numFmtId="258" fontId="28" fillId="0" borderId="0" xfId="0" applyFont="true" applyBorder="false" applyAlignment="false" applyProtection="false">
      <alignment horizontal="general" vertical="bottom" textRotation="0" wrapText="false" indent="0" shrinkToFit="false"/>
      <protection locked="true" hidden="false"/>
    </xf>
    <xf numFmtId="164" fontId="96" fillId="0" borderId="0" xfId="0" applyFont="true" applyBorder="true" applyAlignment="false" applyProtection="false">
      <alignment horizontal="general" vertical="bottom" textRotation="0" wrapText="false" indent="0" shrinkToFit="false"/>
      <protection locked="true" hidden="false"/>
    </xf>
    <xf numFmtId="235" fontId="66" fillId="0" borderId="0" xfId="1237" applyFont="true" applyBorder="true" applyAlignment="true" applyProtection="true">
      <alignment horizontal="general" vertical="bottom" textRotation="0" wrapText="false" indent="0" shrinkToFit="false"/>
      <protection locked="true" hidden="false"/>
    </xf>
    <xf numFmtId="235" fontId="25" fillId="0" borderId="0" xfId="1237" applyFont="false" applyBorder="true" applyAlignment="true" applyProtection="true">
      <alignment horizontal="general" vertical="bottom" textRotation="0" wrapText="false" indent="0" shrinkToFit="false"/>
      <protection locked="true" hidden="false"/>
    </xf>
    <xf numFmtId="261" fontId="25" fillId="0" borderId="0" xfId="1237" applyFont="false" applyBorder="true" applyAlignment="true" applyProtection="true">
      <alignment horizontal="general" vertical="bottom" textRotation="0" wrapText="false" indent="0" shrinkToFit="false"/>
      <protection locked="true" hidden="false"/>
    </xf>
    <xf numFmtId="246" fontId="28" fillId="0" borderId="0" xfId="0" applyFont="true" applyBorder="false" applyAlignment="false" applyProtection="false">
      <alignment horizontal="general" vertical="bottom" textRotation="0" wrapText="false" indent="0" shrinkToFit="false"/>
      <protection locked="true" hidden="false"/>
    </xf>
    <xf numFmtId="240" fontId="66" fillId="0" borderId="10" xfId="1237" applyFont="true" applyBorder="true" applyAlignment="true" applyProtection="true">
      <alignment horizontal="general" vertical="bottom" textRotation="0" wrapText="false" indent="0" shrinkToFit="false"/>
      <protection locked="true" hidden="false"/>
    </xf>
    <xf numFmtId="240" fontId="66" fillId="0" borderId="6" xfId="1237" applyFont="true" applyBorder="true" applyAlignment="true" applyProtection="true">
      <alignment horizontal="general" vertical="bottom" textRotation="0" wrapText="false" indent="0" shrinkToFit="false"/>
      <protection locked="true" hidden="false"/>
    </xf>
    <xf numFmtId="240" fontId="57" fillId="0" borderId="3" xfId="1237" applyFont="true" applyBorder="true" applyAlignment="true" applyProtection="true">
      <alignment horizontal="general" vertical="bottom" textRotation="0" wrapText="false" indent="0" shrinkToFit="false"/>
      <protection locked="true" hidden="false"/>
    </xf>
    <xf numFmtId="240" fontId="57" fillId="0" borderId="7" xfId="1237" applyFont="true" applyBorder="true" applyAlignment="true" applyProtection="true">
      <alignment horizontal="general" vertical="bottom" textRotation="0" wrapText="false" indent="0" shrinkToFit="false"/>
      <protection locked="true" hidden="false"/>
    </xf>
    <xf numFmtId="235" fontId="66" fillId="0" borderId="4" xfId="1237" applyFont="true" applyBorder="true" applyAlignment="true" applyProtection="true">
      <alignment horizontal="left" vertical="bottom" textRotation="0" wrapText="false" indent="0" shrinkToFit="false"/>
      <protection locked="true" hidden="false"/>
    </xf>
    <xf numFmtId="235" fontId="57" fillId="0" borderId="9" xfId="1237" applyFont="true" applyBorder="true" applyAlignment="true" applyProtection="true">
      <alignment horizontal="general" vertical="bottom" textRotation="0" wrapText="false" indent="0" shrinkToFit="false"/>
      <protection locked="true" hidden="false"/>
    </xf>
    <xf numFmtId="260" fontId="67" fillId="0" borderId="9" xfId="15" applyFont="true" applyBorder="true" applyAlignment="true" applyProtection="true">
      <alignment horizontal="general" vertical="bottom" textRotation="0" wrapText="false" indent="0" shrinkToFit="false"/>
      <protection locked="true" hidden="false"/>
    </xf>
    <xf numFmtId="260" fontId="67" fillId="0" borderId="5" xfId="15" applyFont="true" applyBorder="true" applyAlignment="true" applyProtection="true">
      <alignment horizontal="general" vertical="bottom" textRotation="0" wrapText="false" indent="0" shrinkToFit="false"/>
      <protection locked="true" hidden="false"/>
    </xf>
    <xf numFmtId="185" fontId="57" fillId="0" borderId="10" xfId="915" applyFont="true" applyBorder="true" applyAlignment="true" applyProtection="true">
      <alignment horizontal="general" vertical="bottom" textRotation="0" wrapText="false" indent="0" shrinkToFit="false"/>
      <protection locked="true" hidden="false"/>
    </xf>
    <xf numFmtId="258" fontId="57" fillId="0" borderId="0" xfId="915" applyFont="true" applyBorder="true" applyAlignment="true" applyProtection="true">
      <alignment horizontal="general" vertical="bottom" textRotation="0" wrapText="false" indent="0" shrinkToFit="false"/>
      <protection locked="true" hidden="false"/>
    </xf>
    <xf numFmtId="258" fontId="57" fillId="0" borderId="11" xfId="915" applyFont="true" applyBorder="true" applyAlignment="true" applyProtection="true">
      <alignment horizontal="general" vertical="bottom" textRotation="0" wrapText="false" indent="0" shrinkToFit="false"/>
      <protection locked="true" hidden="false"/>
    </xf>
    <xf numFmtId="258" fontId="108" fillId="0" borderId="0" xfId="915" applyFont="true" applyBorder="true" applyAlignment="true" applyProtection="true">
      <alignment horizontal="general" vertical="bottom" textRotation="0" wrapText="false" indent="0" shrinkToFit="false"/>
      <protection locked="true" hidden="false"/>
    </xf>
    <xf numFmtId="258" fontId="108" fillId="0" borderId="11" xfId="915" applyFont="true" applyBorder="true" applyAlignment="true" applyProtection="true">
      <alignment horizontal="general" vertical="bottom" textRotation="0" wrapText="false" indent="0" shrinkToFit="false"/>
      <protection locked="true" hidden="false"/>
    </xf>
    <xf numFmtId="235" fontId="66" fillId="0" borderId="6" xfId="1237" applyFont="true" applyBorder="true" applyAlignment="true" applyProtection="true">
      <alignment horizontal="left" vertical="bottom" textRotation="0" wrapText="false" indent="0" shrinkToFit="false"/>
      <protection locked="true" hidden="false"/>
    </xf>
    <xf numFmtId="247" fontId="57" fillId="0" borderId="3" xfId="17" applyFont="true" applyBorder="true" applyAlignment="true" applyProtection="true">
      <alignment horizontal="general" vertical="bottom" textRotation="0" wrapText="false" indent="0" shrinkToFit="false"/>
      <protection locked="true" hidden="false"/>
    </xf>
    <xf numFmtId="247" fontId="57" fillId="0" borderId="7" xfId="17" applyFont="true" applyBorder="true" applyAlignment="true" applyProtection="true">
      <alignment horizontal="general" vertical="bottom" textRotation="0" wrapText="false" indent="0" shrinkToFit="false"/>
      <protection locked="true" hidden="false"/>
    </xf>
    <xf numFmtId="235" fontId="57" fillId="0" borderId="20" xfId="1237" applyFont="true" applyBorder="true" applyAlignment="true" applyProtection="true">
      <alignment horizontal="left" vertical="bottom" textRotation="0" wrapText="false" indent="0" shrinkToFit="false"/>
      <protection locked="true" hidden="false"/>
    </xf>
    <xf numFmtId="235" fontId="57" fillId="0" borderId="20" xfId="1237" applyFont="true" applyBorder="true" applyAlignment="true" applyProtection="true">
      <alignment horizontal="general" vertical="bottom" textRotation="0" wrapText="false" indent="0" shrinkToFit="false"/>
      <protection locked="true" hidden="false"/>
    </xf>
    <xf numFmtId="244" fontId="57" fillId="0" borderId="20" xfId="19" applyFont="true" applyBorder="true" applyAlignment="true" applyProtection="true">
      <alignment horizontal="general" vertical="bottom" textRotation="0" wrapText="false" indent="0" shrinkToFit="false"/>
      <protection locked="true" hidden="false"/>
    </xf>
    <xf numFmtId="185" fontId="57" fillId="0" borderId="9" xfId="915" applyFont="true" applyBorder="true" applyAlignment="true" applyProtection="true">
      <alignment horizontal="general" vertical="bottom" textRotation="0" wrapText="false" indent="0" shrinkToFit="false"/>
      <protection locked="true" hidden="false"/>
    </xf>
    <xf numFmtId="185" fontId="57" fillId="0" borderId="5" xfId="915" applyFont="true" applyBorder="true" applyAlignment="true" applyProtection="true">
      <alignment horizontal="general" vertical="bottom" textRotation="0" wrapText="false" indent="0" shrinkToFit="false"/>
      <protection locked="true" hidden="false"/>
    </xf>
    <xf numFmtId="235" fontId="66" fillId="0" borderId="10" xfId="1237" applyFont="true" applyBorder="true" applyAlignment="true" applyProtection="true">
      <alignment horizontal="left" vertical="bottom" textRotation="0" wrapText="false" indent="0" shrinkToFit="false"/>
      <protection locked="true" hidden="false"/>
    </xf>
    <xf numFmtId="164" fontId="111" fillId="0" borderId="10" xfId="0" applyFont="true" applyBorder="true" applyAlignment="true" applyProtection="true">
      <alignment horizontal="left" vertical="bottom" textRotation="0" wrapText="false" indent="0" shrinkToFit="false"/>
      <protection locked="true" hidden="false"/>
    </xf>
    <xf numFmtId="169" fontId="57" fillId="0" borderId="0" xfId="17" applyFont="true" applyBorder="true" applyAlignment="true" applyProtection="true">
      <alignment horizontal="general" vertical="bottom" textRotation="0" wrapText="false" indent="0" shrinkToFit="false"/>
      <protection locked="true" hidden="false"/>
    </xf>
    <xf numFmtId="169" fontId="108" fillId="0" borderId="0" xfId="17" applyFont="true" applyBorder="true" applyAlignment="true" applyProtection="true">
      <alignment horizontal="general" vertical="bottom" textRotation="0" wrapText="false" indent="0" shrinkToFit="false"/>
      <protection locked="true" hidden="false"/>
    </xf>
    <xf numFmtId="169" fontId="107" fillId="0" borderId="0" xfId="17" applyFont="true" applyBorder="true" applyAlignment="true" applyProtection="true">
      <alignment horizontal="general" vertical="bottom" textRotation="0" wrapText="false" indent="0" shrinkToFit="false"/>
      <protection locked="true" hidden="false"/>
    </xf>
    <xf numFmtId="169" fontId="107" fillId="0" borderId="11" xfId="17" applyFont="true" applyBorder="true" applyAlignment="true" applyProtection="true">
      <alignment horizontal="general" vertical="bottom" textRotation="0" wrapText="false" indent="0" shrinkToFit="false"/>
      <protection locked="true" hidden="false"/>
    </xf>
    <xf numFmtId="235" fontId="66" fillId="0" borderId="0" xfId="1237" applyFont="true" applyBorder="true" applyAlignment="true" applyProtection="true">
      <alignment horizontal="right" vertical="bottom" textRotation="0" wrapText="false" indent="0" shrinkToFit="false"/>
      <protection locked="true" hidden="false"/>
    </xf>
    <xf numFmtId="235" fontId="66" fillId="0" borderId="11" xfId="1237" applyFont="true" applyBorder="true" applyAlignment="true" applyProtection="true">
      <alignment horizontal="right" vertical="bottom" textRotation="0" wrapText="false" indent="0" shrinkToFit="false"/>
      <protection locked="true" hidden="false"/>
    </xf>
    <xf numFmtId="235" fontId="57" fillId="0" borderId="24" xfId="1237" applyFont="true" applyBorder="true" applyAlignment="true" applyProtection="true">
      <alignment horizontal="general" vertical="bottom" textRotation="0" wrapText="false" indent="0" shrinkToFit="false"/>
      <protection locked="true" hidden="false"/>
    </xf>
    <xf numFmtId="169" fontId="57" fillId="0" borderId="11" xfId="17" applyFont="true" applyBorder="true" applyAlignment="true" applyProtection="true">
      <alignment horizontal="general" vertical="bottom" textRotation="0" wrapText="false" indent="0" shrinkToFit="false"/>
      <protection locked="true" hidden="false"/>
    </xf>
    <xf numFmtId="235" fontId="57" fillId="0" borderId="26" xfId="1237" applyFont="true" applyBorder="true" applyAlignment="true" applyProtection="true">
      <alignment horizontal="general" vertical="bottom" textRotation="0" wrapText="false" indent="0" shrinkToFit="false"/>
      <protection locked="true" hidden="false"/>
    </xf>
    <xf numFmtId="169" fontId="108" fillId="0" borderId="11" xfId="17" applyFont="true" applyBorder="true" applyAlignment="true" applyProtection="true">
      <alignment horizontal="general" vertical="bottom" textRotation="0" wrapText="false" indent="0" shrinkToFit="false"/>
      <protection locked="true" hidden="false"/>
    </xf>
    <xf numFmtId="247" fontId="66" fillId="0" borderId="0" xfId="17" applyFont="true" applyBorder="true" applyAlignment="true" applyProtection="true">
      <alignment horizontal="general" vertical="bottom" textRotation="0" wrapText="false" indent="0" shrinkToFit="false"/>
      <protection locked="true" hidden="false"/>
    </xf>
    <xf numFmtId="247" fontId="66" fillId="0" borderId="11" xfId="17" applyFont="true" applyBorder="true" applyAlignment="true" applyProtection="true">
      <alignment horizontal="general" vertical="bottom" textRotation="0" wrapText="false" indent="0" shrinkToFit="false"/>
      <protection locked="true" hidden="false"/>
    </xf>
    <xf numFmtId="235" fontId="57" fillId="0" borderId="25" xfId="1237" applyFont="true" applyBorder="true" applyAlignment="true" applyProtection="true">
      <alignment horizontal="general" vertical="bottom" textRotation="0" wrapText="false" indent="0" shrinkToFit="false"/>
      <protection locked="true" hidden="false"/>
    </xf>
    <xf numFmtId="235" fontId="108" fillId="0" borderId="25" xfId="1237" applyFont="true" applyBorder="true" applyAlignment="true" applyProtection="true">
      <alignment horizontal="general" vertical="bottom" textRotation="0" wrapText="false" indent="0" shrinkToFit="false"/>
      <protection locked="true" hidden="false"/>
    </xf>
    <xf numFmtId="248" fontId="108" fillId="0" borderId="0" xfId="915" applyFont="true" applyBorder="true" applyAlignment="true" applyProtection="true">
      <alignment horizontal="general" vertical="bottom" textRotation="0" wrapText="false" indent="0" shrinkToFit="false"/>
      <protection locked="true" hidden="false"/>
    </xf>
    <xf numFmtId="248" fontId="57" fillId="0" borderId="0" xfId="915" applyFont="true" applyBorder="true" applyAlignment="true" applyProtection="true">
      <alignment horizontal="general" vertical="bottom" textRotation="0" wrapText="false" indent="0" shrinkToFit="false"/>
      <protection locked="true" hidden="false"/>
    </xf>
    <xf numFmtId="248" fontId="57" fillId="0" borderId="11" xfId="915" applyFont="true" applyBorder="true" applyAlignment="true" applyProtection="true">
      <alignment horizontal="general" vertical="bottom" textRotation="0" wrapText="false" indent="0" shrinkToFit="false"/>
      <protection locked="true" hidden="false"/>
    </xf>
    <xf numFmtId="185" fontId="66" fillId="0" borderId="0" xfId="915" applyFont="true" applyBorder="true" applyAlignment="true" applyProtection="true">
      <alignment horizontal="general" vertical="bottom" textRotation="0" wrapText="false" indent="0" shrinkToFit="false"/>
      <protection locked="true" hidden="false"/>
    </xf>
    <xf numFmtId="185" fontId="66" fillId="0" borderId="11" xfId="915" applyFont="true" applyBorder="true" applyAlignment="true" applyProtection="true">
      <alignment horizontal="general" vertical="bottom" textRotation="0" wrapText="false" indent="0" shrinkToFit="false"/>
      <protection locked="true" hidden="false"/>
    </xf>
    <xf numFmtId="235" fontId="57" fillId="0" borderId="8" xfId="1237" applyFont="true" applyBorder="true" applyAlignment="true" applyProtection="true">
      <alignment horizontal="general" vertical="bottom" textRotation="0" wrapText="false" indent="0" shrinkToFit="false"/>
      <protection locked="true" hidden="false"/>
    </xf>
    <xf numFmtId="169" fontId="108" fillId="0" borderId="0" xfId="915" applyFont="true" applyBorder="true" applyAlignment="true" applyProtection="true">
      <alignment horizontal="general" vertical="bottom" textRotation="0" wrapText="false" indent="0" shrinkToFit="false"/>
      <protection locked="true" hidden="false"/>
    </xf>
    <xf numFmtId="169" fontId="108" fillId="0" borderId="11" xfId="915" applyFont="true" applyBorder="true" applyAlignment="true" applyProtection="true">
      <alignment horizontal="general" vertical="bottom" textRotation="0" wrapText="false" indent="0" shrinkToFit="false"/>
      <protection locked="true" hidden="false"/>
    </xf>
    <xf numFmtId="169" fontId="57" fillId="0" borderId="0" xfId="915" applyFont="true" applyBorder="true" applyAlignment="true" applyProtection="true">
      <alignment horizontal="general" vertical="bottom" textRotation="0" wrapText="false" indent="0" shrinkToFit="false"/>
      <protection locked="true" hidden="false"/>
    </xf>
    <xf numFmtId="169" fontId="57" fillId="0" borderId="11" xfId="915" applyFont="true" applyBorder="true" applyAlignment="true" applyProtection="true">
      <alignment horizontal="general" vertical="bottom" textRotation="0" wrapText="false" indent="0" shrinkToFit="false"/>
      <protection locked="true" hidden="false"/>
    </xf>
    <xf numFmtId="169" fontId="66" fillId="0" borderId="0" xfId="915" applyFont="true" applyBorder="true" applyAlignment="true" applyProtection="true">
      <alignment horizontal="general" vertical="bottom" textRotation="0" wrapText="false" indent="0" shrinkToFit="false"/>
      <protection locked="true" hidden="false"/>
    </xf>
    <xf numFmtId="169" fontId="66" fillId="0" borderId="11" xfId="915" applyFont="true" applyBorder="true" applyAlignment="true" applyProtection="true">
      <alignment horizontal="general" vertical="bottom" textRotation="0" wrapText="false" indent="0" shrinkToFit="false"/>
      <protection locked="true" hidden="false"/>
    </xf>
    <xf numFmtId="248" fontId="107" fillId="0" borderId="3" xfId="17" applyFont="true" applyBorder="true" applyAlignment="true" applyProtection="true">
      <alignment horizontal="general" vertical="bottom" textRotation="0" wrapText="false" indent="0" shrinkToFit="false"/>
      <protection locked="true" hidden="false"/>
    </xf>
    <xf numFmtId="235" fontId="66" fillId="0" borderId="27" xfId="1237" applyFont="true" applyBorder="true" applyAlignment="true" applyProtection="true">
      <alignment horizontal="left" vertical="bottom" textRotation="0" wrapText="false" indent="0" shrinkToFit="false"/>
      <protection locked="true" hidden="false"/>
    </xf>
    <xf numFmtId="235" fontId="57" fillId="0" borderId="27" xfId="1237" applyFont="true" applyBorder="true" applyAlignment="true" applyProtection="true">
      <alignment horizontal="general" vertical="bottom" textRotation="0" wrapText="false" indent="0" shrinkToFit="false"/>
      <protection locked="true" hidden="false"/>
    </xf>
    <xf numFmtId="248" fontId="108" fillId="0" borderId="27" xfId="915" applyFont="true" applyBorder="true" applyAlignment="true" applyProtection="true">
      <alignment horizontal="general" vertical="bottom" textRotation="0" wrapText="false" indent="0" shrinkToFit="false"/>
      <protection locked="true" hidden="false"/>
    </xf>
    <xf numFmtId="235" fontId="66" fillId="0" borderId="0" xfId="1237" applyFont="true" applyBorder="true" applyAlignment="true" applyProtection="true">
      <alignment horizontal="left" vertical="bottom" textRotation="0" wrapText="false" indent="0" shrinkToFit="false"/>
      <protection locked="true" hidden="false"/>
    </xf>
    <xf numFmtId="247" fontId="116" fillId="0" borderId="0" xfId="17" applyFont="true" applyBorder="true" applyAlignment="true" applyProtection="true">
      <alignment horizontal="general" vertical="bottom" textRotation="0" wrapText="false" indent="0" shrinkToFit="false"/>
      <protection locked="true" hidden="false"/>
    </xf>
    <xf numFmtId="247" fontId="108" fillId="0" borderId="11" xfId="17" applyFont="true" applyBorder="true" applyAlignment="true" applyProtection="true">
      <alignment horizontal="general" vertical="bottom" textRotation="0" wrapText="false" indent="0" shrinkToFit="false"/>
      <protection locked="true" hidden="false"/>
    </xf>
    <xf numFmtId="235" fontId="57" fillId="0" borderId="10" xfId="1237" applyFont="true" applyBorder="true" applyAlignment="true" applyProtection="true">
      <alignment horizontal="general" vertical="bottom" textRotation="0" wrapText="false" indent="0" shrinkToFit="false"/>
      <protection locked="true" hidden="false"/>
    </xf>
    <xf numFmtId="200" fontId="117" fillId="0" borderId="3" xfId="915" applyFont="true" applyBorder="true" applyAlignment="true" applyProtection="true">
      <alignment horizontal="general" vertical="bottom" textRotation="0" wrapText="false" indent="0" shrinkToFit="false"/>
      <protection locked="true" hidden="false"/>
    </xf>
    <xf numFmtId="200" fontId="117" fillId="0" borderId="7" xfId="915" applyFont="true" applyBorder="true" applyAlignment="true" applyProtection="true">
      <alignment horizontal="general" vertical="bottom" textRotation="0" wrapText="false" indent="0" shrinkToFit="false"/>
      <protection locked="true" hidden="false"/>
    </xf>
    <xf numFmtId="193" fontId="108" fillId="0" borderId="0" xfId="15" applyFont="true" applyBorder="true" applyAlignment="true" applyProtection="true">
      <alignment horizontal="general" vertical="bottom" textRotation="0" wrapText="false" indent="0" shrinkToFit="false"/>
      <protection locked="true" hidden="false"/>
    </xf>
    <xf numFmtId="200" fontId="57" fillId="0" borderId="0" xfId="915" applyFont="true" applyBorder="true" applyAlignment="true" applyProtection="true">
      <alignment horizontal="general" vertical="bottom" textRotation="0" wrapText="false" indent="0" shrinkToFit="false"/>
      <protection locked="true" hidden="false"/>
    </xf>
    <xf numFmtId="230" fontId="57" fillId="0" borderId="0" xfId="915" applyFont="true" applyBorder="true" applyAlignment="true" applyProtection="true">
      <alignment horizontal="general" vertical="bottom" textRotation="0" wrapText="false" indent="0" shrinkToFit="false"/>
      <protection locked="true" hidden="false"/>
    </xf>
    <xf numFmtId="264" fontId="57" fillId="0" borderId="0" xfId="915" applyFont="true" applyBorder="true" applyAlignment="true" applyProtection="true">
      <alignment horizontal="general" vertical="bottom" textRotation="0" wrapText="false" indent="0" shrinkToFit="false"/>
      <protection locked="true" hidden="false"/>
    </xf>
    <xf numFmtId="164" fontId="12" fillId="0" borderId="0" xfId="0" applyFont="true" applyBorder="true" applyAlignment="false" applyProtection="false">
      <alignment horizontal="general" vertical="bottom" textRotation="0" wrapText="false" indent="0" shrinkToFit="false"/>
      <protection locked="true" hidden="false"/>
    </xf>
    <xf numFmtId="164" fontId="57" fillId="2" borderId="5" xfId="0" applyFont="true" applyBorder="true" applyAlignment="false" applyProtection="false">
      <alignment horizontal="general" vertical="bottom" textRotation="0" wrapText="false" indent="0" shrinkToFit="false"/>
      <protection locked="true" hidden="false"/>
    </xf>
    <xf numFmtId="164" fontId="57" fillId="2" borderId="7" xfId="0" applyFont="true" applyBorder="true" applyAlignment="false" applyProtection="false">
      <alignment horizontal="general" vertical="bottom" textRotation="0" wrapText="false" indent="0" shrinkToFit="false"/>
      <protection locked="true" hidden="false"/>
    </xf>
    <xf numFmtId="259" fontId="107" fillId="0" borderId="9" xfId="0" applyFont="true" applyBorder="true" applyAlignment="false" applyProtection="true">
      <alignment horizontal="general" vertical="bottom" textRotation="0" wrapText="false" indent="0" shrinkToFit="false"/>
      <protection locked="true" hidden="false"/>
    </xf>
    <xf numFmtId="164" fontId="57" fillId="0" borderId="0" xfId="0" applyFont="true" applyBorder="true" applyAlignment="true" applyProtection="true">
      <alignment horizontal="right" vertical="bottom" textRotation="0" wrapText="false" indent="0" shrinkToFit="false"/>
      <protection locked="true" hidden="false"/>
    </xf>
    <xf numFmtId="164" fontId="57" fillId="0" borderId="11" xfId="0" applyFont="true" applyBorder="true" applyAlignment="true" applyProtection="true">
      <alignment horizontal="right" vertical="bottom" textRotation="0" wrapText="false" indent="0" shrinkToFit="false"/>
      <protection locked="true" hidden="false"/>
    </xf>
    <xf numFmtId="164" fontId="12" fillId="0" borderId="0" xfId="0" applyFont="true" applyBorder="true" applyAlignment="true" applyProtection="true">
      <alignment horizontal="right" vertical="bottom" textRotation="0" wrapText="false" indent="0" shrinkToFit="false"/>
      <protection locked="true" hidden="false"/>
    </xf>
    <xf numFmtId="244" fontId="12" fillId="0" borderId="0" xfId="0" applyFont="true" applyBorder="false" applyAlignment="false" applyProtection="true">
      <alignment horizontal="general" vertical="bottom" textRotation="0" wrapText="false" indent="0" shrinkToFit="false"/>
      <protection locked="true" hidden="false"/>
    </xf>
    <xf numFmtId="164" fontId="66" fillId="0" borderId="10" xfId="0" applyFont="true" applyBorder="true" applyAlignment="true" applyProtection="true">
      <alignment horizontal="left" vertical="bottom" textRotation="0" wrapText="false" indent="0" shrinkToFit="false"/>
      <protection locked="true" hidden="false"/>
    </xf>
    <xf numFmtId="235" fontId="118" fillId="0" borderId="0"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true" applyAlignment="false" applyProtection="true">
      <alignment horizontal="general" vertical="bottom" textRotation="0" wrapText="false" indent="0" shrinkToFit="false"/>
      <protection locked="true" hidden="false"/>
    </xf>
    <xf numFmtId="164" fontId="12" fillId="0" borderId="0" xfId="0" applyFont="true" applyBorder="true" applyAlignment="false" applyProtection="true">
      <alignment horizontal="general" vertical="bottom" textRotation="0" wrapText="false" indent="0" shrinkToFit="false"/>
      <protection locked="true" hidden="false"/>
    </xf>
    <xf numFmtId="164" fontId="57" fillId="0" borderId="10" xfId="0" applyFont="true" applyBorder="true" applyAlignment="true" applyProtection="true">
      <alignment horizontal="left" vertical="bottom" textRotation="0" wrapText="false" indent="0" shrinkToFit="false"/>
      <protection locked="true" hidden="false"/>
    </xf>
    <xf numFmtId="185" fontId="57" fillId="0" borderId="0" xfId="0" applyFont="true" applyBorder="true" applyAlignment="false" applyProtection="true">
      <alignment horizontal="general" vertical="bottom" textRotation="0" wrapText="false" indent="0" shrinkToFit="false"/>
      <protection locked="true" hidden="false"/>
    </xf>
    <xf numFmtId="185" fontId="57" fillId="0" borderId="11" xfId="0" applyFont="true" applyBorder="true" applyAlignment="false" applyProtection="true">
      <alignment horizontal="general" vertical="bottom" textRotation="0" wrapText="false" indent="0" shrinkToFit="false"/>
      <protection locked="true" hidden="false"/>
    </xf>
    <xf numFmtId="265" fontId="12" fillId="0" borderId="0" xfId="0" applyFont="true" applyBorder="false" applyAlignment="false" applyProtection="true">
      <alignment horizontal="general" vertical="bottom" textRotation="0" wrapText="false" indent="0" shrinkToFit="false"/>
      <protection locked="true" hidden="false"/>
    </xf>
    <xf numFmtId="248" fontId="57" fillId="0" borderId="11" xfId="15" applyFont="true" applyBorder="true" applyAlignment="true" applyProtection="true">
      <alignment horizontal="general" vertical="bottom" textRotation="0" wrapText="false" indent="0" shrinkToFit="false"/>
      <protection locked="true" hidden="false"/>
    </xf>
    <xf numFmtId="243" fontId="12" fillId="0" borderId="0" xfId="0" applyFont="true" applyBorder="false" applyAlignment="false" applyProtection="true">
      <alignment horizontal="general" vertical="bottom" textRotation="0" wrapText="false" indent="0" shrinkToFit="false"/>
      <protection locked="true" hidden="false"/>
    </xf>
    <xf numFmtId="235" fontId="57" fillId="0" borderId="0" xfId="0" applyFont="true" applyBorder="true" applyAlignment="false" applyProtection="true">
      <alignment horizontal="general" vertical="bottom" textRotation="0" wrapText="false" indent="0" shrinkToFit="false"/>
      <protection locked="true" hidden="false"/>
    </xf>
    <xf numFmtId="235" fontId="57" fillId="0" borderId="11" xfId="0" applyFont="true" applyBorder="true" applyAlignment="false" applyProtection="true">
      <alignment horizontal="general" vertical="bottom" textRotation="0" wrapText="false" indent="0" shrinkToFit="false"/>
      <protection locked="true" hidden="false"/>
    </xf>
    <xf numFmtId="235" fontId="57" fillId="0" borderId="0" xfId="0" applyFont="true" applyBorder="false" applyAlignment="false" applyProtection="true">
      <alignment horizontal="general" vertical="bottom" textRotation="0" wrapText="false" indent="0" shrinkToFit="false"/>
      <protection locked="true" hidden="false"/>
    </xf>
    <xf numFmtId="235" fontId="12" fillId="0" borderId="0" xfId="0" applyFont="true" applyBorder="false" applyAlignment="false" applyProtection="true">
      <alignment horizontal="general" vertical="bottom" textRotation="0" wrapText="false" indent="0" shrinkToFit="false"/>
      <protection locked="true" hidden="false"/>
    </xf>
    <xf numFmtId="235" fontId="108" fillId="0" borderId="0" xfId="0" applyFont="true" applyBorder="true" applyAlignment="false" applyProtection="true">
      <alignment horizontal="general" vertical="bottom" textRotation="0" wrapText="false" indent="0" shrinkToFit="false"/>
      <protection locked="true" hidden="false"/>
    </xf>
    <xf numFmtId="235" fontId="108" fillId="0" borderId="11" xfId="0" applyFont="true" applyBorder="true" applyAlignment="false" applyProtection="true">
      <alignment horizontal="general" vertical="bottom" textRotation="0" wrapText="false" indent="0" shrinkToFit="false"/>
      <protection locked="true" hidden="false"/>
    </xf>
    <xf numFmtId="265" fontId="12" fillId="0" borderId="0" xfId="0" applyFont="true" applyBorder="true" applyAlignment="false" applyProtection="true">
      <alignment horizontal="general" vertical="bottom" textRotation="0" wrapText="false" indent="0" shrinkToFit="false"/>
      <protection locked="true" hidden="false"/>
    </xf>
    <xf numFmtId="235" fontId="57" fillId="0" borderId="0" xfId="0" applyFont="true" applyBorder="true" applyAlignment="false" applyProtection="false">
      <alignment horizontal="general" vertical="bottom" textRotation="0" wrapText="false" indent="0" shrinkToFit="false"/>
      <protection locked="true" hidden="false"/>
    </xf>
    <xf numFmtId="164" fontId="118" fillId="0" borderId="0" xfId="0" applyFont="true" applyBorder="true" applyAlignment="false" applyProtection="false">
      <alignment horizontal="general" vertical="bottom" textRotation="0" wrapText="false" indent="0" shrinkToFit="false"/>
      <protection locked="true" hidden="false"/>
    </xf>
    <xf numFmtId="164" fontId="118" fillId="0" borderId="0" xfId="0" applyFont="true" applyBorder="true" applyAlignment="false" applyProtection="true">
      <alignment horizontal="general" vertical="bottom" textRotation="0" wrapText="false" indent="0" shrinkToFit="false"/>
      <protection locked="true" hidden="false"/>
    </xf>
    <xf numFmtId="248" fontId="118" fillId="0" borderId="0" xfId="15" applyFont="true" applyBorder="true" applyAlignment="true" applyProtection="true">
      <alignment horizontal="general" vertical="bottom" textRotation="0" wrapText="false" indent="0" shrinkToFit="false"/>
      <protection locked="true" hidden="false"/>
    </xf>
    <xf numFmtId="164" fontId="66" fillId="0" borderId="6" xfId="0" applyFont="true" applyBorder="true" applyAlignment="false" applyProtection="false">
      <alignment horizontal="general" vertical="bottom" textRotation="0" wrapText="false" indent="0" shrinkToFit="false"/>
      <protection locked="true" hidden="false"/>
    </xf>
    <xf numFmtId="247" fontId="118" fillId="0" borderId="3" xfId="17" applyFont="true" applyBorder="true" applyAlignment="true" applyProtection="true">
      <alignment horizontal="general" vertical="bottom" textRotation="0" wrapText="false" indent="0" shrinkToFit="false"/>
      <protection locked="true" hidden="false"/>
    </xf>
    <xf numFmtId="247" fontId="117" fillId="0" borderId="3" xfId="17" applyFont="true" applyBorder="true" applyAlignment="true" applyProtection="true">
      <alignment horizontal="general" vertical="bottom" textRotation="0" wrapText="false" indent="0" shrinkToFit="false"/>
      <protection locked="true" hidden="false"/>
    </xf>
    <xf numFmtId="247" fontId="117" fillId="0" borderId="7" xfId="17" applyFont="true" applyBorder="true" applyAlignment="true" applyProtection="true">
      <alignment horizontal="general" vertical="bottom" textRotation="0" wrapText="false" indent="0" shrinkToFit="false"/>
      <protection locked="true" hidden="false"/>
    </xf>
    <xf numFmtId="164" fontId="66" fillId="0" borderId="4" xfId="0" applyFont="true" applyBorder="true" applyAlignment="false" applyProtection="false">
      <alignment horizontal="general" vertical="bottom" textRotation="0" wrapText="false" indent="0" shrinkToFit="false"/>
      <protection locked="true" hidden="false"/>
    </xf>
    <xf numFmtId="180" fontId="57" fillId="0" borderId="9" xfId="0" applyFont="true" applyBorder="true" applyAlignment="false" applyProtection="false">
      <alignment horizontal="general" vertical="bottom" textRotation="0" wrapText="false" indent="0" shrinkToFit="false"/>
      <protection locked="true" hidden="false"/>
    </xf>
    <xf numFmtId="180" fontId="57" fillId="0" borderId="0" xfId="0" applyFont="true" applyBorder="true" applyAlignment="false" applyProtection="false">
      <alignment horizontal="general" vertical="bottom" textRotation="0" wrapText="false" indent="0" shrinkToFit="false"/>
      <protection locked="true" hidden="false"/>
    </xf>
    <xf numFmtId="170" fontId="57" fillId="0" borderId="11" xfId="0" applyFont="true" applyBorder="true" applyAlignment="false" applyProtection="false">
      <alignment horizontal="general" vertical="bottom" textRotation="0" wrapText="false" indent="0" shrinkToFit="false"/>
      <protection locked="true" hidden="false"/>
    </xf>
    <xf numFmtId="170" fontId="57" fillId="0" borderId="0" xfId="19" applyFont="true" applyBorder="true" applyAlignment="true" applyProtection="true">
      <alignment horizontal="general" vertical="bottom" textRotation="0" wrapText="false" indent="0" shrinkToFit="false"/>
      <protection locked="true" hidden="false"/>
    </xf>
    <xf numFmtId="185" fontId="57" fillId="0" borderId="0" xfId="0" applyFont="true" applyBorder="true" applyAlignment="false" applyProtection="false">
      <alignment horizontal="general" vertical="bottom" textRotation="0" wrapText="false" indent="0" shrinkToFit="false"/>
      <protection locked="true" hidden="false"/>
    </xf>
    <xf numFmtId="248" fontId="57" fillId="0" borderId="0" xfId="0" applyFont="true" applyBorder="true" applyAlignment="false" applyProtection="false">
      <alignment horizontal="general" vertical="bottom" textRotation="0" wrapText="false" indent="0" shrinkToFit="false"/>
      <protection locked="true" hidden="false"/>
    </xf>
    <xf numFmtId="248" fontId="57" fillId="0" borderId="11" xfId="0" applyFont="true" applyBorder="true" applyAlignment="false" applyProtection="false">
      <alignment horizontal="general" vertical="bottom" textRotation="0" wrapText="false" indent="0" shrinkToFit="false"/>
      <protection locked="true" hidden="false"/>
    </xf>
    <xf numFmtId="248" fontId="57" fillId="0" borderId="3" xfId="0" applyFont="true" applyBorder="true" applyAlignment="false" applyProtection="false">
      <alignment horizontal="general" vertical="bottom" textRotation="0" wrapText="false" indent="0" shrinkToFit="false"/>
      <protection locked="true" hidden="false"/>
    </xf>
    <xf numFmtId="248" fontId="57" fillId="0" borderId="7" xfId="0" applyFont="true" applyBorder="true" applyAlignment="false" applyProtection="false">
      <alignment horizontal="general" vertical="bottom" textRotation="0" wrapText="false" indent="0" shrinkToFit="false"/>
      <protection locked="true" hidden="false"/>
    </xf>
    <xf numFmtId="164" fontId="28" fillId="2" borderId="9" xfId="0" applyFont="true" applyBorder="true" applyAlignment="false" applyProtection="false">
      <alignment horizontal="general" vertical="bottom" textRotation="0" wrapText="false" indent="0" shrinkToFit="false"/>
      <protection locked="true" hidden="false"/>
    </xf>
    <xf numFmtId="164" fontId="28" fillId="2" borderId="3" xfId="0" applyFont="true" applyBorder="true" applyAlignment="false" applyProtection="false">
      <alignment horizontal="general" vertical="bottom" textRotation="0" wrapText="false" indent="0" shrinkToFit="false"/>
      <protection locked="true" hidden="false"/>
    </xf>
    <xf numFmtId="235" fontId="57" fillId="0" borderId="0" xfId="0" applyFont="true" applyBorder="false" applyAlignment="false" applyProtection="false">
      <alignment horizontal="general" vertical="bottom" textRotation="0" wrapText="false" indent="0" shrinkToFit="false"/>
      <protection locked="true" hidden="false"/>
    </xf>
    <xf numFmtId="164" fontId="107" fillId="2" borderId="9" xfId="0" applyFont="true" applyBorder="true" applyAlignment="false" applyProtection="false">
      <alignment horizontal="general" vertical="bottom" textRotation="0" wrapText="false" indent="0" shrinkToFit="false"/>
      <protection locked="true" hidden="false"/>
    </xf>
    <xf numFmtId="164" fontId="107" fillId="2" borderId="5" xfId="0" applyFont="true" applyBorder="true" applyAlignment="false" applyProtection="false">
      <alignment horizontal="general" vertical="bottom" textRotation="0" wrapText="false" indent="0" shrinkToFit="false"/>
      <protection locked="true" hidden="false"/>
    </xf>
    <xf numFmtId="248" fontId="63" fillId="0" borderId="10" xfId="15" applyFont="true" applyBorder="true" applyAlignment="true" applyProtection="true">
      <alignment horizontal="general" vertical="bottom" textRotation="0" wrapText="false" indent="0" shrinkToFit="false"/>
      <protection locked="true" hidden="false"/>
    </xf>
    <xf numFmtId="235" fontId="28" fillId="0" borderId="0" xfId="0" applyFont="true" applyBorder="true" applyAlignment="false" applyProtection="false">
      <alignment horizontal="general" vertical="bottom" textRotation="0" wrapText="false" indent="0" shrinkToFit="false"/>
      <protection locked="true" hidden="false"/>
    </xf>
    <xf numFmtId="235" fontId="28" fillId="0" borderId="11" xfId="0" applyFont="true" applyBorder="true" applyAlignment="false" applyProtection="false">
      <alignment horizontal="general" vertical="bottom" textRotation="0" wrapText="false" indent="0" shrinkToFit="false"/>
      <protection locked="true" hidden="false"/>
    </xf>
    <xf numFmtId="185" fontId="113" fillId="0" borderId="0" xfId="0" applyFont="true" applyBorder="true" applyAlignment="false" applyProtection="false">
      <alignment horizontal="general" vertical="bottom" textRotation="0" wrapText="false" indent="0" shrinkToFit="false"/>
      <protection locked="true" hidden="false"/>
    </xf>
    <xf numFmtId="185" fontId="113" fillId="0" borderId="11" xfId="0" applyFont="true" applyBorder="true" applyAlignment="false" applyProtection="false">
      <alignment horizontal="general" vertical="bottom" textRotation="0" wrapText="false" indent="0" shrinkToFit="false"/>
      <protection locked="true" hidden="false"/>
    </xf>
    <xf numFmtId="248" fontId="57" fillId="0" borderId="10" xfId="15" applyFont="true" applyBorder="true" applyAlignment="true" applyProtection="true">
      <alignment horizontal="general" vertical="bottom" textRotation="0" wrapText="false" indent="0" shrinkToFit="false"/>
      <protection locked="true" hidden="false"/>
    </xf>
    <xf numFmtId="169" fontId="113" fillId="0" borderId="0" xfId="0" applyFont="true" applyBorder="true" applyAlignment="false" applyProtection="false">
      <alignment horizontal="general" vertical="bottom" textRotation="0" wrapText="false" indent="0" shrinkToFit="false"/>
      <protection locked="true" hidden="false"/>
    </xf>
    <xf numFmtId="169" fontId="113" fillId="0" borderId="11" xfId="0" applyFont="true" applyBorder="true" applyAlignment="false" applyProtection="false">
      <alignment horizontal="general" vertical="bottom" textRotation="0" wrapText="false" indent="0" shrinkToFit="false"/>
      <protection locked="true" hidden="false"/>
    </xf>
    <xf numFmtId="248" fontId="66" fillId="0" borderId="6" xfId="15" applyFont="true" applyBorder="true" applyAlignment="true" applyProtection="true">
      <alignment horizontal="general" vertical="bottom" textRotation="0" wrapText="false" indent="0" shrinkToFit="false"/>
      <protection locked="true" hidden="false"/>
    </xf>
    <xf numFmtId="169" fontId="63" fillId="0" borderId="3" xfId="0" applyFont="true" applyBorder="true" applyAlignment="false" applyProtection="false">
      <alignment horizontal="general" vertical="bottom" textRotation="0" wrapText="false" indent="0" shrinkToFit="false"/>
      <protection locked="true" hidden="false"/>
    </xf>
    <xf numFmtId="169" fontId="63" fillId="0" borderId="7" xfId="0" applyFont="true" applyBorder="true" applyAlignment="false" applyProtection="false">
      <alignment horizontal="general" vertical="bottom" textRotation="0" wrapText="false" indent="0" shrinkToFit="false"/>
      <protection locked="true" hidden="false"/>
    </xf>
    <xf numFmtId="248" fontId="63" fillId="0" borderId="4" xfId="15" applyFont="true" applyBorder="true" applyAlignment="true" applyProtection="true">
      <alignment horizontal="general" vertical="bottom" textRotation="0" wrapText="false" indent="0" shrinkToFit="false"/>
      <protection locked="true" hidden="false"/>
    </xf>
    <xf numFmtId="185" fontId="28" fillId="0" borderId="0" xfId="0" applyFont="true" applyBorder="true" applyAlignment="false" applyProtection="false">
      <alignment horizontal="general" vertical="bottom" textRotation="0" wrapText="false" indent="0" shrinkToFit="false"/>
      <protection locked="true" hidden="false"/>
    </xf>
    <xf numFmtId="185" fontId="28" fillId="0" borderId="11" xfId="0" applyFont="true" applyBorder="true" applyAlignment="false" applyProtection="false">
      <alignment horizontal="general" vertical="bottom" textRotation="0" wrapText="false" indent="0" shrinkToFit="false"/>
      <protection locked="true" hidden="false"/>
    </xf>
    <xf numFmtId="248" fontId="66" fillId="0" borderId="10" xfId="15" applyFont="true" applyBorder="true" applyAlignment="true" applyProtection="true">
      <alignment horizontal="general" vertical="bottom" textRotation="0" wrapText="false" indent="0" shrinkToFit="false"/>
      <protection locked="true" hidden="false"/>
    </xf>
    <xf numFmtId="200" fontId="28" fillId="0" borderId="11" xfId="0" applyFont="true" applyBorder="true" applyAlignment="false" applyProtection="false">
      <alignment horizontal="general" vertical="bottom" textRotation="0" wrapText="false" indent="0" shrinkToFit="false"/>
      <protection locked="true" hidden="false"/>
    </xf>
    <xf numFmtId="169" fontId="63" fillId="0" borderId="0" xfId="0" applyFont="true" applyBorder="true" applyAlignment="false" applyProtection="false">
      <alignment horizontal="general" vertical="bottom" textRotation="0" wrapText="false" indent="0" shrinkToFit="false"/>
      <protection locked="true" hidden="false"/>
    </xf>
    <xf numFmtId="169" fontId="63" fillId="0" borderId="11" xfId="0" applyFont="true" applyBorder="true" applyAlignment="false" applyProtection="false">
      <alignment horizontal="general" vertical="bottom" textRotation="0" wrapText="false" indent="0" shrinkToFit="false"/>
      <protection locked="true" hidden="false"/>
    </xf>
    <xf numFmtId="248" fontId="66" fillId="0" borderId="12" xfId="15" applyFont="true" applyBorder="true" applyAlignment="true" applyProtection="true">
      <alignment horizontal="general" vertical="bottom" textRotation="0" wrapText="false" indent="0" shrinkToFit="false"/>
      <protection locked="true" hidden="false"/>
    </xf>
    <xf numFmtId="164" fontId="28" fillId="0" borderId="14" xfId="0" applyFont="true" applyBorder="true" applyAlignment="false" applyProtection="false">
      <alignment horizontal="general" vertical="bottom" textRotation="0" wrapText="false" indent="0" shrinkToFit="false"/>
      <protection locked="true" hidden="false"/>
    </xf>
    <xf numFmtId="169" fontId="63" fillId="0" borderId="14" xfId="0" applyFont="true" applyBorder="true" applyAlignment="false" applyProtection="false">
      <alignment horizontal="general" vertical="bottom" textRotation="0" wrapText="false" indent="0" shrinkToFit="false"/>
      <protection locked="true" hidden="false"/>
    </xf>
    <xf numFmtId="169" fontId="63" fillId="0" borderId="13" xfId="0" applyFont="true" applyBorder="true" applyAlignment="false" applyProtection="false">
      <alignment horizontal="general" vertical="bottom" textRotation="0" wrapText="false" indent="0" shrinkToFit="false"/>
      <protection locked="true" hidden="false"/>
    </xf>
    <xf numFmtId="164" fontId="112" fillId="14" borderId="4" xfId="0" applyFont="true" applyBorder="true" applyAlignment="false" applyProtection="false">
      <alignment horizontal="general" vertical="bottom" textRotation="0" wrapText="false" indent="0" shrinkToFit="false"/>
      <protection locked="true" hidden="false"/>
    </xf>
    <xf numFmtId="164" fontId="112" fillId="14" borderId="9" xfId="0" applyFont="true" applyBorder="true" applyAlignment="false" applyProtection="false">
      <alignment horizontal="general" vertical="bottom" textRotation="0" wrapText="false" indent="0" shrinkToFit="false"/>
      <protection locked="true" hidden="false"/>
    </xf>
    <xf numFmtId="164" fontId="119" fillId="14" borderId="9" xfId="0" applyFont="true" applyBorder="true" applyAlignment="false" applyProtection="false">
      <alignment horizontal="general" vertical="bottom" textRotation="0" wrapText="false" indent="0" shrinkToFit="false"/>
      <protection locked="true" hidden="false"/>
    </xf>
    <xf numFmtId="164" fontId="112" fillId="14" borderId="5" xfId="0" applyFont="true" applyBorder="true" applyAlignment="false" applyProtection="false">
      <alignment horizontal="general" vertical="bottom" textRotation="0" wrapText="false" indent="0" shrinkToFit="false"/>
      <protection locked="true" hidden="false"/>
    </xf>
    <xf numFmtId="169" fontId="120" fillId="14" borderId="8" xfId="0" applyFont="true" applyBorder="true" applyAlignment="true" applyProtection="false">
      <alignment horizontal="center" vertical="bottom" textRotation="0" wrapText="false" indent="0" shrinkToFit="false"/>
      <protection locked="true" hidden="false"/>
    </xf>
    <xf numFmtId="164" fontId="112" fillId="14" borderId="0" xfId="0" applyFont="true" applyBorder="true" applyAlignment="false" applyProtection="false">
      <alignment horizontal="general" vertical="bottom" textRotation="0" wrapText="false" indent="0" shrinkToFit="false"/>
      <protection locked="true" hidden="false"/>
    </xf>
    <xf numFmtId="164" fontId="112" fillId="14" borderId="11" xfId="0" applyFont="true" applyBorder="true" applyAlignment="false" applyProtection="false">
      <alignment horizontal="general" vertical="bottom" textRotation="0" wrapText="false" indent="0" shrinkToFit="false"/>
      <protection locked="true" hidden="false"/>
    </xf>
    <xf numFmtId="164" fontId="112" fillId="14" borderId="10" xfId="0" applyFont="true" applyBorder="true" applyAlignment="false" applyProtection="false">
      <alignment horizontal="general" vertical="bottom" textRotation="0" wrapText="false" indent="0" shrinkToFit="false"/>
      <protection locked="true" hidden="false"/>
    </xf>
    <xf numFmtId="169" fontId="112" fillId="14" borderId="0" xfId="0" applyFont="true" applyBorder="true" applyAlignment="false" applyProtection="false">
      <alignment horizontal="general" vertical="bottom" textRotation="0" wrapText="false" indent="0" shrinkToFit="false"/>
      <protection locked="true" hidden="false"/>
    </xf>
    <xf numFmtId="169" fontId="112" fillId="14" borderId="11" xfId="0" applyFont="true" applyBorder="true" applyAlignment="false" applyProtection="false">
      <alignment horizontal="general" vertical="bottom" textRotation="0" wrapText="false" indent="0" shrinkToFit="false"/>
      <protection locked="true" hidden="false"/>
    </xf>
    <xf numFmtId="164" fontId="112" fillId="14" borderId="6" xfId="0" applyFont="true" applyBorder="true" applyAlignment="false" applyProtection="false">
      <alignment horizontal="general" vertical="bottom" textRotation="0" wrapText="false" indent="0" shrinkToFit="false"/>
      <protection locked="true" hidden="false"/>
    </xf>
    <xf numFmtId="164" fontId="112" fillId="14" borderId="3" xfId="0" applyFont="true" applyBorder="true" applyAlignment="false" applyProtection="false">
      <alignment horizontal="general" vertical="bottom" textRotation="0" wrapText="false" indent="0" shrinkToFit="false"/>
      <protection locked="true" hidden="false"/>
    </xf>
    <xf numFmtId="169" fontId="112" fillId="14" borderId="3" xfId="0" applyFont="true" applyBorder="true" applyAlignment="false" applyProtection="false">
      <alignment horizontal="general" vertical="bottom" textRotation="0" wrapText="false" indent="0" shrinkToFit="false"/>
      <protection locked="true" hidden="false"/>
    </xf>
    <xf numFmtId="169" fontId="112" fillId="14" borderId="7" xfId="0" applyFont="true" applyBorder="true" applyAlignment="false" applyProtection="false">
      <alignment horizontal="general" vertical="bottom" textRotation="0" wrapText="false" indent="0" shrinkToFit="false"/>
      <protection locked="true" hidden="false"/>
    </xf>
    <xf numFmtId="244" fontId="96" fillId="2" borderId="9" xfId="19" applyFont="true" applyBorder="true" applyAlignment="true" applyProtection="true">
      <alignment horizontal="left" vertical="bottom" textRotation="0" wrapText="false" indent="0" shrinkToFit="false"/>
      <protection locked="true" hidden="false"/>
    </xf>
    <xf numFmtId="164" fontId="57" fillId="2" borderId="3" xfId="0" applyFont="true" applyBorder="true" applyAlignment="false" applyProtection="false">
      <alignment horizontal="general" vertical="bottom" textRotation="0" wrapText="false" indent="0" shrinkToFit="false"/>
      <protection locked="true" hidden="false"/>
    </xf>
    <xf numFmtId="235" fontId="57" fillId="2" borderId="7" xfId="1237" applyFont="true" applyBorder="true" applyAlignment="true" applyProtection="true">
      <alignment horizontal="general" vertical="bottom" textRotation="0" wrapText="false" indent="0" shrinkToFit="false"/>
      <protection locked="true" hidden="false"/>
    </xf>
    <xf numFmtId="235" fontId="25" fillId="0" borderId="9" xfId="1237" applyFont="false" applyBorder="true" applyAlignment="true" applyProtection="true">
      <alignment horizontal="general" vertical="bottom" textRotation="0" wrapText="false" indent="0" shrinkToFit="false"/>
      <protection locked="true" hidden="false"/>
    </xf>
    <xf numFmtId="164" fontId="107" fillId="0" borderId="10" xfId="0" applyFont="true" applyBorder="true" applyAlignment="true" applyProtection="true">
      <alignment horizontal="left" vertical="bottom" textRotation="0" wrapText="false" indent="0" shrinkToFit="false"/>
      <protection locked="true" hidden="false"/>
    </xf>
    <xf numFmtId="164" fontId="121" fillId="0" borderId="10" xfId="0" applyFont="true" applyBorder="true" applyAlignment="true" applyProtection="true">
      <alignment horizontal="left" vertical="bottom" textRotation="0" wrapText="false" indent="0" shrinkToFit="false"/>
      <protection locked="true" hidden="false"/>
    </xf>
    <xf numFmtId="242" fontId="57" fillId="0" borderId="0" xfId="0" applyFont="true" applyBorder="true" applyAlignment="false" applyProtection="false">
      <alignment horizontal="general" vertical="bottom" textRotation="0" wrapText="false" indent="0" shrinkToFit="false"/>
      <protection locked="true" hidden="false"/>
    </xf>
    <xf numFmtId="242" fontId="12" fillId="0" borderId="0" xfId="0" applyFont="true" applyBorder="true" applyAlignment="false" applyProtection="false">
      <alignment horizontal="general" vertical="bottom" textRotation="0" wrapText="false" indent="0" shrinkToFit="false"/>
      <protection locked="true" hidden="false"/>
    </xf>
    <xf numFmtId="243" fontId="108" fillId="0" borderId="0" xfId="0" applyFont="true" applyBorder="true" applyAlignment="false" applyProtection="false">
      <alignment horizontal="general" vertical="bottom" textRotation="0" wrapText="false" indent="0" shrinkToFit="false"/>
      <protection locked="true" hidden="false"/>
    </xf>
    <xf numFmtId="243" fontId="108" fillId="0" borderId="11" xfId="0" applyFont="true" applyBorder="true" applyAlignment="false" applyProtection="false">
      <alignment horizontal="general" vertical="bottom" textRotation="0" wrapText="false" indent="0" shrinkToFit="false"/>
      <protection locked="true" hidden="false"/>
    </xf>
    <xf numFmtId="164" fontId="122" fillId="0" borderId="0"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true" applyAlignment="true" applyProtection="true">
      <alignment horizontal="left" vertical="bottom" textRotation="0" wrapText="false" indent="0" shrinkToFit="false"/>
      <protection locked="true" hidden="false"/>
    </xf>
    <xf numFmtId="164" fontId="57" fillId="0" borderId="11" xfId="0" applyFont="true" applyBorder="true" applyAlignment="true" applyProtection="true">
      <alignment horizontal="left" vertical="bottom" textRotation="0" wrapText="false" indent="0" shrinkToFit="false"/>
      <protection locked="true" hidden="false"/>
    </xf>
    <xf numFmtId="185" fontId="57" fillId="0" borderId="11" xfId="0" applyFont="true" applyBorder="true" applyAlignment="false" applyProtection="false">
      <alignment horizontal="general" vertical="bottom" textRotation="0" wrapText="false" indent="0" shrinkToFit="false"/>
      <protection locked="true" hidden="false"/>
    </xf>
    <xf numFmtId="248" fontId="122" fillId="0" borderId="0" xfId="15" applyFont="true" applyBorder="true" applyAlignment="true" applyProtection="true">
      <alignment horizontal="general" vertical="bottom" textRotation="0" wrapText="false" indent="0" shrinkToFit="false"/>
      <protection locked="true" hidden="false"/>
    </xf>
    <xf numFmtId="185" fontId="108" fillId="0" borderId="0" xfId="0" applyFont="true" applyBorder="true" applyAlignment="false" applyProtection="false">
      <alignment horizontal="general" vertical="bottom" textRotation="0" wrapText="false" indent="0" shrinkToFit="false"/>
      <protection locked="true" hidden="false"/>
    </xf>
    <xf numFmtId="185" fontId="108" fillId="0" borderId="11" xfId="0" applyFont="true" applyBorder="true" applyAlignment="false" applyProtection="false">
      <alignment horizontal="general" vertical="bottom" textRotation="0" wrapText="false" indent="0" shrinkToFit="false"/>
      <protection locked="true" hidden="false"/>
    </xf>
    <xf numFmtId="242" fontId="57" fillId="0" borderId="11" xfId="0" applyFont="true" applyBorder="true" applyAlignment="false" applyProtection="false">
      <alignment horizontal="general" vertical="bottom" textRotation="0" wrapText="false" indent="0" shrinkToFit="false"/>
      <protection locked="true" hidden="false"/>
    </xf>
    <xf numFmtId="247" fontId="57" fillId="0" borderId="0" xfId="17" applyFont="true" applyBorder="true" applyAlignment="true" applyProtection="true">
      <alignment horizontal="center" vertical="bottom" textRotation="0" wrapText="false" indent="0" shrinkToFit="false"/>
      <protection locked="true" hidden="false"/>
    </xf>
    <xf numFmtId="248" fontId="67" fillId="0" borderId="12" xfId="15" applyFont="true" applyBorder="true" applyAlignment="true" applyProtection="true">
      <alignment horizontal="general" vertical="bottom" textRotation="0" wrapText="false" indent="0" shrinkToFit="false"/>
      <protection locked="true" hidden="false"/>
    </xf>
    <xf numFmtId="248" fontId="67" fillId="0" borderId="14" xfId="15" applyFont="true" applyBorder="true" applyAlignment="true" applyProtection="true">
      <alignment horizontal="general" vertical="bottom" textRotation="0" wrapText="false" indent="0" shrinkToFit="false"/>
      <protection locked="true" hidden="false"/>
    </xf>
    <xf numFmtId="248" fontId="67" fillId="0" borderId="13" xfId="15" applyFont="true" applyBorder="true" applyAlignment="true" applyProtection="true">
      <alignment horizontal="general" vertical="bottom" textRotation="0" wrapText="false" indent="0" shrinkToFit="false"/>
      <protection locked="true" hidden="false"/>
    </xf>
    <xf numFmtId="164" fontId="66" fillId="0" borderId="12" xfId="0" applyFont="true" applyBorder="true" applyAlignment="false" applyProtection="false">
      <alignment horizontal="general" vertical="bottom" textRotation="0" wrapText="false" indent="0" shrinkToFit="false"/>
      <protection locked="true" hidden="false"/>
    </xf>
    <xf numFmtId="164" fontId="66" fillId="0" borderId="14" xfId="0" applyFont="true" applyBorder="true" applyAlignment="false" applyProtection="false">
      <alignment horizontal="general" vertical="bottom" textRotation="0" wrapText="false" indent="0" shrinkToFit="false"/>
      <protection locked="true" hidden="false"/>
    </xf>
    <xf numFmtId="164" fontId="57" fillId="0" borderId="14" xfId="0" applyFont="true" applyBorder="true" applyAlignment="false" applyProtection="false">
      <alignment horizontal="general" vertical="bottom" textRotation="0" wrapText="false" indent="0" shrinkToFit="false"/>
      <protection locked="true" hidden="false"/>
    </xf>
    <xf numFmtId="200" fontId="66" fillId="0" borderId="14" xfId="0" applyFont="true" applyBorder="true" applyAlignment="false" applyProtection="false">
      <alignment horizontal="general" vertical="bottom" textRotation="0" wrapText="false" indent="0" shrinkToFit="false"/>
      <protection locked="true" hidden="false"/>
    </xf>
    <xf numFmtId="200" fontId="66" fillId="0" borderId="13" xfId="0" applyFont="true" applyBorder="true" applyAlignment="false" applyProtection="false">
      <alignment horizontal="general" vertical="bottom" textRotation="0" wrapText="false" indent="0" shrinkToFit="false"/>
      <protection locked="true" hidden="false"/>
    </xf>
    <xf numFmtId="200" fontId="66" fillId="0" borderId="0" xfId="0" applyFont="true" applyBorder="false" applyAlignment="false" applyProtection="false">
      <alignment horizontal="general" vertical="bottom" textRotation="0" wrapText="false" indent="0" shrinkToFit="false"/>
      <protection locked="true" hidden="false"/>
    </xf>
    <xf numFmtId="164" fontId="57" fillId="0" borderId="0" xfId="0" applyFont="true" applyBorder="false" applyAlignment="true" applyProtection="true">
      <alignment horizontal="left" vertical="bottom" textRotation="0" wrapText="false" indent="0" shrinkToFit="false"/>
      <protection locked="true" hidden="false"/>
    </xf>
    <xf numFmtId="164" fontId="107" fillId="0" borderId="4" xfId="0" applyFont="true" applyBorder="true" applyAlignment="true" applyProtection="true">
      <alignment horizontal="left" vertical="bottom" textRotation="0" wrapText="false" indent="0" shrinkToFit="false"/>
      <protection locked="true" hidden="false"/>
    </xf>
    <xf numFmtId="247" fontId="57" fillId="0" borderId="0" xfId="0" applyFont="true" applyBorder="true" applyAlignment="false" applyProtection="true">
      <alignment horizontal="general" vertical="bottom" textRotation="0" wrapText="false" indent="0" shrinkToFit="false"/>
      <protection locked="true" hidden="false"/>
    </xf>
    <xf numFmtId="247" fontId="57" fillId="0" borderId="11" xfId="0" applyFont="true" applyBorder="true" applyAlignment="false" applyProtection="true">
      <alignment horizontal="general" vertical="bottom" textRotation="0" wrapText="false" indent="0" shrinkToFit="false"/>
      <protection locked="true" hidden="false"/>
    </xf>
    <xf numFmtId="185" fontId="108" fillId="0" borderId="0" xfId="0" applyFont="true" applyBorder="true" applyAlignment="false" applyProtection="true">
      <alignment horizontal="general" vertical="bottom" textRotation="0" wrapText="false" indent="0" shrinkToFit="false"/>
      <protection locked="true" hidden="false"/>
    </xf>
    <xf numFmtId="185" fontId="108" fillId="0" borderId="11" xfId="0" applyFont="true" applyBorder="true" applyAlignment="false" applyProtection="true">
      <alignment horizontal="general" vertical="bottom" textRotation="0" wrapText="false" indent="0" shrinkToFit="false"/>
      <protection locked="true" hidden="false"/>
    </xf>
    <xf numFmtId="248" fontId="66" fillId="0" borderId="0" xfId="15" applyFont="true" applyBorder="true" applyAlignment="true" applyProtection="true">
      <alignment horizontal="general" vertical="bottom" textRotation="0" wrapText="false" indent="0" shrinkToFit="false"/>
      <protection locked="true" hidden="false"/>
    </xf>
    <xf numFmtId="185" fontId="66" fillId="0" borderId="0" xfId="0" applyFont="true" applyBorder="true" applyAlignment="false" applyProtection="true">
      <alignment horizontal="general" vertical="bottom" textRotation="0" wrapText="false" indent="0" shrinkToFit="false"/>
      <protection locked="true" hidden="false"/>
    </xf>
    <xf numFmtId="185" fontId="66" fillId="0" borderId="11" xfId="0" applyFont="true" applyBorder="true" applyAlignment="false" applyProtection="true">
      <alignment horizontal="general" vertical="bottom" textRotation="0" wrapText="false" indent="0" shrinkToFit="false"/>
      <protection locked="true" hidden="false"/>
    </xf>
    <xf numFmtId="243" fontId="57" fillId="0" borderId="11" xfId="0" applyFont="true" applyBorder="true" applyAlignment="false" applyProtection="false">
      <alignment horizontal="general" vertical="bottom" textRotation="0" wrapText="false" indent="0" shrinkToFit="false"/>
      <protection locked="true" hidden="false"/>
    </xf>
    <xf numFmtId="170" fontId="57" fillId="0" borderId="0" xfId="17" applyFont="true" applyBorder="true" applyAlignment="true" applyProtection="true">
      <alignment horizontal="general" vertical="bottom" textRotation="0" wrapText="false" indent="0" shrinkToFit="false"/>
      <protection locked="true" hidden="false"/>
    </xf>
    <xf numFmtId="164" fontId="25" fillId="0" borderId="0"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false" applyAlignment="false" applyProtection="false">
      <alignment horizontal="general" vertical="bottom" textRotation="0" wrapText="false" indent="0" shrinkToFit="false"/>
      <protection locked="true" hidden="false"/>
    </xf>
    <xf numFmtId="235" fontId="66" fillId="0" borderId="14" xfId="1237" applyFont="true" applyBorder="true" applyAlignment="true" applyProtection="true">
      <alignment horizontal="general" vertical="bottom" textRotation="0" wrapText="false" indent="0" shrinkToFit="false"/>
      <protection locked="true" hidden="false"/>
    </xf>
    <xf numFmtId="164" fontId="25" fillId="0" borderId="14" xfId="0" applyFont="true" applyBorder="true" applyAlignment="false" applyProtection="false">
      <alignment horizontal="general" vertical="bottom" textRotation="0" wrapText="false" indent="0" shrinkToFit="false"/>
      <protection locked="true" hidden="false"/>
    </xf>
    <xf numFmtId="248" fontId="57" fillId="0" borderId="14" xfId="15" applyFont="true" applyBorder="true" applyAlignment="true" applyProtection="true">
      <alignment horizontal="general" vertical="bottom" textRotation="0" wrapText="false" indent="0" shrinkToFit="false"/>
      <protection locked="true" hidden="false"/>
    </xf>
    <xf numFmtId="248" fontId="57" fillId="0" borderId="13" xfId="15" applyFont="true" applyBorder="true" applyAlignment="true" applyProtection="true">
      <alignment horizontal="general" vertical="bottom" textRotation="0" wrapText="false" indent="0" shrinkToFit="false"/>
      <protection locked="true" hidden="false"/>
    </xf>
    <xf numFmtId="164" fontId="83" fillId="0" borderId="4" xfId="0" applyFont="true" applyBorder="true" applyAlignment="false" applyProtection="false">
      <alignment horizontal="general" vertical="bottom" textRotation="0" wrapText="false" indent="0" shrinkToFit="false"/>
      <protection locked="true" hidden="false"/>
    </xf>
    <xf numFmtId="248" fontId="57" fillId="0" borderId="9" xfId="15" applyFont="true" applyBorder="true" applyAlignment="true" applyProtection="true">
      <alignment horizontal="general" vertical="bottom" textRotation="0" wrapText="false" indent="0" shrinkToFit="false"/>
      <protection locked="true" hidden="false"/>
    </xf>
    <xf numFmtId="169" fontId="108" fillId="0" borderId="0" xfId="0" applyFont="true" applyBorder="true" applyAlignment="false" applyProtection="false">
      <alignment horizontal="general" vertical="bottom" textRotation="0" wrapText="false" indent="0" shrinkToFit="false"/>
      <protection locked="true" hidden="false"/>
    </xf>
    <xf numFmtId="169" fontId="108" fillId="0" borderId="11" xfId="0" applyFont="true" applyBorder="true" applyAlignment="false" applyProtection="false">
      <alignment horizontal="general" vertical="bottom" textRotation="0" wrapText="false" indent="0" shrinkToFit="false"/>
      <protection locked="true" hidden="false"/>
    </xf>
    <xf numFmtId="169" fontId="57" fillId="0" borderId="3" xfId="0" applyFont="true" applyBorder="true" applyAlignment="false" applyProtection="false">
      <alignment horizontal="general" vertical="bottom" textRotation="0" wrapText="false" indent="0" shrinkToFit="false"/>
      <protection locked="true" hidden="false"/>
    </xf>
    <xf numFmtId="169" fontId="57" fillId="0" borderId="7" xfId="0" applyFont="true" applyBorder="true" applyAlignment="false" applyProtection="false">
      <alignment horizontal="general" vertical="bottom" textRotation="0" wrapText="false" indent="0" shrinkToFit="false"/>
      <protection locked="true" hidden="false"/>
    </xf>
    <xf numFmtId="193" fontId="108" fillId="0" borderId="0" xfId="0" applyFont="true" applyBorder="true" applyAlignment="false" applyProtection="false">
      <alignment horizontal="general" vertical="bottom" textRotation="0" wrapText="false" indent="0" shrinkToFit="false"/>
      <protection locked="true" hidden="false"/>
    </xf>
    <xf numFmtId="193" fontId="108" fillId="0" borderId="11" xfId="0" applyFont="true" applyBorder="true" applyAlignment="false" applyProtection="false">
      <alignment horizontal="general" vertical="bottom" textRotation="0" wrapText="false" indent="0" shrinkToFit="false"/>
      <protection locked="true" hidden="false"/>
    </xf>
    <xf numFmtId="235" fontId="57" fillId="2" borderId="5" xfId="1237" applyFont="true" applyBorder="true" applyAlignment="true" applyProtection="true">
      <alignment horizontal="general" vertical="bottom" textRotation="0" wrapText="false" indent="0" shrinkToFit="false"/>
      <protection locked="true" hidden="false"/>
    </xf>
    <xf numFmtId="235" fontId="123" fillId="0" borderId="0" xfId="1237" applyFont="true" applyBorder="true" applyAlignment="true" applyProtection="true">
      <alignment horizontal="right" vertical="bottom" textRotation="0" wrapText="false" indent="0" shrinkToFit="false"/>
      <protection locked="true" hidden="false"/>
    </xf>
    <xf numFmtId="235" fontId="12" fillId="0" borderId="0" xfId="1237" applyFont="true" applyBorder="true" applyAlignment="true" applyProtection="true">
      <alignment horizontal="general" vertical="bottom" textRotation="0" wrapText="false" indent="0" shrinkToFit="false"/>
      <protection locked="true" hidden="false"/>
    </xf>
    <xf numFmtId="235" fontId="57" fillId="0" borderId="0" xfId="1237" applyFont="true" applyBorder="true" applyAlignment="true" applyProtection="true">
      <alignment horizontal="general" vertical="bottom" textRotation="0" wrapText="false" indent="0" shrinkToFit="false"/>
      <protection locked="true" hidden="false"/>
    </xf>
    <xf numFmtId="164" fontId="124" fillId="0" borderId="4" xfId="0" applyFont="true" applyBorder="true" applyAlignment="true" applyProtection="true">
      <alignment horizontal="left" vertical="bottom" textRotation="0" wrapText="false" indent="0" shrinkToFit="false"/>
      <protection locked="false" hidden="false"/>
    </xf>
    <xf numFmtId="259" fontId="108" fillId="0" borderId="9" xfId="0" applyFont="true" applyBorder="true" applyAlignment="false" applyProtection="true">
      <alignment horizontal="general" vertical="bottom" textRotation="0" wrapText="false" indent="0" shrinkToFit="false"/>
      <protection locked="false" hidden="false"/>
    </xf>
    <xf numFmtId="259" fontId="125" fillId="0" borderId="0" xfId="0" applyFont="true" applyBorder="false" applyAlignment="false" applyProtection="true">
      <alignment horizontal="general" vertical="bottom" textRotation="0" wrapText="false" indent="0" shrinkToFit="false"/>
      <protection locked="false" hidden="false"/>
    </xf>
    <xf numFmtId="236" fontId="67" fillId="0" borderId="0" xfId="0" applyFont="true" applyBorder="true" applyAlignment="false" applyProtection="true">
      <alignment horizontal="general" vertical="bottom" textRotation="0" wrapText="false" indent="0" shrinkToFit="false"/>
      <protection locked="false" hidden="false"/>
    </xf>
    <xf numFmtId="236" fontId="57" fillId="0" borderId="0" xfId="0" applyFont="true" applyBorder="true" applyAlignment="false" applyProtection="true">
      <alignment horizontal="general" vertical="bottom" textRotation="0" wrapText="false" indent="0" shrinkToFit="false"/>
      <protection locked="true" hidden="false"/>
    </xf>
    <xf numFmtId="164" fontId="58" fillId="0" borderId="0" xfId="0" applyFont="true" applyBorder="false" applyAlignment="true" applyProtection="true">
      <alignment horizontal="center" vertical="bottom" textRotation="0" wrapText="false" indent="0" shrinkToFit="false"/>
      <protection locked="false" hidden="false"/>
    </xf>
    <xf numFmtId="240" fontId="67" fillId="0" borderId="0" xfId="0" applyFont="true" applyBorder="true" applyAlignment="false" applyProtection="true">
      <alignment horizontal="general" vertical="bottom" textRotation="0" wrapText="false" indent="0" shrinkToFit="false"/>
      <protection locked="false" hidden="false"/>
    </xf>
    <xf numFmtId="243" fontId="57" fillId="0" borderId="11" xfId="19" applyFont="true" applyBorder="true" applyAlignment="true" applyProtection="true">
      <alignment horizontal="general" vertical="bottom" textRotation="0" wrapText="false" indent="0" shrinkToFit="false"/>
      <protection locked="true" hidden="false"/>
    </xf>
    <xf numFmtId="206" fontId="12" fillId="0" borderId="0" xfId="0" applyFont="true" applyBorder="false" applyAlignment="false" applyProtection="true">
      <alignment horizontal="general" vertical="bottom" textRotation="0" wrapText="false" indent="0" shrinkToFit="false"/>
      <protection locked="true" hidden="false"/>
    </xf>
    <xf numFmtId="261" fontId="12" fillId="0" borderId="0" xfId="0" applyFont="true" applyBorder="false" applyAlignment="false" applyProtection="true">
      <alignment horizontal="general" vertical="bottom" textRotation="0" wrapText="false" indent="0" shrinkToFit="false"/>
      <protection locked="true" hidden="false"/>
    </xf>
    <xf numFmtId="240" fontId="57" fillId="0" borderId="0" xfId="0" applyFont="true" applyBorder="true" applyAlignment="false" applyProtection="true">
      <alignment horizontal="general" vertical="bottom" textRotation="0" wrapText="false" indent="0" shrinkToFit="false"/>
      <protection locked="true" hidden="false"/>
    </xf>
    <xf numFmtId="266" fontId="67" fillId="0" borderId="0" xfId="0" applyFont="tru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true" hidden="false"/>
    </xf>
    <xf numFmtId="248" fontId="116" fillId="0" borderId="0" xfId="15" applyFont="true" applyBorder="true" applyAlignment="true" applyProtection="true">
      <alignment horizontal="general" vertical="bottom" textRotation="0" wrapText="false" indent="0" shrinkToFit="false"/>
      <protection locked="true" hidden="false"/>
    </xf>
    <xf numFmtId="248" fontId="116" fillId="0" borderId="11" xfId="15" applyFont="true" applyBorder="true" applyAlignment="true" applyProtection="true">
      <alignment horizontal="general" vertical="bottom" textRotation="0" wrapText="false" indent="0" shrinkToFit="false"/>
      <protection locked="true" hidden="false"/>
    </xf>
    <xf numFmtId="164" fontId="57" fillId="0" borderId="6" xfId="0" applyFont="true" applyBorder="true" applyAlignment="true" applyProtection="true">
      <alignment horizontal="left" vertical="bottom" textRotation="0" wrapText="false" indent="0" shrinkToFit="false"/>
      <protection locked="true" hidden="false"/>
    </xf>
    <xf numFmtId="164" fontId="57" fillId="0" borderId="3" xfId="0" applyFont="true" applyBorder="true" applyAlignment="false" applyProtection="true">
      <alignment horizontal="general" vertical="bottom" textRotation="0" wrapText="false" indent="0" shrinkToFit="false"/>
      <protection locked="true" hidden="false"/>
    </xf>
    <xf numFmtId="164" fontId="57" fillId="0" borderId="0" xfId="0" applyFont="true" applyBorder="false" applyAlignment="false" applyProtection="true">
      <alignment horizontal="general" vertical="bottom" textRotation="0" wrapText="false" indent="0" shrinkToFit="false"/>
      <protection locked="true" hidden="false"/>
    </xf>
    <xf numFmtId="164" fontId="124" fillId="0" borderId="10" xfId="0" applyFont="true" applyBorder="true" applyAlignment="true" applyProtection="true">
      <alignment horizontal="left" vertical="bottom" textRotation="0" wrapText="false" indent="0" shrinkToFit="false"/>
      <protection locked="false" hidden="false"/>
    </xf>
    <xf numFmtId="206" fontId="57" fillId="0" borderId="0" xfId="0" applyFont="true" applyBorder="true" applyAlignment="false" applyProtection="true">
      <alignment horizontal="general" vertical="bottom" textRotation="0" wrapText="false" indent="0" shrinkToFit="false"/>
      <protection locked="true" hidden="false"/>
    </xf>
    <xf numFmtId="243" fontId="67" fillId="0" borderId="11" xfId="19" applyFont="true" applyBorder="true" applyAlignment="true" applyProtection="true">
      <alignment horizontal="general" vertical="bottom" textRotation="0" wrapText="false" indent="0" shrinkToFit="false"/>
      <protection locked="true" hidden="false"/>
    </xf>
    <xf numFmtId="244" fontId="67" fillId="0" borderId="0" xfId="19" applyFont="true" applyBorder="true" applyAlignment="true" applyProtection="true">
      <alignment horizontal="general" vertical="bottom" textRotation="0" wrapText="false" indent="0" shrinkToFit="false"/>
      <protection locked="true" hidden="false"/>
    </xf>
    <xf numFmtId="243" fontId="58" fillId="0" borderId="0" xfId="19" applyFont="true" applyBorder="true" applyAlignment="true" applyProtection="true">
      <alignment horizontal="general" vertical="bottom" textRotation="0" wrapText="false" indent="0" shrinkToFit="false"/>
      <protection locked="true" hidden="false"/>
    </xf>
    <xf numFmtId="164" fontId="57" fillId="0" borderId="9" xfId="0" applyFont="true" applyBorder="true" applyAlignment="true" applyProtection="true">
      <alignment horizontal="right" vertical="bottom" textRotation="0" wrapText="false" indent="0" shrinkToFit="false"/>
      <protection locked="true" hidden="false"/>
    </xf>
    <xf numFmtId="235" fontId="57" fillId="0" borderId="9" xfId="1237" applyFont="true" applyBorder="true" applyAlignment="true" applyProtection="true">
      <alignment horizontal="right" vertical="bottom" textRotation="0" wrapText="false" indent="0" shrinkToFit="false"/>
      <protection locked="true" hidden="false"/>
    </xf>
    <xf numFmtId="235" fontId="57" fillId="0" borderId="5" xfId="1237" applyFont="true" applyBorder="true" applyAlignment="true" applyProtection="true">
      <alignment horizontal="general" vertical="bottom" textRotation="0" wrapText="false" indent="0" shrinkToFit="false"/>
      <protection locked="true" hidden="false"/>
    </xf>
    <xf numFmtId="235" fontId="25" fillId="0" borderId="0" xfId="1237" applyFont="false" applyBorder="true" applyAlignment="true" applyProtection="true">
      <alignment horizontal="right" vertical="bottom" textRotation="0" wrapText="false" indent="0" shrinkToFit="false"/>
      <protection locked="true" hidden="false"/>
    </xf>
    <xf numFmtId="243" fontId="12" fillId="0" borderId="0" xfId="19" applyFont="true" applyBorder="true" applyAlignment="true" applyProtection="true">
      <alignment horizontal="general" vertical="bottom" textRotation="0" wrapText="false" indent="0" shrinkToFit="false"/>
      <protection locked="true" hidden="false"/>
    </xf>
    <xf numFmtId="243" fontId="67" fillId="0" borderId="0" xfId="19" applyFont="true" applyBorder="true" applyAlignment="true" applyProtection="true">
      <alignment horizontal="general" vertical="bottom" textRotation="0" wrapText="false" indent="0" shrinkToFit="false"/>
      <protection locked="false" hidden="false"/>
    </xf>
    <xf numFmtId="247" fontId="57" fillId="0" borderId="0" xfId="0" applyFont="true" applyBorder="true" applyAlignment="false" applyProtection="false">
      <alignment horizontal="general" vertical="bottom" textRotation="0" wrapText="false" indent="0" shrinkToFit="false"/>
      <protection locked="true" hidden="false"/>
    </xf>
    <xf numFmtId="248" fontId="126" fillId="0" borderId="0" xfId="15" applyFont="true" applyBorder="true" applyAlignment="true" applyProtection="true">
      <alignment horizontal="general" vertical="bottom" textRotation="0" wrapText="false" indent="0" shrinkToFit="false"/>
      <protection locked="true" hidden="false"/>
    </xf>
    <xf numFmtId="247" fontId="25" fillId="0" borderId="0" xfId="17" applyFont="true" applyBorder="true" applyAlignment="true" applyProtection="true">
      <alignment horizontal="general" vertical="bottom" textRotation="0" wrapText="false" indent="0" shrinkToFit="false"/>
      <protection locked="true" hidden="false"/>
    </xf>
    <xf numFmtId="240" fontId="67" fillId="0" borderId="0" xfId="0" applyFont="true" applyBorder="false" applyAlignment="false" applyProtection="true">
      <alignment horizontal="general" vertical="bottom" textRotation="0" wrapText="false" indent="0" shrinkToFit="false"/>
      <protection locked="false" hidden="false"/>
    </xf>
    <xf numFmtId="164" fontId="63" fillId="0" borderId="0" xfId="0" applyFont="true" applyBorder="false" applyAlignment="true" applyProtection="false">
      <alignment horizontal="general" vertical="bottom" textRotation="0" wrapText="false" indent="0" shrinkToFit="false"/>
      <protection locked="true" hidden="false"/>
    </xf>
    <xf numFmtId="164" fontId="28" fillId="0" borderId="0" xfId="0" applyFont="true" applyBorder="false" applyAlignment="true" applyProtection="false">
      <alignment horizontal="center" vertical="bottom" textRotation="0" wrapText="false" indent="0" shrinkToFit="false"/>
      <protection locked="true" hidden="false"/>
    </xf>
    <xf numFmtId="249" fontId="127" fillId="0" borderId="0" xfId="19" applyFont="true" applyBorder="true" applyAlignment="true" applyProtection="true">
      <alignment horizontal="general" vertical="bottom" textRotation="0" wrapText="false" indent="0" shrinkToFit="false"/>
      <protection locked="true" hidden="false"/>
    </xf>
    <xf numFmtId="249" fontId="128" fillId="0" borderId="0" xfId="19" applyFont="true" applyBorder="true" applyAlignment="true" applyProtection="true">
      <alignment horizontal="general" vertical="bottom" textRotation="0" wrapText="false" indent="0" shrinkToFit="false"/>
      <protection locked="true" hidden="false"/>
    </xf>
    <xf numFmtId="249" fontId="57" fillId="0" borderId="0" xfId="0" applyFont="true" applyBorder="false" applyAlignment="false" applyProtection="false">
      <alignment horizontal="general" vertical="bottom" textRotation="0" wrapText="false" indent="0" shrinkToFit="false"/>
      <protection locked="true" hidden="false"/>
    </xf>
    <xf numFmtId="164" fontId="111" fillId="0" borderId="0" xfId="1293" applyFont="true" applyBorder="false" applyAlignment="false" applyProtection="false">
      <alignment horizontal="general" vertical="bottom" textRotation="0" wrapText="false" indent="0" shrinkToFit="false"/>
      <protection locked="true" hidden="false"/>
    </xf>
    <xf numFmtId="164" fontId="129" fillId="0" borderId="0" xfId="1293" applyFont="true" applyBorder="false" applyAlignment="false" applyProtection="false">
      <alignment horizontal="general" vertical="bottom" textRotation="0" wrapText="false" indent="0" shrinkToFit="false"/>
      <protection locked="true" hidden="false"/>
    </xf>
    <xf numFmtId="164" fontId="130" fillId="0" borderId="0" xfId="1293" applyFont="true" applyBorder="false" applyAlignment="false" applyProtection="false">
      <alignment horizontal="general" vertical="bottom" textRotation="0" wrapText="false" indent="0" shrinkToFit="false"/>
      <protection locked="true" hidden="false"/>
    </xf>
    <xf numFmtId="164" fontId="130" fillId="0" borderId="0" xfId="1293" applyFont="true" applyBorder="false" applyAlignment="true" applyProtection="false">
      <alignment horizontal="center" vertical="bottom" textRotation="0" wrapText="false" indent="0" shrinkToFit="false"/>
      <protection locked="true" hidden="false"/>
    </xf>
    <xf numFmtId="164" fontId="131" fillId="0" borderId="0" xfId="1293" applyFont="true" applyBorder="false" applyAlignment="false" applyProtection="false">
      <alignment horizontal="general" vertical="bottom" textRotation="0" wrapText="false" indent="0" shrinkToFit="false"/>
      <protection locked="true" hidden="false"/>
    </xf>
    <xf numFmtId="164" fontId="130" fillId="2" borderId="7" xfId="1293" applyFont="true" applyBorder="true" applyAlignment="false" applyProtection="false">
      <alignment horizontal="general" vertical="bottom" textRotation="0" wrapText="false" indent="0" shrinkToFit="false"/>
      <protection locked="true" hidden="false"/>
    </xf>
    <xf numFmtId="164" fontId="63" fillId="0" borderId="0" xfId="0" applyFont="true" applyBorder="true" applyAlignment="false" applyProtection="false">
      <alignment horizontal="general" vertical="bottom" textRotation="0" wrapText="false" indent="0" shrinkToFit="false"/>
      <protection locked="true" hidden="false"/>
    </xf>
    <xf numFmtId="164" fontId="124" fillId="0" borderId="0" xfId="1293" applyFont="true" applyBorder="true" applyAlignment="false" applyProtection="false">
      <alignment horizontal="general" vertical="bottom" textRotation="0" wrapText="false" indent="0" shrinkToFit="false"/>
      <protection locked="true" hidden="false"/>
    </xf>
    <xf numFmtId="164" fontId="130" fillId="0" borderId="0" xfId="1293" applyFont="true" applyBorder="true" applyAlignment="false" applyProtection="false">
      <alignment horizontal="general" vertical="bottom" textRotation="0" wrapText="false" indent="0" shrinkToFit="false"/>
      <protection locked="true" hidden="false"/>
    </xf>
    <xf numFmtId="164" fontId="124" fillId="0" borderId="0" xfId="1293" applyFont="true" applyBorder="false" applyAlignment="true" applyProtection="false">
      <alignment horizontal="center" vertical="bottom" textRotation="0" wrapText="false" indent="0" shrinkToFit="false"/>
      <protection locked="true" hidden="false"/>
    </xf>
    <xf numFmtId="164" fontId="124" fillId="0" borderId="4" xfId="1293" applyFont="true" applyBorder="true" applyAlignment="false" applyProtection="false">
      <alignment horizontal="general" vertical="bottom" textRotation="0" wrapText="false" indent="0" shrinkToFit="false"/>
      <protection locked="true" hidden="false"/>
    </xf>
    <xf numFmtId="164" fontId="111" fillId="0" borderId="9" xfId="1293" applyFont="true" applyBorder="true" applyAlignment="false" applyProtection="false">
      <alignment horizontal="general" vertical="bottom" textRotation="0" wrapText="false" indent="0" shrinkToFit="false"/>
      <protection locked="true" hidden="false"/>
    </xf>
    <xf numFmtId="246" fontId="109" fillId="0" borderId="5" xfId="1293" applyFont="true" applyBorder="true" applyAlignment="false" applyProtection="false">
      <alignment horizontal="general" vertical="bottom" textRotation="0" wrapText="false" indent="0" shrinkToFit="false"/>
      <protection locked="true" hidden="false"/>
    </xf>
    <xf numFmtId="246" fontId="62" fillId="0" borderId="0" xfId="1293" applyFont="true" applyBorder="true" applyAlignment="false" applyProtection="false">
      <alignment horizontal="general" vertical="bottom" textRotation="0" wrapText="false" indent="0" shrinkToFit="false"/>
      <protection locked="true" hidden="false"/>
    </xf>
    <xf numFmtId="164" fontId="124" fillId="0" borderId="10" xfId="1293" applyFont="true" applyBorder="true" applyAlignment="false" applyProtection="false">
      <alignment horizontal="general" vertical="bottom" textRotation="0" wrapText="false" indent="0" shrinkToFit="false"/>
      <protection locked="true" hidden="false"/>
    </xf>
    <xf numFmtId="164" fontId="111" fillId="0" borderId="0" xfId="1293" applyFont="true" applyBorder="true" applyAlignment="false" applyProtection="false">
      <alignment horizontal="general" vertical="bottom" textRotation="0" wrapText="false" indent="0" shrinkToFit="false"/>
      <protection locked="true" hidden="false"/>
    </xf>
    <xf numFmtId="243" fontId="124" fillId="0" borderId="11" xfId="1293" applyFont="true" applyBorder="true" applyAlignment="false" applyProtection="false">
      <alignment horizontal="general" vertical="bottom" textRotation="0" wrapText="false" indent="0" shrinkToFit="false"/>
      <protection locked="true" hidden="false"/>
    </xf>
    <xf numFmtId="243" fontId="124" fillId="0" borderId="0" xfId="1293" applyFont="true" applyBorder="true" applyAlignment="false" applyProtection="false">
      <alignment horizontal="general" vertical="bottom" textRotation="0" wrapText="false" indent="0" shrinkToFit="false"/>
      <protection locked="true" hidden="false"/>
    </xf>
    <xf numFmtId="170" fontId="124" fillId="0" borderId="0" xfId="1080" applyFont="true" applyBorder="true" applyAlignment="true" applyProtection="true">
      <alignment horizontal="general" vertical="bottom" textRotation="0" wrapText="false" indent="0" shrinkToFit="false"/>
      <protection locked="true" hidden="false"/>
    </xf>
    <xf numFmtId="235" fontId="132" fillId="0" borderId="11" xfId="1293" applyFont="true" applyBorder="true" applyAlignment="false" applyProtection="false">
      <alignment horizontal="general" vertical="bottom" textRotation="0" wrapText="false" indent="0" shrinkToFit="false"/>
      <protection locked="true" hidden="false"/>
    </xf>
    <xf numFmtId="235" fontId="124" fillId="0" borderId="0" xfId="1293" applyFont="true" applyBorder="true" applyAlignment="false" applyProtection="false">
      <alignment horizontal="general" vertical="bottom" textRotation="0" wrapText="false" indent="0" shrinkToFit="false"/>
      <protection locked="true" hidden="false"/>
    </xf>
    <xf numFmtId="164" fontId="124" fillId="0" borderId="0" xfId="1293" applyFont="true" applyBorder="false" applyAlignment="false" applyProtection="false">
      <alignment horizontal="general" vertical="bottom" textRotation="0" wrapText="false" indent="0" shrinkToFit="false"/>
      <protection locked="true" hidden="false"/>
    </xf>
    <xf numFmtId="164" fontId="111" fillId="0" borderId="10" xfId="1293" applyFont="true" applyBorder="true" applyAlignment="false" applyProtection="false">
      <alignment horizontal="general" vertical="bottom" textRotation="0" wrapText="false" indent="0" shrinkToFit="false"/>
      <protection locked="true" hidden="false"/>
    </xf>
    <xf numFmtId="164" fontId="111" fillId="0" borderId="11" xfId="1293" applyFont="true" applyBorder="true" applyAlignment="false" applyProtection="false">
      <alignment horizontal="general" vertical="bottom" textRotation="0" wrapText="false" indent="0" shrinkToFit="false"/>
      <protection locked="true" hidden="false"/>
    </xf>
    <xf numFmtId="243" fontId="109" fillId="0" borderId="11" xfId="1293" applyFont="true" applyBorder="true" applyAlignment="false" applyProtection="false">
      <alignment horizontal="general" vertical="bottom" textRotation="0" wrapText="false" indent="0" shrinkToFit="false"/>
      <protection locked="true" hidden="false"/>
    </xf>
    <xf numFmtId="243" fontId="109" fillId="0" borderId="0" xfId="1293" applyFont="true" applyBorder="true" applyAlignment="false" applyProtection="false">
      <alignment horizontal="general" vertical="bottom" textRotation="0" wrapText="false" indent="0" shrinkToFit="false"/>
      <protection locked="true" hidden="false"/>
    </xf>
    <xf numFmtId="170" fontId="124" fillId="0" borderId="0" xfId="1293" applyFont="true" applyBorder="false" applyAlignment="false" applyProtection="false">
      <alignment horizontal="general" vertical="bottom" textRotation="0" wrapText="false" indent="0" shrinkToFit="false"/>
      <protection locked="true" hidden="false"/>
    </xf>
    <xf numFmtId="235" fontId="132" fillId="0" borderId="11" xfId="1293" applyFont="true" applyBorder="true" applyAlignment="false" applyProtection="false">
      <alignment horizontal="general" vertical="bottom" textRotation="0" wrapText="false" indent="0" shrinkToFit="false"/>
      <protection locked="true" hidden="false"/>
    </xf>
    <xf numFmtId="235" fontId="124" fillId="0" borderId="0" xfId="1293" applyFont="true" applyBorder="true" applyAlignment="false" applyProtection="false">
      <alignment horizontal="general" vertical="bottom" textRotation="0" wrapText="false" indent="0" shrinkToFit="false"/>
      <protection locked="true" hidden="false"/>
    </xf>
    <xf numFmtId="243" fontId="111" fillId="0" borderId="0" xfId="1293" applyFont="true" applyBorder="false" applyAlignment="false" applyProtection="false">
      <alignment horizontal="general" vertical="bottom" textRotation="0" wrapText="false" indent="0" shrinkToFit="false"/>
      <protection locked="true" hidden="false"/>
    </xf>
    <xf numFmtId="164" fontId="111" fillId="0" borderId="6" xfId="1293" applyFont="true" applyBorder="true" applyAlignment="false" applyProtection="false">
      <alignment horizontal="general" vertical="bottom" textRotation="0" wrapText="false" indent="0" shrinkToFit="false"/>
      <protection locked="true" hidden="false"/>
    </xf>
    <xf numFmtId="164" fontId="111" fillId="0" borderId="3" xfId="1293" applyFont="true" applyBorder="true" applyAlignment="false" applyProtection="false">
      <alignment horizontal="general" vertical="bottom" textRotation="0" wrapText="false" indent="0" shrinkToFit="false"/>
      <protection locked="true" hidden="false"/>
    </xf>
    <xf numFmtId="164" fontId="124" fillId="0" borderId="7" xfId="1293" applyFont="true" applyBorder="true" applyAlignment="false" applyProtection="false">
      <alignment horizontal="general" vertical="bottom" textRotation="0" wrapText="false" indent="0" shrinkToFit="false"/>
      <protection locked="true" hidden="false"/>
    </xf>
    <xf numFmtId="164" fontId="124" fillId="0" borderId="6" xfId="1293" applyFont="true" applyBorder="true" applyAlignment="false" applyProtection="false">
      <alignment horizontal="general" vertical="bottom" textRotation="0" wrapText="false" indent="0" shrinkToFit="false"/>
      <protection locked="true" hidden="false"/>
    </xf>
    <xf numFmtId="246" fontId="124" fillId="0" borderId="7" xfId="1293" applyFont="true" applyBorder="true" applyAlignment="false" applyProtection="false">
      <alignment horizontal="general" vertical="bottom" textRotation="0" wrapText="false" indent="0" shrinkToFit="false"/>
      <protection locked="true" hidden="false"/>
    </xf>
    <xf numFmtId="246" fontId="124" fillId="0" borderId="0" xfId="1293" applyFont="true" applyBorder="true" applyAlignment="false" applyProtection="false">
      <alignment horizontal="general" vertical="bottom" textRotation="0" wrapText="false" indent="0" shrinkToFit="false"/>
      <protection locked="true" hidden="false"/>
    </xf>
    <xf numFmtId="231" fontId="111" fillId="0" borderId="0" xfId="1293" applyFont="true" applyBorder="false" applyAlignment="false" applyProtection="false">
      <alignment horizontal="general" vertical="bottom" textRotation="0" wrapText="false" indent="0" shrinkToFit="false"/>
      <protection locked="true" hidden="false"/>
    </xf>
    <xf numFmtId="231" fontId="129" fillId="0" borderId="0" xfId="1293" applyFont="true" applyBorder="false" applyAlignment="false" applyProtection="false">
      <alignment horizontal="general" vertical="bottom" textRotation="0" wrapText="false" indent="0" shrinkToFit="false"/>
      <protection locked="true" hidden="false"/>
    </xf>
    <xf numFmtId="164" fontId="124" fillId="0" borderId="8" xfId="1293" applyFont="true" applyBorder="true" applyAlignment="true" applyProtection="false">
      <alignment horizontal="center" vertical="bottom" textRotation="0" wrapText="false" indent="0" shrinkToFit="false"/>
      <protection locked="true" hidden="false"/>
    </xf>
    <xf numFmtId="164" fontId="124" fillId="0" borderId="8" xfId="1293" applyFont="true" applyBorder="true" applyAlignment="true" applyProtection="false">
      <alignment horizontal="center" vertical="bottom" textRotation="0" wrapText="true" indent="0" shrinkToFit="false"/>
      <protection locked="true" hidden="false"/>
    </xf>
    <xf numFmtId="164" fontId="124" fillId="0" borderId="13" xfId="1293" applyFont="true" applyBorder="true" applyAlignment="true" applyProtection="false">
      <alignment horizontal="center" vertical="bottom" textRotation="0" wrapText="false" indent="0" shrinkToFit="false"/>
      <protection locked="true" hidden="false"/>
    </xf>
    <xf numFmtId="164" fontId="111" fillId="0" borderId="25" xfId="1293" applyFont="true" applyBorder="true" applyAlignment="false" applyProtection="false">
      <alignment horizontal="general" vertical="bottom" textRotation="0" wrapText="false" indent="0" shrinkToFit="false"/>
      <protection locked="true" hidden="false"/>
    </xf>
    <xf numFmtId="164" fontId="124" fillId="0" borderId="25" xfId="1293" applyFont="true" applyBorder="true" applyAlignment="false" applyProtection="false">
      <alignment horizontal="general" vertical="bottom" textRotation="0" wrapText="false" indent="0" shrinkToFit="false"/>
      <protection locked="true" hidden="false"/>
    </xf>
    <xf numFmtId="164" fontId="124" fillId="0" borderId="11" xfId="1293" applyFont="true" applyBorder="true" applyAlignment="false" applyProtection="false">
      <alignment horizontal="general" vertical="bottom" textRotation="0" wrapText="false" indent="0" shrinkToFit="false"/>
      <protection locked="true" hidden="false"/>
    </xf>
    <xf numFmtId="164" fontId="111" fillId="0" borderId="25" xfId="1293" applyFont="true" applyBorder="true" applyAlignment="true" applyProtection="false">
      <alignment horizontal="center" vertical="bottom" textRotation="0" wrapText="false" indent="0" shrinkToFit="false"/>
      <protection locked="true" hidden="false"/>
    </xf>
    <xf numFmtId="250" fontId="111" fillId="0" borderId="25" xfId="1293" applyFont="true" applyBorder="true" applyAlignment="false" applyProtection="false">
      <alignment horizontal="general" vertical="bottom" textRotation="0" wrapText="false" indent="0" shrinkToFit="false"/>
      <protection locked="true" hidden="false"/>
    </xf>
    <xf numFmtId="246" fontId="67" fillId="0" borderId="25" xfId="1293" applyFont="true" applyBorder="true" applyAlignment="false" applyProtection="false">
      <alignment horizontal="general" vertical="bottom" textRotation="0" wrapText="false" indent="0" shrinkToFit="false"/>
      <protection locked="true" hidden="false"/>
    </xf>
    <xf numFmtId="169" fontId="111" fillId="0" borderId="25" xfId="1293" applyFont="true" applyBorder="true" applyAlignment="false" applyProtection="false">
      <alignment horizontal="general" vertical="bottom" textRotation="0" wrapText="false" indent="0" shrinkToFit="false"/>
      <protection locked="true" hidden="false"/>
    </xf>
    <xf numFmtId="246" fontId="111" fillId="0" borderId="11" xfId="1293" applyFont="true" applyBorder="true" applyAlignment="false" applyProtection="false">
      <alignment horizontal="general" vertical="bottom" textRotation="0" wrapText="false" indent="0" shrinkToFit="false"/>
      <protection locked="true" hidden="false"/>
    </xf>
    <xf numFmtId="246" fontId="111" fillId="0" borderId="25" xfId="1293" applyFont="true" applyBorder="true" applyAlignment="false" applyProtection="false">
      <alignment horizontal="general" vertical="bottom" textRotation="0" wrapText="false" indent="0" shrinkToFit="false"/>
      <protection locked="true" hidden="false"/>
    </xf>
    <xf numFmtId="164" fontId="111" fillId="0" borderId="26" xfId="1293" applyFont="true" applyBorder="true" applyAlignment="true" applyProtection="false">
      <alignment horizontal="center" vertical="bottom" textRotation="0" wrapText="false" indent="0" shrinkToFit="false"/>
      <protection locked="true" hidden="false"/>
    </xf>
    <xf numFmtId="250" fontId="111" fillId="0" borderId="26" xfId="1293" applyFont="true" applyBorder="true" applyAlignment="false" applyProtection="false">
      <alignment horizontal="general" vertical="bottom" textRotation="0" wrapText="false" indent="0" shrinkToFit="false"/>
      <protection locked="true" hidden="false"/>
    </xf>
    <xf numFmtId="246" fontId="67" fillId="0" borderId="26" xfId="1293" applyFont="true" applyBorder="true" applyAlignment="false" applyProtection="false">
      <alignment horizontal="general" vertical="bottom" textRotation="0" wrapText="false" indent="0" shrinkToFit="false"/>
      <protection locked="true" hidden="false"/>
    </xf>
    <xf numFmtId="169" fontId="111" fillId="0" borderId="26" xfId="1293" applyFont="true" applyBorder="true" applyAlignment="false" applyProtection="false">
      <alignment horizontal="general" vertical="bottom" textRotation="0" wrapText="false" indent="0" shrinkToFit="false"/>
      <protection locked="true" hidden="false"/>
    </xf>
    <xf numFmtId="246" fontId="111" fillId="0" borderId="26" xfId="1293" applyFont="true" applyBorder="true" applyAlignment="false" applyProtection="false">
      <alignment horizontal="general" vertical="bottom" textRotation="0" wrapText="false" indent="0" shrinkToFit="false"/>
      <protection locked="true" hidden="false"/>
    </xf>
    <xf numFmtId="246" fontId="111" fillId="0" borderId="7" xfId="1293" applyFont="true" applyBorder="true" applyAlignment="false" applyProtection="false">
      <alignment horizontal="general" vertical="bottom" textRotation="0" wrapText="false" indent="0" shrinkToFit="false"/>
      <protection locked="true" hidden="false"/>
    </xf>
    <xf numFmtId="250" fontId="28" fillId="0" borderId="0" xfId="0" applyFont="true" applyBorder="false" applyAlignment="false" applyProtection="false">
      <alignment horizontal="general" vertical="bottom" textRotation="0" wrapText="false" indent="0" shrinkToFit="false"/>
      <protection locked="true" hidden="false"/>
    </xf>
    <xf numFmtId="250" fontId="111" fillId="0" borderId="0" xfId="1293" applyFont="true" applyBorder="true" applyAlignment="false" applyProtection="false">
      <alignment horizontal="general" vertical="bottom" textRotation="0" wrapText="false" indent="0" shrinkToFit="false"/>
      <protection locked="true" hidden="false"/>
    </xf>
    <xf numFmtId="250" fontId="131" fillId="0" borderId="0" xfId="1293" applyFont="true" applyBorder="true" applyAlignment="false" applyProtection="false">
      <alignment horizontal="general" vertical="bottom" textRotation="0" wrapText="false" indent="0" shrinkToFit="false"/>
      <protection locked="true" hidden="false"/>
    </xf>
    <xf numFmtId="250" fontId="67" fillId="0" borderId="0" xfId="1293" applyFont="true" applyBorder="true" applyAlignment="false" applyProtection="false">
      <alignment horizontal="general" vertical="bottom" textRotation="0" wrapText="false" indent="0" shrinkToFit="false"/>
      <protection locked="true" hidden="false"/>
    </xf>
    <xf numFmtId="250" fontId="133" fillId="0" borderId="0" xfId="1293" applyFont="true" applyBorder="true" applyAlignment="false" applyProtection="false">
      <alignment horizontal="general" vertical="bottom" textRotation="0" wrapText="false" indent="0" shrinkToFit="false"/>
      <protection locked="true" hidden="false"/>
    </xf>
    <xf numFmtId="164" fontId="131" fillId="0" borderId="0" xfId="1293" applyFont="true" applyBorder="true" applyAlignment="false" applyProtection="false">
      <alignment horizontal="general" vertical="bottom" textRotation="0" wrapText="false" indent="0" shrinkToFit="false"/>
      <protection locked="true" hidden="false"/>
    </xf>
    <xf numFmtId="246" fontId="111" fillId="0" borderId="0" xfId="1293" applyFont="true" applyBorder="true" applyAlignment="false" applyProtection="false">
      <alignment horizontal="general" vertical="bottom" textRotation="0" wrapText="false" indent="0" shrinkToFit="false"/>
      <protection locked="true" hidden="false"/>
    </xf>
    <xf numFmtId="246" fontId="131" fillId="0" borderId="0" xfId="1293" applyFont="true" applyBorder="true" applyAlignment="false" applyProtection="false">
      <alignment horizontal="general" vertical="bottom" textRotation="0" wrapText="false" indent="0" shrinkToFit="false"/>
      <protection locked="true" hidden="false"/>
    </xf>
    <xf numFmtId="246" fontId="111" fillId="0" borderId="0" xfId="1293"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68" fillId="2" borderId="6" xfId="0" applyFont="true" applyBorder="true" applyAlignment="false" applyProtection="false">
      <alignment horizontal="general" vertical="bottom" textRotation="0" wrapText="false" indent="0" shrinkToFit="false"/>
      <protection locked="true" hidden="false"/>
    </xf>
    <xf numFmtId="259" fontId="85" fillId="0" borderId="0" xfId="0" applyFont="true" applyBorder="false" applyAlignment="false" applyProtection="true">
      <alignment horizontal="general" vertical="bottom" textRotation="0" wrapText="false" indent="0" shrinkToFit="false"/>
      <protection locked="true" hidden="false"/>
    </xf>
    <xf numFmtId="164" fontId="53" fillId="0" borderId="0" xfId="0" applyFont="true" applyBorder="false" applyAlignment="false" applyProtection="false">
      <alignment horizontal="general" vertical="bottom" textRotation="0" wrapText="false" indent="0" shrinkToFit="false"/>
      <protection locked="true" hidden="false"/>
    </xf>
    <xf numFmtId="164" fontId="57" fillId="0" borderId="4" xfId="0" applyFont="true" applyBorder="true" applyAlignment="false" applyProtection="false">
      <alignment horizontal="general" vertical="bottom" textRotation="0" wrapText="false" indent="0" shrinkToFit="false"/>
      <protection locked="true" hidden="false"/>
    </xf>
    <xf numFmtId="206" fontId="57" fillId="0" borderId="0" xfId="0" applyFont="true" applyBorder="true" applyAlignment="false" applyProtection="false">
      <alignment horizontal="general" vertical="bottom" textRotation="0" wrapText="false" indent="0" shrinkToFit="false"/>
      <protection locked="true" hidden="false"/>
    </xf>
    <xf numFmtId="260" fontId="57" fillId="0" borderId="0" xfId="0" applyFont="true" applyBorder="false" applyAlignment="false" applyProtection="false">
      <alignment horizontal="general" vertical="bottom" textRotation="0" wrapText="false" indent="0" shrinkToFit="false"/>
      <protection locked="true" hidden="false"/>
    </xf>
    <xf numFmtId="170" fontId="57" fillId="0" borderId="0" xfId="0" applyFont="true" applyBorder="false" applyAlignment="false" applyProtection="false">
      <alignment horizontal="general" vertical="bottom" textRotation="0" wrapText="false" indent="0" shrinkToFit="false"/>
      <protection locked="true" hidden="false"/>
    </xf>
    <xf numFmtId="242" fontId="57" fillId="0" borderId="0" xfId="0" applyFont="true" applyBorder="false" applyAlignment="false" applyProtection="false">
      <alignment horizontal="general" vertical="bottom" textRotation="0" wrapText="false" indent="0" shrinkToFit="false"/>
      <protection locked="true" hidden="false"/>
    </xf>
    <xf numFmtId="250" fontId="0" fillId="0" borderId="0" xfId="19" applyFont="true" applyBorder="true" applyAlignment="true" applyProtection="true">
      <alignment horizontal="general" vertical="bottom" textRotation="0" wrapText="false" indent="0" shrinkToFit="false"/>
      <protection locked="true" hidden="false"/>
    </xf>
    <xf numFmtId="164" fontId="68" fillId="0" borderId="4" xfId="0" applyFont="true" applyBorder="true" applyAlignment="true" applyProtection="false">
      <alignment horizontal="general" vertical="bottom" textRotation="0" wrapText="true" indent="0" shrinkToFit="false"/>
      <protection locked="true" hidden="false"/>
    </xf>
    <xf numFmtId="243" fontId="0" fillId="0" borderId="5" xfId="19" applyFont="true" applyBorder="true" applyAlignment="true" applyProtection="true">
      <alignment horizontal="general" vertical="bottom" textRotation="0" wrapText="false" indent="0" shrinkToFit="false"/>
      <protection locked="true" hidden="false"/>
    </xf>
    <xf numFmtId="243" fontId="0" fillId="0" borderId="0" xfId="19" applyFont="true" applyBorder="true" applyAlignment="true" applyProtection="true">
      <alignment horizontal="general" vertical="bottom" textRotation="0" wrapText="false" indent="0" shrinkToFit="false"/>
      <protection locked="true" hidden="false"/>
    </xf>
    <xf numFmtId="164" fontId="68" fillId="0" borderId="9" xfId="0" applyFont="true" applyBorder="true" applyAlignment="true" applyProtection="false">
      <alignment horizontal="general" vertical="bottom" textRotation="0" wrapText="true" indent="0" shrinkToFit="false"/>
      <protection locked="true" hidden="false"/>
    </xf>
    <xf numFmtId="164" fontId="68" fillId="0" borderId="9" xfId="0" applyFont="true" applyBorder="true" applyAlignment="false" applyProtection="false">
      <alignment horizontal="general" vertical="bottom" textRotation="0" wrapText="false" indent="0" shrinkToFit="false"/>
      <protection locked="true" hidden="false"/>
    </xf>
    <xf numFmtId="164" fontId="68" fillId="0" borderId="5" xfId="0" applyFont="true" applyBorder="true" applyAlignment="false" applyProtection="false">
      <alignment horizontal="general" vertical="bottom" textRotation="0" wrapText="false" indent="0" shrinkToFit="false"/>
      <protection locked="true" hidden="false"/>
    </xf>
    <xf numFmtId="164" fontId="68" fillId="0" borderId="10" xfId="0" applyFont="true" applyBorder="true" applyAlignment="true" applyProtection="false">
      <alignment horizontal="general" vertical="bottom" textRotation="0" wrapText="true" indent="0" shrinkToFit="false"/>
      <protection locked="true" hidden="false"/>
    </xf>
    <xf numFmtId="180" fontId="0" fillId="0" borderId="11" xfId="19" applyFont="true" applyBorder="true" applyAlignment="true" applyProtection="true">
      <alignment horizontal="general" vertical="bottom" textRotation="0" wrapText="false" indent="0" shrinkToFit="false"/>
      <protection locked="true" hidden="false"/>
    </xf>
    <xf numFmtId="180" fontId="0" fillId="0" borderId="0" xfId="19" applyFont="true" applyBorder="true" applyAlignment="true" applyProtection="true">
      <alignment horizontal="general" vertical="bottom" textRotation="0" wrapText="false" indent="0" shrinkToFit="false"/>
      <protection locked="true" hidden="false"/>
    </xf>
    <xf numFmtId="243" fontId="0" fillId="0" borderId="11" xfId="19" applyFont="true" applyBorder="true" applyAlignment="true" applyProtection="true">
      <alignment horizontal="general" vertical="bottom" textRotation="0" wrapText="false" indent="0" shrinkToFit="false"/>
      <protection locked="true" hidden="false"/>
    </xf>
    <xf numFmtId="164" fontId="68" fillId="0" borderId="10" xfId="0" applyFont="true" applyBorder="true" applyAlignment="false" applyProtection="false">
      <alignment horizontal="general" vertical="bottom" textRotation="0" wrapText="false" indent="0" shrinkToFit="false"/>
      <protection locked="true" hidden="false"/>
    </xf>
    <xf numFmtId="164" fontId="0" fillId="0" borderId="7" xfId="0" applyFont="false" applyBorder="true" applyAlignment="false" applyProtection="false">
      <alignment horizontal="general" vertical="bottom" textRotation="0" wrapText="false" indent="0" shrinkToFit="false"/>
      <protection locked="true" hidden="false"/>
    </xf>
    <xf numFmtId="164" fontId="0" fillId="0" borderId="6" xfId="0" applyFont="false" applyBorder="true" applyAlignment="false" applyProtection="false">
      <alignment horizontal="general" vertical="bottom" textRotation="0" wrapText="false" indent="0" shrinkToFit="false"/>
      <protection locked="true" hidden="false"/>
    </xf>
    <xf numFmtId="169" fontId="0" fillId="0" borderId="3" xfId="0" applyFont="false" applyBorder="true" applyAlignment="false" applyProtection="false">
      <alignment horizontal="general" vertical="bottom" textRotation="0" wrapText="false" indent="0" shrinkToFit="false"/>
      <protection locked="true" hidden="false"/>
    </xf>
    <xf numFmtId="243" fontId="0" fillId="0" borderId="3" xfId="19" applyFont="true" applyBorder="true" applyAlignment="true" applyProtection="true">
      <alignment horizontal="general" vertical="bottom" textRotation="0" wrapText="false" indent="0" shrinkToFit="false"/>
      <protection locked="true" hidden="false"/>
    </xf>
    <xf numFmtId="243" fontId="0" fillId="0" borderId="7" xfId="19" applyFont="true" applyBorder="true" applyAlignment="true" applyProtection="true">
      <alignment horizontal="general" vertical="bottom" textRotation="0" wrapText="false" indent="0" shrinkToFit="false"/>
      <protection locked="true" hidden="false"/>
    </xf>
  </cellXfs>
  <cellStyles count="1658">
    <cellStyle name="Normal" xfId="0" builtinId="0"/>
    <cellStyle name="Comma" xfId="15" builtinId="3"/>
    <cellStyle name="Comma [0]" xfId="16" builtinId="6"/>
    <cellStyle name="Currency" xfId="17" builtinId="4"/>
    <cellStyle name="Currency [0]" xfId="18" builtinId="7"/>
    <cellStyle name="Percent" xfId="19" builtinId="5"/>
    <cellStyle name="?? [0]_94???" xfId="20"/>
    <cellStyle name="?? [0]_94???_demand analysisrevised" xfId="21"/>
    <cellStyle name="?? [0]_??" xfId="22"/>
    <cellStyle name="?? [0]_???" xfId="23"/>
    <cellStyle name="?? [0]_?????" xfId="24"/>
    <cellStyle name="?? [0]_?????_???" xfId="25"/>
    <cellStyle name="?? [0]_?????_???_demand analysisrevised" xfId="26"/>
    <cellStyle name="?? [0]_?????_demand analysisrevised" xfId="27"/>
    <cellStyle name="?? [0]_???_demand analysisrevised" xfId="28"/>
    <cellStyle name="?? [0]_??_demand analysisrevised" xfId="29"/>
    <cellStyle name="?? [0]_dimon" xfId="30"/>
    <cellStyle name="?? [0]_form" xfId="31"/>
    <cellStyle name="?? [0]_form_demand analysisrevised" xfId="32"/>
    <cellStyle name="?? [0]_laroux" xfId="33"/>
    <cellStyle name="?? [0]_laroux_1" xfId="34"/>
    <cellStyle name="?? [0]_laroux_1_demand analysisrevised" xfId="35"/>
    <cellStyle name="?? [0]_laroux_2" xfId="36"/>
    <cellStyle name="?? [0]_laroux_demand analysisrevised" xfId="37"/>
    <cellStyle name="?? [0]_PERSONAL" xfId="38"/>
    <cellStyle name="?? [0]_PERSONAL_1" xfId="39"/>
    <cellStyle name="?? [0]_PERSONAL_1_demand analysisrevised" xfId="40"/>
    <cellStyle name="?? [0]_PERSONAL_2" xfId="41"/>
    <cellStyle name="?? [0]_PERSONAL_2_demand analysisrevised" xfId="42"/>
    <cellStyle name="?? [0]_PERSONAL_3" xfId="43"/>
    <cellStyle name="?? [0]_PERSONAL_demand analysisrevised" xfId="44"/>
    <cellStyle name="?? [0]_Sheet2" xfId="45"/>
    <cellStyle name="??_94???" xfId="46"/>
    <cellStyle name="??_94???_demand analysisrevised" xfId="47"/>
    <cellStyle name="??_970120" xfId="48"/>
    <cellStyle name="??_97???" xfId="49"/>
    <cellStyle name="??_?.????" xfId="50"/>
    <cellStyle name="??_??" xfId="51"/>
    <cellStyle name="??_???" xfId="52"/>
    <cellStyle name="??_????" xfId="53"/>
    <cellStyle name="??_?????" xfId="54"/>
    <cellStyle name="??_?????_1" xfId="55"/>
    <cellStyle name="??_?????_2" xfId="56"/>
    <cellStyle name="??_?????_???" xfId="57"/>
    <cellStyle name="??_?????_???_demand analysisrevised" xfId="58"/>
    <cellStyle name="??_?????_???_demand analysisrevised_1" xfId="59"/>
    <cellStyle name="??_?????_demand analysisrevised" xfId="60"/>
    <cellStyle name="??_?????_demand analysisrevised_1" xfId="61"/>
    <cellStyle name="??_????_1" xfId="62"/>
    <cellStyle name="??_???_demand analysisrevised" xfId="63"/>
    <cellStyle name="??_???_demand analysisrevised_1" xfId="64"/>
    <cellStyle name="??_??_1" xfId="65"/>
    <cellStyle name="??_??_????" xfId="66"/>
    <cellStyle name="??_??_????_demand analysisrevised" xfId="67"/>
    <cellStyle name="??_??_demand analysisrevised" xfId="68"/>
    <cellStyle name="??_??_demand analysisrevised_1" xfId="69"/>
    <cellStyle name="??_??_demand analysisrevised_2" xfId="70"/>
    <cellStyle name="??_BEBU_GI" xfId="71"/>
    <cellStyle name="??_dimon" xfId="72"/>
    <cellStyle name="??_dimon_demand analysisrevised" xfId="73"/>
    <cellStyle name="??_form" xfId="74"/>
    <cellStyle name="??_form_demand analysisrevised" xfId="75"/>
    <cellStyle name="??_form_demand analysisrevised_1" xfId="76"/>
    <cellStyle name="??_ga_PB" xfId="77"/>
    <cellStyle name="??_laroux" xfId="78"/>
    <cellStyle name="??_laroux_1" xfId="79"/>
    <cellStyle name="??_laroux_1_demand analysisrevised" xfId="80"/>
    <cellStyle name="??_laroux_1_demand analysisrevised_1" xfId="81"/>
    <cellStyle name="??_laroux_2" xfId="82"/>
    <cellStyle name="??_laroux_2_demand analysisrevised" xfId="83"/>
    <cellStyle name="??_laroux_3" xfId="84"/>
    <cellStyle name="??_laroux_4" xfId="85"/>
    <cellStyle name="??_laroux_5" xfId="86"/>
    <cellStyle name="??_laroux_6" xfId="87"/>
    <cellStyle name="??_laroux_7" xfId="88"/>
    <cellStyle name="??_laroux_8" xfId="89"/>
    <cellStyle name="??_laroux_demand analysisrevised" xfId="90"/>
    <cellStyle name="??_laroux_demand analysisrevised_1" xfId="91"/>
    <cellStyle name="??_PERSONAL" xfId="92"/>
    <cellStyle name="??_PERSONAL_1" xfId="93"/>
    <cellStyle name="??_PERSONAL_1_demand analysisrevised" xfId="94"/>
    <cellStyle name="??_PERSONAL_1_demand analysisrevised_1" xfId="95"/>
    <cellStyle name="??_PERSONAL_2" xfId="96"/>
    <cellStyle name="??_PERSONAL_2_demand analysisrevised" xfId="97"/>
    <cellStyle name="??_PERSONAL_2_demand analysisrevised_1" xfId="98"/>
    <cellStyle name="??_PERSONAL_3" xfId="99"/>
    <cellStyle name="??_PERSONAL_3_demand analysisrevised" xfId="100"/>
    <cellStyle name="??_PERSONAL_4" xfId="101"/>
    <cellStyle name="??_PERSONAL_demand analysisrevised" xfId="102"/>
    <cellStyle name="??_PERSONAL_demand analysisrevised_1" xfId="103"/>
    <cellStyle name="??_Query11" xfId="104"/>
    <cellStyle name="??_Sheet1" xfId="105"/>
    <cellStyle name="??_Sheet1 (2)" xfId="106"/>
    <cellStyle name="??_Sheet2" xfId="107"/>
    <cellStyle name="??_Sheet2_demand analysisrevised" xfId="108"/>
    <cellStyle name="Actual Date" xfId="109"/>
    <cellStyle name="Comma [0]_12matrix" xfId="110"/>
    <cellStyle name="Comma [0]_1995" xfId="111"/>
    <cellStyle name="Comma [0]_A" xfId="112"/>
    <cellStyle name="Comma [0]_A_dimon" xfId="113"/>
    <cellStyle name="Comma [0]_A_dimon_1" xfId="114"/>
    <cellStyle name="Comma [0]_ACTUAL" xfId="115"/>
    <cellStyle name="Comma [0]_ACTUAL NA -OBU" xfId="116"/>
    <cellStyle name="Comma [0]_Actual vs." xfId="117"/>
    <cellStyle name="Comma [0]_algasdefault" xfId="118"/>
    <cellStyle name="Comma [0]_Alternative1" xfId="119"/>
    <cellStyle name="Comma [0]_Alternative1_1" xfId="120"/>
    <cellStyle name="Comma [0]_App E" xfId="121"/>
    <cellStyle name="Comma [0]_Apr" xfId="122"/>
    <cellStyle name="Comma [0]_Arapahoe" xfId="123"/>
    <cellStyle name="Comma [0]_Assumptions" xfId="124"/>
    <cellStyle name="Comma [0]_Assumptions_dimon" xfId="125"/>
    <cellStyle name="Comma [0]_Assumptions_summary" xfId="126"/>
    <cellStyle name="Comma [0]_B" xfId="127"/>
    <cellStyle name="Comma [0]_bahiadefault" xfId="128"/>
    <cellStyle name="Comma [0]_Book3" xfId="129"/>
    <cellStyle name="Comma [0]_BOP" xfId="130"/>
    <cellStyle name="Comma [0]_BOPBAL1" xfId="131"/>
    <cellStyle name="Comma [0]_BOPCBU" xfId="132"/>
    <cellStyle name="Comma [0]_BOPCBU (2)" xfId="133"/>
    <cellStyle name="Comma [0]_BOPCBU96" xfId="134"/>
    <cellStyle name="Comma [0]_BSAPPE.XLS" xfId="135"/>
    <cellStyle name="Comma [0]_Calculations" xfId="136"/>
    <cellStyle name="Comma [0]_Calculations (2)" xfId="137"/>
    <cellStyle name="Comma [0]_Calculations II" xfId="138"/>
    <cellStyle name="Comma [0]_Calculations III" xfId="139"/>
    <cellStyle name="Comma [0]_Calculations_1" xfId="140"/>
    <cellStyle name="Comma [0]_CAPEX" xfId="141"/>
    <cellStyle name="Comma [0]_CAPEX94" xfId="142"/>
    <cellStyle name="Comma [0]_CapInt" xfId="143"/>
    <cellStyle name="Comma [0]_Cashflow" xfId="144"/>
    <cellStyle name="Comma [0]_CBU BOX CHART V PLAN" xfId="145"/>
    <cellStyle name="Comma [0]_CCA" xfId="146"/>
    <cellStyle name="Comma [0]_CCOCPX" xfId="147"/>
    <cellStyle name="Comma [0]_CFMODEL" xfId="148"/>
    <cellStyle name="Comma [0]_CFTEST49" xfId="149"/>
    <cellStyle name="Comma [0]_CHANGES.XLS" xfId="150"/>
    <cellStyle name="Comma [0]_Charts" xfId="151"/>
    <cellStyle name="Comma [0]_Comm File" xfId="152"/>
    <cellStyle name="Comma [0]_coperdefault" xfId="153"/>
    <cellStyle name="Comma [0]_Corp method" xfId="154"/>
    <cellStyle name="Comma [0]_CTCUR" xfId="155"/>
    <cellStyle name="Comma [0]_CUMPLTCH" xfId="156"/>
    <cellStyle name="Comma [0]_Curve_Economics" xfId="157"/>
    <cellStyle name="Comma [0]_DEFAULT" xfId="158"/>
    <cellStyle name="Comma [0]_DeskCurves" xfId="159"/>
    <cellStyle name="Comma [0]_dimon" xfId="160"/>
    <cellStyle name="Comma [0]_Dowell C1b" xfId="161"/>
    <cellStyle name="Comma [0]_Dowell-C1a" xfId="162"/>
    <cellStyle name="Comma [0]_E&amp;ONW1" xfId="163"/>
    <cellStyle name="Comma [0]_E&amp;ONW2" xfId="164"/>
    <cellStyle name="Comma [0]_E&amp;OOCPX" xfId="165"/>
    <cellStyle name="Comma [0]_emserdefault" xfId="166"/>
    <cellStyle name="Comma [0]_EVER1" xfId="167"/>
    <cellStyle name="Comma [0]_F&amp;COCPX" xfId="168"/>
    <cellStyle name="Comma [0]_FEBRUARY" xfId="169"/>
    <cellStyle name="Comma [0]_FF" xfId="170"/>
    <cellStyle name="Comma [0]_FP 20 A (1)" xfId="171"/>
    <cellStyle name="Comma [0]_FP 20 A (2)" xfId="172"/>
    <cellStyle name="Comma [0]_FP-20 (App. E)" xfId="173"/>
    <cellStyle name="Comma [0]_FP-20 (App.A) " xfId="174"/>
    <cellStyle name="Comma [0]_FP-20 (App.D)" xfId="175"/>
    <cellStyle name="Comma [0]_FP-20(App.B)" xfId="176"/>
    <cellStyle name="Comma [0]_FP-20(C1) (a)" xfId="177"/>
    <cellStyle name="Comma [0]_FP-20(C1) (a) (2)" xfId="178"/>
    <cellStyle name="Comma [0]_FP-20(C1) (b)" xfId="179"/>
    <cellStyle name="Comma [0]_FP-20(C1) (b) " xfId="180"/>
    <cellStyle name="Comma [0]_FP-20(C1) (b) (2)" xfId="181"/>
    <cellStyle name="Comma [0]_GASDATA1" xfId="182"/>
    <cellStyle name="Comma [0]_GASDATA1 (2)" xfId="183"/>
    <cellStyle name="Comma [0]_GCM" xfId="184"/>
    <cellStyle name="Comma [0]_GenAssum" xfId="185"/>
    <cellStyle name="Comma [0]_GenMod" xfId="186"/>
    <cellStyle name="Comma [0]_GP C1a" xfId="187"/>
    <cellStyle name="Comma [0]_GP C1b" xfId="188"/>
    <cellStyle name="Comma [0]_GP_EI_3" xfId="189"/>
    <cellStyle name="Comma [0]_GQ C1A" xfId="190"/>
    <cellStyle name="Comma [0]_GQ C1B" xfId="191"/>
    <cellStyle name="Comma [0]_H" xfId="192"/>
    <cellStyle name="Comma [0]_Inputs" xfId="193"/>
    <cellStyle name="Comma [0]_Int. Data Table" xfId="194"/>
    <cellStyle name="Comma [0]_IPM C1b" xfId="195"/>
    <cellStyle name="Comma [0]_IPMC1a" xfId="196"/>
    <cellStyle name="Comma [0]_IPP" xfId="197"/>
    <cellStyle name="Comma [0]_IS-Hold" xfId="198"/>
    <cellStyle name="Comma [0]_ITOCPX" xfId="199"/>
    <cellStyle name="Comma [0]_jancf" xfId="200"/>
    <cellStyle name="Comma [0]_JUNMTH55" xfId="201"/>
    <cellStyle name="Comma [0]_JUNMTH57" xfId="202"/>
    <cellStyle name="Comma [0]_JUNYTD55" xfId="203"/>
    <cellStyle name="Comma [0]_JUNYTD57" xfId="204"/>
    <cellStyle name="Comma [0]_laroux" xfId="205"/>
    <cellStyle name="Comma [0]_laroux_1" xfId="206"/>
    <cellStyle name="Comma [0]_laroux_1995" xfId="207"/>
    <cellStyle name="Comma [0]_laroux_1_dimon" xfId="208"/>
    <cellStyle name="Comma [0]_laroux_1_dimon_1" xfId="209"/>
    <cellStyle name="Comma [0]_laroux_1_laroux" xfId="210"/>
    <cellStyle name="Comma [0]_laroux_1_pldt" xfId="211"/>
    <cellStyle name="Comma [0]_laroux_1_PLDT_dimon" xfId="212"/>
    <cellStyle name="Comma [0]_laroux_1_VERA" xfId="213"/>
    <cellStyle name="Comma [0]_laroux_1_VIRUS-EDY" xfId="214"/>
    <cellStyle name="Comma [0]_laroux_2" xfId="215"/>
    <cellStyle name="Comma [0]_laroux_2_dimon" xfId="216"/>
    <cellStyle name="Comma [0]_laroux_2_dimon_1" xfId="217"/>
    <cellStyle name="Comma [0]_laroux_2_dimon_2" xfId="218"/>
    <cellStyle name="Comma [0]_laroux_2_laroux" xfId="219"/>
    <cellStyle name="Comma [0]_laroux_2_laroux_dimon" xfId="220"/>
    <cellStyle name="Comma [0]_laroux_2_pldt" xfId="221"/>
    <cellStyle name="Comma [0]_laroux_2_VERA" xfId="222"/>
    <cellStyle name="Comma [0]_laroux_3" xfId="223"/>
    <cellStyle name="Comma [0]_laroux_3_dimon" xfId="224"/>
    <cellStyle name="Comma [0]_laroux_dimon" xfId="225"/>
    <cellStyle name="Comma [0]_laroux_dimon_1" xfId="226"/>
    <cellStyle name="Comma [0]_laroux_laroux" xfId="227"/>
    <cellStyle name="Comma [0]_laroux_laroux_1" xfId="228"/>
    <cellStyle name="Comma [0]_laroux_laroux_dimon" xfId="229"/>
    <cellStyle name="Comma [0]_laroux_MATERAL2" xfId="230"/>
    <cellStyle name="Comma [0]_laroux_MATERAL2_dimon" xfId="231"/>
    <cellStyle name="Comma [0]_laroux_MATERAL2_laroux" xfId="232"/>
    <cellStyle name="Comma [0]_laroux_MATERAL2_laroux_dimon" xfId="233"/>
    <cellStyle name="Comma [0]_laroux_MATERAL2_pldt" xfId="234"/>
    <cellStyle name="Comma [0]_laroux_MATERAL2_VERA" xfId="235"/>
    <cellStyle name="Comma [0]_laroux_MATERAL2_VIRUS-EDY" xfId="236"/>
    <cellStyle name="Comma [0]_laroux_mud plant bolted" xfId="237"/>
    <cellStyle name="Comma [0]_laroux_mud plant bolted_dimon" xfId="238"/>
    <cellStyle name="Comma [0]_laroux_mud plant bolted_dimon_1" xfId="239"/>
    <cellStyle name="Comma [0]_laroux_pldt" xfId="240"/>
    <cellStyle name="Comma [0]_laroux_VERA" xfId="241"/>
    <cellStyle name="Comma [0]_laroux_VERA_1" xfId="242"/>
    <cellStyle name="Comma [0]_laroux_VIRUS-EDY" xfId="243"/>
    <cellStyle name="Comma [0]_MATERAL2" xfId="244"/>
    <cellStyle name="Comma [0]_MATERAL2_dimon" xfId="245"/>
    <cellStyle name="Comma [0]_MATERAL2_dimon_1" xfId="246"/>
    <cellStyle name="Comma [0]_MKGOCPX" xfId="247"/>
    <cellStyle name="Comma [0]_MOBCPX" xfId="248"/>
    <cellStyle name="Comma [0]_Module1" xfId="249"/>
    <cellStyle name="Comma [0]_mud plant bolted" xfId="250"/>
    <cellStyle name="Comma [0]_mud plant bolted_dimon" xfId="251"/>
    <cellStyle name="Comma [0]_mud plant bolted_laroux" xfId="252"/>
    <cellStyle name="Comma [0]_mud plant bolted_laroux_dimon" xfId="253"/>
    <cellStyle name="Comma [0]_mud plant bolted_pldt" xfId="254"/>
    <cellStyle name="Comma [0]_mud plant bolted_VERA" xfId="255"/>
    <cellStyle name="Comma [0]_mud plant bolted_VIRUS-EDY" xfId="256"/>
    <cellStyle name="Comma [0]_NA WITHOUT GOV'T &amp; PNX" xfId="257"/>
    <cellStyle name="Comma [0]_NAOBU10" xfId="258"/>
    <cellStyle name="Comma [0]_NAT ACCT" xfId="259"/>
    <cellStyle name="Comma [0]_NSACTUAL.XLS" xfId="260"/>
    <cellStyle name="Comma [0]_NX00" xfId="261"/>
    <cellStyle name="Comma [0]_Odner" xfId="262"/>
    <cellStyle name="Comma [0]_Odner (2)" xfId="263"/>
    <cellStyle name="Comma [0]_Odner (3)" xfId="264"/>
    <cellStyle name="Comma [0]_OFFDATA1" xfId="265"/>
    <cellStyle name="Comma [0]_OFFDATA1 (2)" xfId="266"/>
    <cellStyle name="Comma [0]_Operations" xfId="267"/>
    <cellStyle name="Comma [0]_opsmacro" xfId="268"/>
    <cellStyle name="Comma [0]_OSMOCPX" xfId="269"/>
    <cellStyle name="Comma [0]_Other Months" xfId="270"/>
    <cellStyle name="Comma [0]_Outlook" xfId="271"/>
    <cellStyle name="Comma [0]_pbdefault" xfId="272"/>
    <cellStyle name="Comma [0]_percentages" xfId="273"/>
    <cellStyle name="Comma [0]_PERSONAL" xfId="274"/>
    <cellStyle name="Comma [0]_PGMKOCPX" xfId="275"/>
    <cellStyle name="Comma [0]_PGNW1" xfId="276"/>
    <cellStyle name="Comma [0]_PGNW2" xfId="277"/>
    <cellStyle name="Comma [0]_PGNWOCPX" xfId="278"/>
    <cellStyle name="Comma [0]_Pink" xfId="279"/>
    <cellStyle name="Comma [0]_PKDATA1" xfId="280"/>
    <cellStyle name="Comma [0]_PKDATA1 (2)" xfId="281"/>
    <cellStyle name="Comma [0]_Plan" xfId="282"/>
    <cellStyle name="Comma [0]_PLANT" xfId="283"/>
    <cellStyle name="Comma [0]_PLDT" xfId="284"/>
    <cellStyle name="Comma [0]_pldt_1" xfId="285"/>
    <cellStyle name="Comma [0]_PLDT_1_dimon" xfId="286"/>
    <cellStyle name="Comma [0]_pldt_Calculations" xfId="287"/>
    <cellStyle name="Comma [0]_PLDT_dimon" xfId="288"/>
    <cellStyle name="Comma [0]_priccurv" xfId="289"/>
    <cellStyle name="Comma [0]_PriceCurve" xfId="290"/>
    <cellStyle name="Comma [0]_PriceCurve_1" xfId="291"/>
    <cellStyle name="Comma [0]_PROCDS&amp;G" xfId="292"/>
    <cellStyle name="Comma [0]_PROFILE4" xfId="293"/>
    <cellStyle name="Comma [0]_Projects" xfId="294"/>
    <cellStyle name="Comma [0]_Quarter End Months" xfId="295"/>
    <cellStyle name="Comma [0]_r1" xfId="296"/>
    <cellStyle name="Comma [0]_RFI" xfId="297"/>
    <cellStyle name="Comma [0]_RFI_1" xfId="298"/>
    <cellStyle name="Comma [0]_Sales Order" xfId="299"/>
    <cellStyle name="Comma [0]_SATOCPX" xfId="300"/>
    <cellStyle name="Comma [0]_ScreeningModel" xfId="301"/>
    <cellStyle name="Comma [0]_SELECT" xfId="302"/>
    <cellStyle name="Comma [0]_Sheet1" xfId="303"/>
    <cellStyle name="Comma [0]_Sheet1_dimon" xfId="304"/>
    <cellStyle name="Comma [0]_SHENREPT" xfId="305"/>
    <cellStyle name="Comma [0]_Snr. CO" xfId="306"/>
    <cellStyle name="Comma [0]_sprint contr" xfId="307"/>
    <cellStyle name="Comma [0]_Subcont File" xfId="308"/>
    <cellStyle name="Comma [0]_SUMMARY" xfId="309"/>
    <cellStyle name="Comma [0]_Summary Info" xfId="310"/>
    <cellStyle name="Comma [0]_SUMPAGE" xfId="311"/>
    <cellStyle name="Comma [0]_Template" xfId="312"/>
    <cellStyle name="Comma [0]_TMSNW1" xfId="313"/>
    <cellStyle name="Comma [0]_TMSNW2" xfId="314"/>
    <cellStyle name="Comma [0]_TMSOCPX" xfId="315"/>
    <cellStyle name="Comma [0]_TOTAL MTH" xfId="316"/>
    <cellStyle name="Comma [0]_TOTAL YTD" xfId="317"/>
    <cellStyle name="Comma [0]_TRANSDSC.XLS" xfId="318"/>
    <cellStyle name="Comma [0]_TRANSFXA.XLS" xfId="319"/>
    <cellStyle name="Comma [0]_TRANSFXA.XLS_1" xfId="320"/>
    <cellStyle name="Comma [0]_TRANSIME.XLS" xfId="321"/>
    <cellStyle name="Comma [0]_TRANSIME.XLS_TRANSDSC.XLS" xfId="322"/>
    <cellStyle name="Comma [0]_TRANSIME.XLS_TRANSFXA.XLS" xfId="323"/>
    <cellStyle name="Comma [0]_VIRUS-EDY" xfId="324"/>
    <cellStyle name="Comma [0]_White" xfId="325"/>
    <cellStyle name="Comma [0]_WO Var. &amp; Tot. Exp." xfId="326"/>
    <cellStyle name="Comma [0]_WSP" xfId="327"/>
    <cellStyle name="Comma [0]_yrcao" xfId="328"/>
    <cellStyle name="Comma [0]_YREND55" xfId="329"/>
    <cellStyle name="Comma [0]_YREND57" xfId="330"/>
    <cellStyle name="Comma [0]_YTDCUR" xfId="331"/>
    <cellStyle name="Comma_12matrix" xfId="332"/>
    <cellStyle name="Comma_1995" xfId="333"/>
    <cellStyle name="Comma_A" xfId="334"/>
    <cellStyle name="Comma_A_dimon" xfId="335"/>
    <cellStyle name="Comma_A_dimon_1" xfId="336"/>
    <cellStyle name="Comma_ACTUAL" xfId="337"/>
    <cellStyle name="Comma_ACTUAL NA -OBU" xfId="338"/>
    <cellStyle name="Comma_Actual vs." xfId="339"/>
    <cellStyle name="Comma_algasdefault" xfId="340"/>
    <cellStyle name="Comma_algasdefault_1" xfId="341"/>
    <cellStyle name="Comma_Alternative1" xfId="342"/>
    <cellStyle name="Comma_Alternative1_1" xfId="343"/>
    <cellStyle name="Comma_App E" xfId="344"/>
    <cellStyle name="Comma_Apr" xfId="345"/>
    <cellStyle name="Comma_Arapahoe" xfId="346"/>
    <cellStyle name="Comma_Assumptions" xfId="347"/>
    <cellStyle name="Comma_Assumptions_dimon" xfId="348"/>
    <cellStyle name="Comma_Assumptions_summary" xfId="349"/>
    <cellStyle name="Comma_B" xfId="350"/>
    <cellStyle name="Comma_bahiadefault" xfId="351"/>
    <cellStyle name="Comma_bahiadefault_1" xfId="352"/>
    <cellStyle name="Comma_Book3" xfId="353"/>
    <cellStyle name="Comma_BOP" xfId="354"/>
    <cellStyle name="Comma_BOPBAL1" xfId="355"/>
    <cellStyle name="Comma_BOPCBU" xfId="356"/>
    <cellStyle name="Comma_BOPCBU (2)" xfId="357"/>
    <cellStyle name="Comma_BOPCBU96" xfId="358"/>
    <cellStyle name="Comma_BSAPPE.XLS" xfId="359"/>
    <cellStyle name="Comma_C-Cap intensity" xfId="360"/>
    <cellStyle name="Comma_C-Capex%rev" xfId="361"/>
    <cellStyle name="Comma_C-Line per Staff" xfId="362"/>
    <cellStyle name="Comma_C-lines distribution" xfId="363"/>
    <cellStyle name="Comma_C-Orig PLDT lines" xfId="364"/>
    <cellStyle name="Comma_C-Ret on Rev" xfId="365"/>
    <cellStyle name="Comma_C-ROACE" xfId="366"/>
    <cellStyle name="Comma_Calculations" xfId="367"/>
    <cellStyle name="Comma_Calculations (2)" xfId="368"/>
    <cellStyle name="Comma_Calculations II" xfId="369"/>
    <cellStyle name="Comma_Calculations III" xfId="370"/>
    <cellStyle name="Comma_Calculations_1" xfId="371"/>
    <cellStyle name="Comma_Capex" xfId="372"/>
    <cellStyle name="Comma_Capex per line" xfId="373"/>
    <cellStyle name="Comma_Capex%rev" xfId="374"/>
    <cellStyle name="Comma_CAPEX94" xfId="375"/>
    <cellStyle name="Comma_CAPEX_dimon" xfId="376"/>
    <cellStyle name="Comma_CapInt" xfId="377"/>
    <cellStyle name="Comma_Cashflow" xfId="378"/>
    <cellStyle name="Comma_CBU BOX CHART V PLAN" xfId="379"/>
    <cellStyle name="Comma_CCA" xfId="380"/>
    <cellStyle name="Comma_CCOCPX" xfId="381"/>
    <cellStyle name="Comma_CFMODEL" xfId="382"/>
    <cellStyle name="Comma_CFMODEL_summary" xfId="383"/>
    <cellStyle name="Comma_CFtest3" xfId="384"/>
    <cellStyle name="Comma_CFTEST49" xfId="385"/>
    <cellStyle name="Comma_CHANGES.XLS" xfId="386"/>
    <cellStyle name="Comma_Charts" xfId="387"/>
    <cellStyle name="Comma_Cht-Capex per line" xfId="388"/>
    <cellStyle name="Comma_Cht-Cum Real Opr Cf" xfId="389"/>
    <cellStyle name="Comma_Cht-Dep%Rev" xfId="390"/>
    <cellStyle name="Comma_Cht-Real Opr Cf" xfId="391"/>
    <cellStyle name="Comma_Cht-Rev dist" xfId="392"/>
    <cellStyle name="Comma_Cht-Rev p line" xfId="393"/>
    <cellStyle name="Comma_Cht-Rev per Staff" xfId="394"/>
    <cellStyle name="Comma_Cht-Staff cost%revenue" xfId="395"/>
    <cellStyle name="Comma_Comm File" xfId="396"/>
    <cellStyle name="Comma_coperdefault" xfId="397"/>
    <cellStyle name="Comma_coperdefault_1" xfId="398"/>
    <cellStyle name="Comma_Corp method" xfId="399"/>
    <cellStyle name="Comma_CROCF" xfId="400"/>
    <cellStyle name="Comma_CTCUR" xfId="401"/>
    <cellStyle name="Comma_Cum Real Opr Cf" xfId="402"/>
    <cellStyle name="Comma_CUMPLTCH" xfId="403"/>
    <cellStyle name="Comma_Curve_Economics" xfId="404"/>
    <cellStyle name="Comma_DEFAULT" xfId="405"/>
    <cellStyle name="Comma_Demand Fcst." xfId="406"/>
    <cellStyle name="Comma_Dep%Rev" xfId="407"/>
    <cellStyle name="Comma_DeskCurves" xfId="408"/>
    <cellStyle name="Comma_dimon" xfId="409"/>
    <cellStyle name="Comma_dimon_1" xfId="410"/>
    <cellStyle name="Comma_Dowell C1b" xfId="411"/>
    <cellStyle name="Comma_Dowell-C1a" xfId="412"/>
    <cellStyle name="Comma_E&amp;ONW1" xfId="413"/>
    <cellStyle name="Comma_E&amp;ONW2" xfId="414"/>
    <cellStyle name="Comma_E&amp;OOCPX" xfId="415"/>
    <cellStyle name="Comma_emserdefault" xfId="416"/>
    <cellStyle name="Comma_emserdefault_1" xfId="417"/>
    <cellStyle name="Comma_EPS" xfId="418"/>
    <cellStyle name="Comma_EVER1" xfId="419"/>
    <cellStyle name="Comma_F&amp;COCPX" xfId="420"/>
    <cellStyle name="Comma_FEBRUARY" xfId="421"/>
    <cellStyle name="Comma_FF" xfId="422"/>
    <cellStyle name="Comma_FP 20 A (1)" xfId="423"/>
    <cellStyle name="Comma_FP 20 A (2)" xfId="424"/>
    <cellStyle name="Comma_FP-20 (App. E)" xfId="425"/>
    <cellStyle name="Comma_FP-20 (App.A) " xfId="426"/>
    <cellStyle name="Comma_FP-20 (App.D)" xfId="427"/>
    <cellStyle name="Comma_FP-20(App.B)" xfId="428"/>
    <cellStyle name="Comma_FP-20(C1) (a)" xfId="429"/>
    <cellStyle name="Comma_FP-20(C1) (a) (2)" xfId="430"/>
    <cellStyle name="Comma_FP-20(C1) (b)" xfId="431"/>
    <cellStyle name="Comma_FP-20(C1) (b) " xfId="432"/>
    <cellStyle name="Comma_FP-20(C1) (b) (2)" xfId="433"/>
    <cellStyle name="Comma_GASDATA1" xfId="434"/>
    <cellStyle name="Comma_GASDATA1 (2)" xfId="435"/>
    <cellStyle name="Comma_GASDATA1_1" xfId="436"/>
    <cellStyle name="Comma_GCM" xfId="437"/>
    <cellStyle name="Comma_GenAssum" xfId="438"/>
    <cellStyle name="Comma_GenMod" xfId="439"/>
    <cellStyle name="Comma_GP C1a" xfId="440"/>
    <cellStyle name="Comma_GP C1b" xfId="441"/>
    <cellStyle name="Comma_GP_EI_3" xfId="442"/>
    <cellStyle name="Comma_GQ C1A" xfId="443"/>
    <cellStyle name="Comma_GQ C1B" xfId="444"/>
    <cellStyle name="Comma_H" xfId="445"/>
    <cellStyle name="Comma_Inputs" xfId="446"/>
    <cellStyle name="Comma_Int. Data Table" xfId="447"/>
    <cellStyle name="Comma_IPM C1b" xfId="448"/>
    <cellStyle name="Comma_IPMC1a" xfId="449"/>
    <cellStyle name="Comma_IPP" xfId="450"/>
    <cellStyle name="Comma_IRR" xfId="451"/>
    <cellStyle name="Comma_IS-Hold" xfId="452"/>
    <cellStyle name="Comma_ITOCPX" xfId="453"/>
    <cellStyle name="Comma_jancf" xfId="454"/>
    <cellStyle name="Comma_JUNMTH55" xfId="455"/>
    <cellStyle name="Comma_JUNMTH57" xfId="456"/>
    <cellStyle name="Comma_JUNYTD55" xfId="457"/>
    <cellStyle name="Comma_JUNYTD57" xfId="458"/>
    <cellStyle name="Comma_laroux" xfId="459"/>
    <cellStyle name="Comma_laroux_1" xfId="460"/>
    <cellStyle name="Comma_laroux_1995" xfId="461"/>
    <cellStyle name="Comma_laroux_1_dimon" xfId="462"/>
    <cellStyle name="Comma_laroux_1_dimon_1" xfId="463"/>
    <cellStyle name="Comma_laroux_1_laroux" xfId="464"/>
    <cellStyle name="Comma_laroux_1_pldt" xfId="465"/>
    <cellStyle name="Comma_laroux_1_pldt_1" xfId="466"/>
    <cellStyle name="Comma_laroux_1_PLDT_dimon" xfId="467"/>
    <cellStyle name="Comma_laroux_1_VERA" xfId="468"/>
    <cellStyle name="Comma_laroux_1_VERA_1" xfId="469"/>
    <cellStyle name="Comma_laroux_1_VIRUS-EDY" xfId="470"/>
    <cellStyle name="Comma_laroux_2" xfId="471"/>
    <cellStyle name="Comma_laroux_2_dimon" xfId="472"/>
    <cellStyle name="Comma_laroux_2_dimon_1" xfId="473"/>
    <cellStyle name="Comma_laroux_2_dimon_2" xfId="474"/>
    <cellStyle name="Comma_laroux_2_laroux" xfId="475"/>
    <cellStyle name="Comma_laroux_2_laroux_dimon" xfId="476"/>
    <cellStyle name="Comma_laroux_2_pldt" xfId="477"/>
    <cellStyle name="Comma_laroux_2_pldt_1" xfId="478"/>
    <cellStyle name="Comma_laroux_2_PLDT_dimon" xfId="479"/>
    <cellStyle name="Comma_laroux_2_VERA" xfId="480"/>
    <cellStyle name="Comma_laroux_2_VERA_1" xfId="481"/>
    <cellStyle name="Comma_laroux_3" xfId="482"/>
    <cellStyle name="Comma_laroux_3_dimon" xfId="483"/>
    <cellStyle name="Comma_laroux_3_dimon_1" xfId="484"/>
    <cellStyle name="Comma_laroux_3_dimon_2" xfId="485"/>
    <cellStyle name="Comma_laroux_dimon" xfId="486"/>
    <cellStyle name="Comma_laroux_dimon_1" xfId="487"/>
    <cellStyle name="Comma_laroux_laroux" xfId="488"/>
    <cellStyle name="Comma_laroux_laroux_1" xfId="489"/>
    <cellStyle name="Comma_laroux_laroux_dimon" xfId="490"/>
    <cellStyle name="Comma_laroux_pldt" xfId="491"/>
    <cellStyle name="Comma_laroux_pldt_1" xfId="492"/>
    <cellStyle name="Comma_laroux_VERA" xfId="493"/>
    <cellStyle name="Comma_laroux_VERA_1" xfId="494"/>
    <cellStyle name="Comma_laroux_VIRUS-EDY" xfId="495"/>
    <cellStyle name="Comma_Line Inst." xfId="496"/>
    <cellStyle name="Comma_MATERAL2" xfId="497"/>
    <cellStyle name="Comma_MATERAL2_dimon" xfId="498"/>
    <cellStyle name="Comma_MATERAL2_dimon_1" xfId="499"/>
    <cellStyle name="Comma_MKGOCPX" xfId="500"/>
    <cellStyle name="Comma_Mkt Shr" xfId="501"/>
    <cellStyle name="Comma_MOBCPX" xfId="502"/>
    <cellStyle name="Comma_Module1" xfId="503"/>
    <cellStyle name="Comma_mud plant bolted" xfId="504"/>
    <cellStyle name="Comma_NA WITHOUT GOV'T &amp; PNX" xfId="505"/>
    <cellStyle name="Comma_NAOBU10" xfId="506"/>
    <cellStyle name="Comma_NAT ACCT" xfId="507"/>
    <cellStyle name="Comma_NCR-C&amp;W Val" xfId="508"/>
    <cellStyle name="Comma_NCR-Cap intensity" xfId="509"/>
    <cellStyle name="Comma_NCR-Line per Staff" xfId="510"/>
    <cellStyle name="Comma_NCR-Rev dist" xfId="511"/>
    <cellStyle name="Comma_NSACTUAL.XLS" xfId="512"/>
    <cellStyle name="Comma_NX00" xfId="513"/>
    <cellStyle name="Comma_Odner" xfId="514"/>
    <cellStyle name="Comma_Odner (2)" xfId="515"/>
    <cellStyle name="Comma_Odner (3)" xfId="516"/>
    <cellStyle name="Comma_OFFDATA1" xfId="517"/>
    <cellStyle name="Comma_OFFDATA1 (2)" xfId="518"/>
    <cellStyle name="Comma_OFFDATA1_1" xfId="519"/>
    <cellStyle name="Comma_Op Cost Break" xfId="520"/>
    <cellStyle name="Comma_Operations" xfId="521"/>
    <cellStyle name="Comma_opsmacro" xfId="522"/>
    <cellStyle name="Comma_OSMOCPX" xfId="523"/>
    <cellStyle name="Comma_Other Months" xfId="524"/>
    <cellStyle name="Comma_Outlook" xfId="525"/>
    <cellStyle name="Comma_pbdefault" xfId="526"/>
    <cellStyle name="Comma_pbdefault_1" xfId="527"/>
    <cellStyle name="Comma_percentages" xfId="528"/>
    <cellStyle name="Comma_PERSONAL" xfId="529"/>
    <cellStyle name="Comma_PGMKOCPX" xfId="530"/>
    <cellStyle name="Comma_PGNW1" xfId="531"/>
    <cellStyle name="Comma_PGNW2" xfId="532"/>
    <cellStyle name="Comma_PGNWOCPX" xfId="533"/>
    <cellStyle name="Comma_Pink" xfId="534"/>
    <cellStyle name="Comma_PKDATA1" xfId="535"/>
    <cellStyle name="Comma_PKDATA1 (2)" xfId="536"/>
    <cellStyle name="Comma_PKDATA1_1" xfId="537"/>
    <cellStyle name="Comma_Plan" xfId="538"/>
    <cellStyle name="Comma_PLANT" xfId="539"/>
    <cellStyle name="Comma_PLDT" xfId="540"/>
    <cellStyle name="Comma_pldt_1" xfId="541"/>
    <cellStyle name="Comma_PLDT_1_dimon" xfId="542"/>
    <cellStyle name="Comma_pldt_2" xfId="543"/>
    <cellStyle name="Comma_pldt_Calculations" xfId="544"/>
    <cellStyle name="Comma_PLDT_dimon" xfId="545"/>
    <cellStyle name="Comma_priccurv" xfId="546"/>
    <cellStyle name="Comma_PriceCurve" xfId="547"/>
    <cellStyle name="Comma_PriceCurve_1" xfId="548"/>
    <cellStyle name="Comma_PROCDS&amp;G" xfId="549"/>
    <cellStyle name="Comma_PROFILE4" xfId="550"/>
    <cellStyle name="Comma_Projects" xfId="551"/>
    <cellStyle name="Comma_Quarter End Months" xfId="552"/>
    <cellStyle name="Comma_r1" xfId="553"/>
    <cellStyle name="Comma_Real Opr Cf" xfId="554"/>
    <cellStyle name="Comma_Real Rev per Staff (1)" xfId="555"/>
    <cellStyle name="Comma_Real Rev per Staff (2)" xfId="556"/>
    <cellStyle name="Comma_Region 2-C&amp;W" xfId="557"/>
    <cellStyle name="Comma_Return on Rev" xfId="558"/>
    <cellStyle name="Comma_Rev p line" xfId="559"/>
    <cellStyle name="Comma_RFI" xfId="560"/>
    <cellStyle name="Comma_RFI_1" xfId="561"/>
    <cellStyle name="Comma_ROACE" xfId="562"/>
    <cellStyle name="Comma_ROCF (Tot)" xfId="563"/>
    <cellStyle name="Comma_Sales Order" xfId="564"/>
    <cellStyle name="Comma_SATOCPX" xfId="565"/>
    <cellStyle name="Comma_ScreeningModel" xfId="566"/>
    <cellStyle name="Comma_SELECT" xfId="567"/>
    <cellStyle name="Comma_Sheet1" xfId="568"/>
    <cellStyle name="Comma_Sheet1_dimon" xfId="569"/>
    <cellStyle name="Comma_SHENREPT" xfId="570"/>
    <cellStyle name="Comma_Snr. CO" xfId="571"/>
    <cellStyle name="Comma_SPC99-03" xfId="572"/>
    <cellStyle name="Comma_sprint contr" xfId="573"/>
    <cellStyle name="Comma_Staff cost%rev" xfId="574"/>
    <cellStyle name="Comma_Subcont File" xfId="575"/>
    <cellStyle name="Comma_SUMMARY" xfId="576"/>
    <cellStyle name="Comma_Summary Info" xfId="577"/>
    <cellStyle name="Comma_SUMPAGE" xfId="578"/>
    <cellStyle name="Comma_Template" xfId="579"/>
    <cellStyle name="Comma_TESTDATA" xfId="580"/>
    <cellStyle name="Comma_TMSNW1" xfId="581"/>
    <cellStyle name="Comma_TMSNW2" xfId="582"/>
    <cellStyle name="Comma_TMSOCPX" xfId="583"/>
    <cellStyle name="Comma_TOTAL MTH" xfId="584"/>
    <cellStyle name="Comma_TOTAL YTD" xfId="585"/>
    <cellStyle name="Comma_Total-Rev dist." xfId="586"/>
    <cellStyle name="Comma_TRANSDSC.XLS" xfId="587"/>
    <cellStyle name="Comma_TRANSFXA.XLS" xfId="588"/>
    <cellStyle name="Comma_TRANSFXA.XLS_1" xfId="589"/>
    <cellStyle name="Comma_TRANSIME.XLS" xfId="590"/>
    <cellStyle name="Comma_TRANSIME.XLS_TRANSDSC.XLS" xfId="591"/>
    <cellStyle name="Comma_TRANSIME.XLS_TRANSFXA.XLS" xfId="592"/>
    <cellStyle name="Comma_VIRUS-EDY" xfId="593"/>
    <cellStyle name="Comma_White" xfId="594"/>
    <cellStyle name="Comma_WO Var. &amp; Tot. Exp." xfId="595"/>
    <cellStyle name="Comma_WSP" xfId="596"/>
    <cellStyle name="Comma_yrcao" xfId="597"/>
    <cellStyle name="Comma_YREND55" xfId="598"/>
    <cellStyle name="Comma_YREND57" xfId="599"/>
    <cellStyle name="Comma_YTDCUR" xfId="600"/>
    <cellStyle name="Currency [0]_12matrix" xfId="601"/>
    <cellStyle name="Currency [0]_1995" xfId="602"/>
    <cellStyle name="Currency [0]_A" xfId="603"/>
    <cellStyle name="Currency [0]_A_dimon" xfId="604"/>
    <cellStyle name="Currency [0]_A_dimon_1" xfId="605"/>
    <cellStyle name="Currency [0]_ACTUAL" xfId="606"/>
    <cellStyle name="Currency [0]_ACTUAL NA -OBU" xfId="607"/>
    <cellStyle name="Currency [0]_Actual vs." xfId="608"/>
    <cellStyle name="Currency [0]_algasdefault" xfId="609"/>
    <cellStyle name="Currency [0]_Alternative1" xfId="610"/>
    <cellStyle name="Currency [0]_Alternative1_1" xfId="611"/>
    <cellStyle name="Currency [0]_App E" xfId="612"/>
    <cellStyle name="Currency [0]_Apr" xfId="613"/>
    <cellStyle name="Currency [0]_Arapahoe" xfId="614"/>
    <cellStyle name="Currency [0]_Assumptions" xfId="615"/>
    <cellStyle name="Currency [0]_Assumptions_dimon" xfId="616"/>
    <cellStyle name="Currency [0]_Assumptions_summary" xfId="617"/>
    <cellStyle name="Currency [0]_B" xfId="618"/>
    <cellStyle name="Currency [0]_bahiadefault" xfId="619"/>
    <cellStyle name="Currency [0]_Book3" xfId="620"/>
    <cellStyle name="Currency [0]_BOP" xfId="621"/>
    <cellStyle name="Currency [0]_BOPBAL1" xfId="622"/>
    <cellStyle name="Currency [0]_BOPCBU" xfId="623"/>
    <cellStyle name="Currency [0]_BOPCBU (2)" xfId="624"/>
    <cellStyle name="Currency [0]_BOPCBU96" xfId="625"/>
    <cellStyle name="Currency [0]_BSAPPE.XLS" xfId="626"/>
    <cellStyle name="Currency [0]_Calculations" xfId="627"/>
    <cellStyle name="Currency [0]_Calculations (2)" xfId="628"/>
    <cellStyle name="Currency [0]_Calculations II" xfId="629"/>
    <cellStyle name="Currency [0]_Calculations III" xfId="630"/>
    <cellStyle name="Currency [0]_Calculations_1" xfId="631"/>
    <cellStyle name="Currency [0]_CAPEX" xfId="632"/>
    <cellStyle name="Currency [0]_CAPEX94" xfId="633"/>
    <cellStyle name="Currency [0]_CapInt" xfId="634"/>
    <cellStyle name="Currency [0]_Cardig GHS" xfId="635"/>
    <cellStyle name="Currency [0]_Cash Flows" xfId="636"/>
    <cellStyle name="Currency [0]_Cashflow" xfId="637"/>
    <cellStyle name="Currency [0]_CBU BOX CHART V PLAN" xfId="638"/>
    <cellStyle name="Currency [0]_CCA" xfId="639"/>
    <cellStyle name="Currency [0]_CCOCPX" xfId="640"/>
    <cellStyle name="Currency [0]_CFMODEL" xfId="641"/>
    <cellStyle name="Currency [0]_CFTEST49" xfId="642"/>
    <cellStyle name="Currency [0]_CHANGES.XLS" xfId="643"/>
    <cellStyle name="Currency [0]_Charts" xfId="644"/>
    <cellStyle name="Currency [0]_Comm File" xfId="645"/>
    <cellStyle name="Currency [0]_coperdefault" xfId="646"/>
    <cellStyle name="Currency [0]_Corp method" xfId="647"/>
    <cellStyle name="Currency [0]_Cost Code" xfId="648"/>
    <cellStyle name="Currency [0]_CTCUR" xfId="649"/>
    <cellStyle name="Currency [0]_CUMPLTCH" xfId="650"/>
    <cellStyle name="Currency [0]_Curve_Economics" xfId="651"/>
    <cellStyle name="Currency [0]_DEFAULT" xfId="652"/>
    <cellStyle name="Currency [0]_DeskCurves" xfId="653"/>
    <cellStyle name="Currency [0]_dimon" xfId="654"/>
    <cellStyle name="Currency [0]_dimon_1" xfId="655"/>
    <cellStyle name="Currency [0]_dimon_2" xfId="656"/>
    <cellStyle name="Currency [0]_Dowell C1b" xfId="657"/>
    <cellStyle name="Currency [0]_Dowell-C1a" xfId="658"/>
    <cellStyle name="Currency [0]_E&amp;ONW1" xfId="659"/>
    <cellStyle name="Currency [0]_E&amp;ONW2" xfId="660"/>
    <cellStyle name="Currency [0]_E&amp;OOCPX" xfId="661"/>
    <cellStyle name="Currency [0]_emserdefault" xfId="662"/>
    <cellStyle name="Currency [0]_EVER1" xfId="663"/>
    <cellStyle name="Currency [0]_F&amp;COCPX" xfId="664"/>
    <cellStyle name="Currency [0]_FEBRUARY" xfId="665"/>
    <cellStyle name="Currency [0]_FF" xfId="666"/>
    <cellStyle name="Currency [0]_FP 20 A (1)" xfId="667"/>
    <cellStyle name="Currency [0]_FP 20 A (2)" xfId="668"/>
    <cellStyle name="Currency [0]_FP-20 (App. E)" xfId="669"/>
    <cellStyle name="Currency [0]_FP-20 (App.A) " xfId="670"/>
    <cellStyle name="Currency [0]_FP-20 (App.D)" xfId="671"/>
    <cellStyle name="Currency [0]_FP-20(App.B)" xfId="672"/>
    <cellStyle name="Currency [0]_FP-20(C1) (a)" xfId="673"/>
    <cellStyle name="Currency [0]_FP-20(C1) (a) (2)" xfId="674"/>
    <cellStyle name="Currency [0]_FP-20(C1) (b)" xfId="675"/>
    <cellStyle name="Currency [0]_FP-20(C1) (b) " xfId="676"/>
    <cellStyle name="Currency [0]_FP-20(C1) (b) (2)" xfId="677"/>
    <cellStyle name="Currency [0]_GASDATA1" xfId="678"/>
    <cellStyle name="Currency [0]_GASDATA1 (2)" xfId="679"/>
    <cellStyle name="Currency [0]_GCM" xfId="680"/>
    <cellStyle name="Currency [0]_GenAssum" xfId="681"/>
    <cellStyle name="Currency [0]_GenMod" xfId="682"/>
    <cellStyle name="Currency [0]_GP C1a" xfId="683"/>
    <cellStyle name="Currency [0]_GP C1b" xfId="684"/>
    <cellStyle name="Currency [0]_GP_EI_3" xfId="685"/>
    <cellStyle name="Currency [0]_GQ C1A" xfId="686"/>
    <cellStyle name="Currency [0]_GQ C1B" xfId="687"/>
    <cellStyle name="Currency [0]_H" xfId="688"/>
    <cellStyle name="Currency [0]_Inputs" xfId="689"/>
    <cellStyle name="Currency [0]_Int. Data Table" xfId="690"/>
    <cellStyle name="Currency [0]_IPM C1b" xfId="691"/>
    <cellStyle name="Currency [0]_IPMC1a" xfId="692"/>
    <cellStyle name="Currency [0]_IPP" xfId="693"/>
    <cellStyle name="Currency [0]_IS-Hold" xfId="694"/>
    <cellStyle name="Currency [0]_ITOCPX" xfId="695"/>
    <cellStyle name="Currency [0]_jancf" xfId="696"/>
    <cellStyle name="Currency [0]_JUNMTH55" xfId="697"/>
    <cellStyle name="Currency [0]_JUNMTH57" xfId="698"/>
    <cellStyle name="Currency [0]_JUNYTD55" xfId="699"/>
    <cellStyle name="Currency [0]_JUNYTD57" xfId="700"/>
    <cellStyle name="Currency [0]_laroux" xfId="701"/>
    <cellStyle name="Currency [0]_laroux_1" xfId="702"/>
    <cellStyle name="Currency [0]_laroux_1995" xfId="703"/>
    <cellStyle name="Currency [0]_laroux_1_dimon" xfId="704"/>
    <cellStyle name="Currency [0]_laroux_1_dimon_1" xfId="705"/>
    <cellStyle name="Currency [0]_laroux_1_dimon_2" xfId="706"/>
    <cellStyle name="Currency [0]_laroux_1_dimon_3" xfId="707"/>
    <cellStyle name="Currency [0]_laroux_1_laroux" xfId="708"/>
    <cellStyle name="Currency [0]_laroux_1_laroux_1" xfId="709"/>
    <cellStyle name="Currency [0]_laroux_1_laroux_dimon" xfId="710"/>
    <cellStyle name="Currency [0]_laroux_1_Locas" xfId="711"/>
    <cellStyle name="Currency [0]_laroux_1_pldt" xfId="712"/>
    <cellStyle name="Currency [0]_laroux_1_PLDT_dimon" xfId="713"/>
    <cellStyle name="Currency [0]_laroux_1_VERA" xfId="714"/>
    <cellStyle name="Currency [0]_laroux_1_VERA_1" xfId="715"/>
    <cellStyle name="Currency [0]_laroux_1_VIRUS-EDY" xfId="716"/>
    <cellStyle name="Currency [0]_laroux_2" xfId="717"/>
    <cellStyle name="Currency [0]_laroux_2_dimon" xfId="718"/>
    <cellStyle name="Currency [0]_laroux_2_dimon_1" xfId="719"/>
    <cellStyle name="Currency [0]_laroux_2_dimon_2" xfId="720"/>
    <cellStyle name="Currency [0]_laroux_2_dimon_3" xfId="721"/>
    <cellStyle name="Currency [0]_laroux_2_laroux" xfId="722"/>
    <cellStyle name="Currency [0]_laroux_2_laroux_dimon" xfId="723"/>
    <cellStyle name="Currency [0]_laroux_2_Locas" xfId="724"/>
    <cellStyle name="Currency [0]_laroux_2_pldt" xfId="725"/>
    <cellStyle name="Currency [0]_laroux_2_PLDT_dimon" xfId="726"/>
    <cellStyle name="Currency [0]_laroux_2_VIRUS-EDY" xfId="727"/>
    <cellStyle name="Currency [0]_laroux_3" xfId="728"/>
    <cellStyle name="Currency [0]_laroux_3_dimon" xfId="729"/>
    <cellStyle name="Currency [0]_laroux_3_dimon_1" xfId="730"/>
    <cellStyle name="Currency [0]_laroux_3_dimon_2" xfId="731"/>
    <cellStyle name="Currency [0]_laroux_3_dimon_3" xfId="732"/>
    <cellStyle name="Currency [0]_laroux_4" xfId="733"/>
    <cellStyle name="Currency [0]_laroux_4_dimon" xfId="734"/>
    <cellStyle name="Currency [0]_laroux_4_dimon_1" xfId="735"/>
    <cellStyle name="Currency [0]_laroux_5" xfId="736"/>
    <cellStyle name="Currency [0]_laroux_6" xfId="737"/>
    <cellStyle name="Currency [0]_laroux_7" xfId="738"/>
    <cellStyle name="Currency [0]_laroux_dimon" xfId="739"/>
    <cellStyle name="Currency [0]_laroux_dimon_1" xfId="740"/>
    <cellStyle name="Currency [0]_laroux_dimon_2" xfId="741"/>
    <cellStyle name="Currency [0]_laroux_dimon_3" xfId="742"/>
    <cellStyle name="Currency [0]_laroux_laroux" xfId="743"/>
    <cellStyle name="Currency [0]_laroux_laroux_1" xfId="744"/>
    <cellStyle name="Currency [0]_laroux_laroux_1_dimon" xfId="745"/>
    <cellStyle name="Currency [0]_laroux_laroux_dimon" xfId="746"/>
    <cellStyle name="Currency [0]_laroux_Locas" xfId="747"/>
    <cellStyle name="Currency [0]_laroux_MATERAL2" xfId="748"/>
    <cellStyle name="Currency [0]_laroux_MATERAL2_dimon" xfId="749"/>
    <cellStyle name="Currency [0]_laroux_MATERAL2_dimon_1" xfId="750"/>
    <cellStyle name="Currency [0]_laroux_MATERAL2_laroux" xfId="751"/>
    <cellStyle name="Currency [0]_laroux_MATERAL2_laroux_dimon" xfId="752"/>
    <cellStyle name="Currency [0]_laroux_MATERAL2_pldt" xfId="753"/>
    <cellStyle name="Currency [0]_laroux_MATERAL2_VERA" xfId="754"/>
    <cellStyle name="Currency [0]_laroux_MATERAL2_VIRUS-EDY" xfId="755"/>
    <cellStyle name="Currency [0]_laroux_mud plant bolted" xfId="756"/>
    <cellStyle name="Currency [0]_laroux_mud plant bolted_dimon" xfId="757"/>
    <cellStyle name="Currency [0]_laroux_mud plant bolted_dimon_1" xfId="758"/>
    <cellStyle name="Currency [0]_laroux_pldt" xfId="759"/>
    <cellStyle name="Currency [0]_laroux_pldt_1" xfId="760"/>
    <cellStyle name="Currency [0]_laroux_VERA" xfId="761"/>
    <cellStyle name="Currency [0]_laroux_VERA_1" xfId="762"/>
    <cellStyle name="Currency [0]_laroux_VIRUS-EDY" xfId="763"/>
    <cellStyle name="Currency [0]_List" xfId="764"/>
    <cellStyle name="Currency [0]_MATERAL2" xfId="765"/>
    <cellStyle name="Currency [0]_MATERAL2_dimon" xfId="766"/>
    <cellStyle name="Currency [0]_MATERAL2_dimon_1" xfId="767"/>
    <cellStyle name="Currency [0]_MKGOCPX" xfId="768"/>
    <cellStyle name="Currency [0]_MOBCPX" xfId="769"/>
    <cellStyle name="Currency [0]_Module1" xfId="770"/>
    <cellStyle name="Currency [0]_mud plant bolted" xfId="771"/>
    <cellStyle name="Currency [0]_mud plant bolted_dimon" xfId="772"/>
    <cellStyle name="Currency [0]_mud plant bolted_dimon_1" xfId="773"/>
    <cellStyle name="Currency [0]_mud plant bolted_laroux" xfId="774"/>
    <cellStyle name="Currency [0]_mud plant bolted_laroux_dimon" xfId="775"/>
    <cellStyle name="Currency [0]_mud plant bolted_pldt" xfId="776"/>
    <cellStyle name="Currency [0]_mud plant bolted_VERA" xfId="777"/>
    <cellStyle name="Currency [0]_mud plant bolted_VIRUS-EDY" xfId="778"/>
    <cellStyle name="Currency [0]_NA WITHOUT GOV'T &amp; PNX" xfId="779"/>
    <cellStyle name="Currency [0]_NAOBU10" xfId="780"/>
    <cellStyle name="Currency [0]_NAT ACCT" xfId="781"/>
    <cellStyle name="Currency [0]_NSACTUAL.XLS" xfId="782"/>
    <cellStyle name="Currency [0]_NX00" xfId="783"/>
    <cellStyle name="Currency [0]_Odner" xfId="784"/>
    <cellStyle name="Currency [0]_Odner (2)" xfId="785"/>
    <cellStyle name="Currency [0]_Odner (3)" xfId="786"/>
    <cellStyle name="Currency [0]_OFFDATA1" xfId="787"/>
    <cellStyle name="Currency [0]_OFFDATA1 (2)" xfId="788"/>
    <cellStyle name="Currency [0]_Operations" xfId="789"/>
    <cellStyle name="Currency [0]_opsmacro" xfId="790"/>
    <cellStyle name="Currency [0]_OSMOCPX" xfId="791"/>
    <cellStyle name="Currency [0]_Other Months" xfId="792"/>
    <cellStyle name="Currency [0]_Outlook" xfId="793"/>
    <cellStyle name="Currency [0]_pbdefault" xfId="794"/>
    <cellStyle name="Currency [0]_percentages" xfId="795"/>
    <cellStyle name="Currency [0]_PERSONAL" xfId="796"/>
    <cellStyle name="Currency [0]_PGMKOCPX" xfId="797"/>
    <cellStyle name="Currency [0]_PGNW1" xfId="798"/>
    <cellStyle name="Currency [0]_PGNW2" xfId="799"/>
    <cellStyle name="Currency [0]_PGNWOCPX" xfId="800"/>
    <cellStyle name="Currency [0]_Pink" xfId="801"/>
    <cellStyle name="Currency [0]_PKDATA1" xfId="802"/>
    <cellStyle name="Currency [0]_PKDATA1 (2)" xfId="803"/>
    <cellStyle name="Currency [0]_Plan" xfId="804"/>
    <cellStyle name="Currency [0]_PLANT" xfId="805"/>
    <cellStyle name="Currency [0]_PLDT" xfId="806"/>
    <cellStyle name="Currency [0]_pldt_1" xfId="807"/>
    <cellStyle name="Currency [0]_PLDT_1_dimon" xfId="808"/>
    <cellStyle name="Currency [0]_pldt_1_dimon_1" xfId="809"/>
    <cellStyle name="Currency [0]_pldt_2" xfId="810"/>
    <cellStyle name="Currency [0]_pldt_Calculations" xfId="811"/>
    <cellStyle name="Currency [0]_PLDT_dimon" xfId="812"/>
    <cellStyle name="Currency [0]_pldt_dimon_1" xfId="813"/>
    <cellStyle name="Currency [0]_priccurv" xfId="814"/>
    <cellStyle name="Currency [0]_PriceCurve" xfId="815"/>
    <cellStyle name="Currency [0]_PriceCurve_1" xfId="816"/>
    <cellStyle name="Currency [0]_PROCDS&amp;G" xfId="817"/>
    <cellStyle name="Currency [0]_PROFILE4" xfId="818"/>
    <cellStyle name="Currency [0]_Projects" xfId="819"/>
    <cellStyle name="Currency [0]_Quarter End Months" xfId="820"/>
    <cellStyle name="Currency [0]_r1" xfId="821"/>
    <cellStyle name="Currency [0]_RFI" xfId="822"/>
    <cellStyle name="Currency [0]_RFI_1" xfId="823"/>
    <cellStyle name="Currency [0]_Sales Order" xfId="824"/>
    <cellStyle name="Currency [0]_SATOCPX" xfId="825"/>
    <cellStyle name="Currency [0]_ScreeningModel" xfId="826"/>
    <cellStyle name="Currency [0]_SELECT" xfId="827"/>
    <cellStyle name="Currency [0]_Sheet1" xfId="828"/>
    <cellStyle name="Currency [0]_Sheet1 (2)" xfId="829"/>
    <cellStyle name="Currency [0]_Sheet1_dimon" xfId="830"/>
    <cellStyle name="Currency [0]_SHENREPT" xfId="831"/>
    <cellStyle name="Currency [0]_Snr. CO" xfId="832"/>
    <cellStyle name="Currency [0]_sprint contr" xfId="833"/>
    <cellStyle name="Currency [0]_Subcont File" xfId="834"/>
    <cellStyle name="Currency [0]_SUMMARY" xfId="835"/>
    <cellStyle name="Currency [0]_Summary Info" xfId="836"/>
    <cellStyle name="Currency [0]_SUMPAGE" xfId="837"/>
    <cellStyle name="Currency [0]_Template" xfId="838"/>
    <cellStyle name="Currency [0]_TMSNW1" xfId="839"/>
    <cellStyle name="Currency [0]_TMSNW2" xfId="840"/>
    <cellStyle name="Currency [0]_TMSOCPX" xfId="841"/>
    <cellStyle name="Currency [0]_TOTAL MTH" xfId="842"/>
    <cellStyle name="Currency [0]_TOTAL YTD" xfId="843"/>
    <cellStyle name="Currency [0]_TRANSDSC.XLS" xfId="844"/>
    <cellStyle name="Currency [0]_TRANSFXA.XLS" xfId="845"/>
    <cellStyle name="Currency [0]_TRANSFXA.XLS_1" xfId="846"/>
    <cellStyle name="Currency [0]_TRANSIME.XLS" xfId="847"/>
    <cellStyle name="Currency [0]_TRANSIME.XLS_TRANSDSC.XLS" xfId="848"/>
    <cellStyle name="Currency [0]_TRANSIME.XLS_TRANSFXA.XLS" xfId="849"/>
    <cellStyle name="Currency [0]_VERA" xfId="850"/>
    <cellStyle name="Currency [0]_VIRUS-EDY" xfId="851"/>
    <cellStyle name="Currency [0]_VIRUS-EDY_1" xfId="852"/>
    <cellStyle name="Currency [0]_White" xfId="853"/>
    <cellStyle name="Currency [0]_WO Var. &amp; Tot. Exp." xfId="854"/>
    <cellStyle name="Currency [0]_WSP" xfId="855"/>
    <cellStyle name="Currency [0]_yrcao" xfId="856"/>
    <cellStyle name="Currency [0]_YREND55" xfId="857"/>
    <cellStyle name="Currency [0]_YREND57" xfId="858"/>
    <cellStyle name="Currency [0]_YTDCUR" xfId="859"/>
    <cellStyle name="Currency_12matrix" xfId="860"/>
    <cellStyle name="Currency_1995" xfId="861"/>
    <cellStyle name="Currency_A" xfId="862"/>
    <cellStyle name="Currency_A_dimon" xfId="863"/>
    <cellStyle name="Currency_A_dimon_1" xfId="864"/>
    <cellStyle name="Currency_ACTUAL" xfId="865"/>
    <cellStyle name="Currency_ACTUAL NA -OBU" xfId="866"/>
    <cellStyle name="Currency_Actual vs." xfId="867"/>
    <cellStyle name="Currency_algasdefault" xfId="868"/>
    <cellStyle name="Currency_algasdefault_1" xfId="869"/>
    <cellStyle name="Currency_Alternative1" xfId="870"/>
    <cellStyle name="Currency_Alternative1_1" xfId="871"/>
    <cellStyle name="Currency_App E" xfId="872"/>
    <cellStyle name="Currency_Apr" xfId="873"/>
    <cellStyle name="Currency_Arapahoe" xfId="874"/>
    <cellStyle name="Currency_Assumptions" xfId="875"/>
    <cellStyle name="Currency_Assumptions_dimon" xfId="876"/>
    <cellStyle name="Currency_Assumptions_summary" xfId="877"/>
    <cellStyle name="Currency_B" xfId="878"/>
    <cellStyle name="Currency_bahiadefault" xfId="879"/>
    <cellStyle name="Currency_bahiadefault_1" xfId="880"/>
    <cellStyle name="Currency_BIGOUT" xfId="881"/>
    <cellStyle name="Currency_Book3" xfId="882"/>
    <cellStyle name="Currency_BOP" xfId="883"/>
    <cellStyle name="Currency_BOPBAL1" xfId="884"/>
    <cellStyle name="Currency_BOPCBU" xfId="885"/>
    <cellStyle name="Currency_BOPCBU (2)" xfId="886"/>
    <cellStyle name="Currency_BOPCBU96" xfId="887"/>
    <cellStyle name="Currency_BSAPPE.XLS" xfId="888"/>
    <cellStyle name="Currency_Calculations" xfId="889"/>
    <cellStyle name="Currency_Calculations (2)" xfId="890"/>
    <cellStyle name="Currency_Calculations II" xfId="891"/>
    <cellStyle name="Currency_Calculations III" xfId="892"/>
    <cellStyle name="Currency_Calculations_1" xfId="893"/>
    <cellStyle name="Currency_CAPEX" xfId="894"/>
    <cellStyle name="Currency_CAPEX94" xfId="895"/>
    <cellStyle name="Currency_CapInt" xfId="896"/>
    <cellStyle name="Currency_Cardig GHS" xfId="897"/>
    <cellStyle name="Currency_Cash Flows" xfId="898"/>
    <cellStyle name="Currency_Cashflow" xfId="899"/>
    <cellStyle name="Currency_CBU BOX CHART V PLAN" xfId="900"/>
    <cellStyle name="Currency_CCA" xfId="901"/>
    <cellStyle name="Currency_CCOCPX" xfId="902"/>
    <cellStyle name="Currency_CFMODEL" xfId="903"/>
    <cellStyle name="Currency_CFtest3" xfId="904"/>
    <cellStyle name="Currency_CFTEST49" xfId="905"/>
    <cellStyle name="Currency_CHANGES.XLS" xfId="906"/>
    <cellStyle name="Currency_Charts" xfId="907"/>
    <cellStyle name="Currency_Comm File" xfId="908"/>
    <cellStyle name="Currency_coperdefault" xfId="909"/>
    <cellStyle name="Currency_coperdefault_1" xfId="910"/>
    <cellStyle name="Currency_Corp method" xfId="911"/>
    <cellStyle name="Currency_Cost Code" xfId="912"/>
    <cellStyle name="Currency_CTCUR" xfId="913"/>
    <cellStyle name="Currency_CUMPLTCH" xfId="914"/>
    <cellStyle name="Currency_Curve_Economics" xfId="915"/>
    <cellStyle name="Currency_DEFAULT" xfId="916"/>
    <cellStyle name="Currency_DeskCurves" xfId="917"/>
    <cellStyle name="Currency_dimon" xfId="918"/>
    <cellStyle name="Currency_dimon_1" xfId="919"/>
    <cellStyle name="Currency_dimon_2" xfId="920"/>
    <cellStyle name="Currency_Dowell C1b" xfId="921"/>
    <cellStyle name="Currency_Dowell-C1a" xfId="922"/>
    <cellStyle name="Currency_E&amp;ONW1" xfId="923"/>
    <cellStyle name="Currency_E&amp;ONW2" xfId="924"/>
    <cellStyle name="Currency_E&amp;OOCPX" xfId="925"/>
    <cellStyle name="Currency_emserdefault" xfId="926"/>
    <cellStyle name="Currency_emserdefault_1" xfId="927"/>
    <cellStyle name="Currency_EVER1" xfId="928"/>
    <cellStyle name="Currency_F&amp;COCPX" xfId="929"/>
    <cellStyle name="Currency_FEBRUARY" xfId="930"/>
    <cellStyle name="Currency_FF" xfId="931"/>
    <cellStyle name="Currency_FP 20 A (1)" xfId="932"/>
    <cellStyle name="Currency_FP 20 A (2)" xfId="933"/>
    <cellStyle name="Currency_FP-20 (App. E)" xfId="934"/>
    <cellStyle name="Currency_FP-20 (App.A) " xfId="935"/>
    <cellStyle name="Currency_FP-20 (App.D)" xfId="936"/>
    <cellStyle name="Currency_FP-20(App.B)" xfId="937"/>
    <cellStyle name="Currency_FP-20(C1) (a)" xfId="938"/>
    <cellStyle name="Currency_FP-20(C1) (a) (2)" xfId="939"/>
    <cellStyle name="Currency_FP-20(C1) (b)" xfId="940"/>
    <cellStyle name="Currency_FP-20(C1) (b) " xfId="941"/>
    <cellStyle name="Currency_FP-20(C1) (b) (2)" xfId="942"/>
    <cellStyle name="Currency_GASDATA1" xfId="943"/>
    <cellStyle name="Currency_GASDATA1 (2)" xfId="944"/>
    <cellStyle name="Currency_GCM" xfId="945"/>
    <cellStyle name="Currency_GenAssum" xfId="946"/>
    <cellStyle name="Currency_GenMod" xfId="947"/>
    <cellStyle name="Currency_GP C1a" xfId="948"/>
    <cellStyle name="Currency_GP C1b" xfId="949"/>
    <cellStyle name="Currency_GP_EI_3" xfId="950"/>
    <cellStyle name="Currency_GQ C1A" xfId="951"/>
    <cellStyle name="Currency_GQ C1B" xfId="952"/>
    <cellStyle name="Currency_H" xfId="953"/>
    <cellStyle name="Currency_Inputs" xfId="954"/>
    <cellStyle name="Currency_Int. Data Table" xfId="955"/>
    <cellStyle name="Currency_IPM C1b" xfId="956"/>
    <cellStyle name="Currency_IPMC1a" xfId="957"/>
    <cellStyle name="Currency_IPP" xfId="958"/>
    <cellStyle name="Currency_IS-Hold" xfId="959"/>
    <cellStyle name="Currency_ITOCPX" xfId="960"/>
    <cellStyle name="Currency_jancf" xfId="961"/>
    <cellStyle name="Currency_JUNMTH55" xfId="962"/>
    <cellStyle name="Currency_JUNMTH57" xfId="963"/>
    <cellStyle name="Currency_JUNYTD55" xfId="964"/>
    <cellStyle name="Currency_JUNYTD57" xfId="965"/>
    <cellStyle name="Currency_laroux" xfId="966"/>
    <cellStyle name="Currency_laroux_1" xfId="967"/>
    <cellStyle name="Currency_laroux_1995" xfId="968"/>
    <cellStyle name="Currency_laroux_1_dimon" xfId="969"/>
    <cellStyle name="Currency_laroux_1_dimon_1" xfId="970"/>
    <cellStyle name="Currency_laroux_1_dimon_2" xfId="971"/>
    <cellStyle name="Currency_laroux_1_dimon_3" xfId="972"/>
    <cellStyle name="Currency_laroux_1_laroux" xfId="973"/>
    <cellStyle name="Currency_laroux_1_laroux_1" xfId="974"/>
    <cellStyle name="Currency_laroux_1_laroux_dimon" xfId="975"/>
    <cellStyle name="Currency_laroux_1_Locas" xfId="976"/>
    <cellStyle name="Currency_laroux_1_pldt" xfId="977"/>
    <cellStyle name="Currency_laroux_1_PLDT_dimon" xfId="978"/>
    <cellStyle name="Currency_laroux_1_VERA" xfId="979"/>
    <cellStyle name="Currency_laroux_1_VERA_1" xfId="980"/>
    <cellStyle name="Currency_laroux_1_VIRUS-EDY" xfId="981"/>
    <cellStyle name="Currency_laroux_2" xfId="982"/>
    <cellStyle name="Currency_laroux_2_dimon" xfId="983"/>
    <cellStyle name="Currency_laroux_2_dimon_1" xfId="984"/>
    <cellStyle name="Currency_laroux_2_dimon_2" xfId="985"/>
    <cellStyle name="Currency_laroux_2_dimon_3" xfId="986"/>
    <cellStyle name="Currency_laroux_2_laroux" xfId="987"/>
    <cellStyle name="Currency_laroux_2_laroux_dimon" xfId="988"/>
    <cellStyle name="Currency_laroux_2_Locas" xfId="989"/>
    <cellStyle name="Currency_laroux_2_pldt" xfId="990"/>
    <cellStyle name="Currency_laroux_2_PLDT_dimon" xfId="991"/>
    <cellStyle name="Currency_laroux_2_VIRUS-EDY" xfId="992"/>
    <cellStyle name="Currency_laroux_3" xfId="993"/>
    <cellStyle name="Currency_laroux_3_dimon" xfId="994"/>
    <cellStyle name="Currency_laroux_3_dimon_1" xfId="995"/>
    <cellStyle name="Currency_laroux_3_dimon_2" xfId="996"/>
    <cellStyle name="Currency_laroux_3_dimon_3" xfId="997"/>
    <cellStyle name="Currency_laroux_4" xfId="998"/>
    <cellStyle name="Currency_laroux_4_dimon" xfId="999"/>
    <cellStyle name="Currency_laroux_4_dimon_1" xfId="1000"/>
    <cellStyle name="Currency_laroux_5" xfId="1001"/>
    <cellStyle name="Currency_laroux_6" xfId="1002"/>
    <cellStyle name="Currency_laroux_7" xfId="1003"/>
    <cellStyle name="Currency_laroux_8" xfId="1004"/>
    <cellStyle name="Currency_laroux_dimon" xfId="1005"/>
    <cellStyle name="Currency_laroux_dimon_1" xfId="1006"/>
    <cellStyle name="Currency_laroux_dimon_2" xfId="1007"/>
    <cellStyle name="Currency_laroux_dimon_3" xfId="1008"/>
    <cellStyle name="Currency_laroux_laroux" xfId="1009"/>
    <cellStyle name="Currency_laroux_laroux_1" xfId="1010"/>
    <cellStyle name="Currency_laroux_laroux_1_dimon" xfId="1011"/>
    <cellStyle name="Currency_laroux_laroux_dimon" xfId="1012"/>
    <cellStyle name="Currency_laroux_Locas" xfId="1013"/>
    <cellStyle name="Currency_laroux_pldt" xfId="1014"/>
    <cellStyle name="Currency_laroux_pldt_1" xfId="1015"/>
    <cellStyle name="Currency_laroux_VERA" xfId="1016"/>
    <cellStyle name="Currency_laroux_VERA_1" xfId="1017"/>
    <cellStyle name="Currency_laroux_VIRUS-EDY" xfId="1018"/>
    <cellStyle name="Currency_List" xfId="1019"/>
    <cellStyle name="Currency_MATERAL2" xfId="1020"/>
    <cellStyle name="Currency_MATERAL2_dimon" xfId="1021"/>
    <cellStyle name="Currency_MATERAL2_dimon_1" xfId="1022"/>
    <cellStyle name="Currency_MKGOCPX" xfId="1023"/>
    <cellStyle name="Currency_MOBCPX" xfId="1024"/>
    <cellStyle name="Currency_Module1" xfId="1025"/>
    <cellStyle name="Currency_mud plant bolted" xfId="1026"/>
    <cellStyle name="Currency_mud plant bolted_dimon" xfId="1027"/>
    <cellStyle name="Currency_mud plant bolted_dimon_1" xfId="1028"/>
    <cellStyle name="Currency_mud plant bolted_PLDT" xfId="1029"/>
    <cellStyle name="Currency_mud plant bolted_VERA" xfId="1030"/>
    <cellStyle name="Currency_mud plant bolted_VERA_1" xfId="1031"/>
    <cellStyle name="Currency_NA WITHOUT GOV'T &amp; PNX" xfId="1032"/>
    <cellStyle name="Currency_NAOBU10" xfId="1033"/>
    <cellStyle name="Currency_NAT ACCT" xfId="1034"/>
    <cellStyle name="Currency_NSACTUAL.XLS" xfId="1035"/>
    <cellStyle name="Currency_NX00" xfId="1036"/>
    <cellStyle name="Currency_Odner" xfId="1037"/>
    <cellStyle name="Currency_Odner (2)" xfId="1038"/>
    <cellStyle name="Currency_Odner (3)" xfId="1039"/>
    <cellStyle name="Currency_OFFDATA1" xfId="1040"/>
    <cellStyle name="Currency_OFFDATA1 (2)" xfId="1041"/>
    <cellStyle name="Currency_Operations" xfId="1042"/>
    <cellStyle name="Currency_opsmacro" xfId="1043"/>
    <cellStyle name="Currency_OSMOCPX" xfId="1044"/>
    <cellStyle name="Currency_Other Months" xfId="1045"/>
    <cellStyle name="Currency_Outlook" xfId="1046"/>
    <cellStyle name="Currency_pbdefault" xfId="1047"/>
    <cellStyle name="Currency_pbdefault_1" xfId="1048"/>
    <cellStyle name="Currency_percentages" xfId="1049"/>
    <cellStyle name="Currency_PERSONAL" xfId="1050"/>
    <cellStyle name="Currency_PGMKOCPX" xfId="1051"/>
    <cellStyle name="Currency_PGNW1" xfId="1052"/>
    <cellStyle name="Currency_PGNW2" xfId="1053"/>
    <cellStyle name="Currency_PGNWOCPX" xfId="1054"/>
    <cellStyle name="Currency_Pink" xfId="1055"/>
    <cellStyle name="Currency_PKDATA1" xfId="1056"/>
    <cellStyle name="Currency_PKDATA1 (2)" xfId="1057"/>
    <cellStyle name="Currency_Plan" xfId="1058"/>
    <cellStyle name="Currency_PLANT" xfId="1059"/>
    <cellStyle name="Currency_PLDT" xfId="1060"/>
    <cellStyle name="Currency_pldt_1" xfId="1061"/>
    <cellStyle name="Currency_PLDT_1_dimon" xfId="1062"/>
    <cellStyle name="Currency_pldt_1_dimon_1" xfId="1063"/>
    <cellStyle name="Currency_pldt_2" xfId="1064"/>
    <cellStyle name="Currency_pldt_Calculations" xfId="1065"/>
    <cellStyle name="Currency_PLDT_dimon" xfId="1066"/>
    <cellStyle name="Currency_pldt_dimon_1" xfId="1067"/>
    <cellStyle name="Currency_priccurv" xfId="1068"/>
    <cellStyle name="Currency_PriceCurve" xfId="1069"/>
    <cellStyle name="Currency_PriceCurve_1" xfId="1070"/>
    <cellStyle name="Currency_PROCDS&amp;G" xfId="1071"/>
    <cellStyle name="Currency_PROFILE4" xfId="1072"/>
    <cellStyle name="Currency_Projects" xfId="1073"/>
    <cellStyle name="Currency_Quarter End Months" xfId="1074"/>
    <cellStyle name="Currency_r1" xfId="1075"/>
    <cellStyle name="Currency_RFI" xfId="1076"/>
    <cellStyle name="Currency_RFI_1" xfId="1077"/>
    <cellStyle name="Currency_Sales Order" xfId="1078"/>
    <cellStyle name="Currency_SATOCPX" xfId="1079"/>
    <cellStyle name="Currency_ScreeningModel" xfId="1080"/>
    <cellStyle name="Currency_SELECT" xfId="1081"/>
    <cellStyle name="Currency_Sheet1" xfId="1082"/>
    <cellStyle name="Currency_Sheet1 (2)" xfId="1083"/>
    <cellStyle name="Currency_Sheet1_dimon" xfId="1084"/>
    <cellStyle name="Currency_SHENREPT" xfId="1085"/>
    <cellStyle name="Currency_Snr. CO" xfId="1086"/>
    <cellStyle name="Currency_sprint contr" xfId="1087"/>
    <cellStyle name="Currency_Subcont File" xfId="1088"/>
    <cellStyle name="Currency_SUMMARY" xfId="1089"/>
    <cellStyle name="Currency_Summary Info" xfId="1090"/>
    <cellStyle name="Currency_SUMPAGE" xfId="1091"/>
    <cellStyle name="Currency_Template" xfId="1092"/>
    <cellStyle name="Currency_TMSNW1" xfId="1093"/>
    <cellStyle name="Currency_TMSNW2" xfId="1094"/>
    <cellStyle name="Currency_TMSOCPX" xfId="1095"/>
    <cellStyle name="Currency_TOTAL MTH" xfId="1096"/>
    <cellStyle name="Currency_TOTAL YTD" xfId="1097"/>
    <cellStyle name="Currency_TRANSDSC.XLS" xfId="1098"/>
    <cellStyle name="Currency_TRANSFXA.XLS" xfId="1099"/>
    <cellStyle name="Currency_TRANSFXA.XLS_1" xfId="1100"/>
    <cellStyle name="Currency_TRANSIME.XLS" xfId="1101"/>
    <cellStyle name="Currency_TRANSIME.XLS_TRANSDSC.XLS" xfId="1102"/>
    <cellStyle name="Currency_TRANSIME.XLS_TRANSFXA.XLS" xfId="1103"/>
    <cellStyle name="Currency_VERA" xfId="1104"/>
    <cellStyle name="Currency_VIRUS-EDY" xfId="1105"/>
    <cellStyle name="Currency_VIRUS-EDY_1" xfId="1106"/>
    <cellStyle name="Currency_White" xfId="1107"/>
    <cellStyle name="Currency_WO Var. &amp; Tot. Exp." xfId="1108"/>
    <cellStyle name="Currency_WSP" xfId="1109"/>
    <cellStyle name="Currency_yrcao" xfId="1110"/>
    <cellStyle name="Currency_YREND55" xfId="1111"/>
    <cellStyle name="Currency_YREND57" xfId="1112"/>
    <cellStyle name="Currency_YTDCUR" xfId="1113"/>
    <cellStyle name="Date" xfId="1114"/>
    <cellStyle name="Dezimal [0]_Compiling Utility Macros" xfId="1115"/>
    <cellStyle name="Dezimal [0]_FixerSetupDlg" xfId="1116"/>
    <cellStyle name="Dezimal [0]_TemplateInformation" xfId="1117"/>
    <cellStyle name="Dezimal_Compiling Utility Macros" xfId="1118"/>
    <cellStyle name="Dezimal_FixerSetupDlg" xfId="1119"/>
    <cellStyle name="Dezimal_TemplateInformation" xfId="1120"/>
    <cellStyle name="Fixed" xfId="1121"/>
    <cellStyle name="Grey" xfId="1122"/>
    <cellStyle name="HEADER" xfId="1123"/>
    <cellStyle name="Heading 1" xfId="1124"/>
    <cellStyle name="Heading2" xfId="1125"/>
    <cellStyle name="HIGHLIGHT" xfId="1126"/>
    <cellStyle name="Hyperlink_dimon" xfId="1127"/>
    <cellStyle name="Input [yellow]" xfId="1128"/>
    <cellStyle name="no dec" xfId="1129"/>
    <cellStyle name="Normal - Style1" xfId="1130"/>
    <cellStyle name="Normal - Style1_dimon" xfId="1131"/>
    <cellStyle name="Normal_03_06_98 list _ecm deals 030998 excel95" xfId="1132"/>
    <cellStyle name="Normal_12matrix" xfId="1133"/>
    <cellStyle name="Normal_20196" xfId="1134"/>
    <cellStyle name="Normal_4018fin" xfId="1135"/>
    <cellStyle name="Normal_4021fin" xfId="1136"/>
    <cellStyle name="Normal_95CHART" xfId="1137"/>
    <cellStyle name="Normal_A" xfId="1138"/>
    <cellStyle name="Normal_A (2)" xfId="1139"/>
    <cellStyle name="Normal_A_dimon" xfId="1140"/>
    <cellStyle name="Normal_A_dimon_1" xfId="1141"/>
    <cellStyle name="Normal_A_PriceCurve" xfId="1142"/>
    <cellStyle name="Normal_A_VERA" xfId="1143"/>
    <cellStyle name="Normal_ACTUAL" xfId="1144"/>
    <cellStyle name="Normal_ACTUAL NA -OBU" xfId="1145"/>
    <cellStyle name="Normal_Actual vs." xfId="1146"/>
    <cellStyle name="Normal_ACTUAL_1" xfId="1147"/>
    <cellStyle name="Normal_ACTUAL_NA WITHOUT GOV'T &amp; PNX" xfId="1148"/>
    <cellStyle name="Normal_algasdefault" xfId="1149"/>
    <cellStyle name="Normal_algasdefault_1" xfId="1150"/>
    <cellStyle name="Normal_Alternative1" xfId="1151"/>
    <cellStyle name="Normal_Alternative1_1" xfId="1152"/>
    <cellStyle name="Normal_AOPS" xfId="1153"/>
    <cellStyle name="Normal_App E" xfId="1154"/>
    <cellStyle name="Normal_APR" xfId="1155"/>
    <cellStyle name="Normal_APR_laroux" xfId="1156"/>
    <cellStyle name="Normal_Apr_pldt" xfId="1157"/>
    <cellStyle name="Normal_Arapahoe" xfId="1158"/>
    <cellStyle name="Normal_Assumptions" xfId="1159"/>
    <cellStyle name="Normal_Assumptions_dimon" xfId="1160"/>
    <cellStyle name="Normal_Assumptions_summary" xfId="1161"/>
    <cellStyle name="Normal_B" xfId="1162"/>
    <cellStyle name="Normal_bahiadefault" xfId="1163"/>
    <cellStyle name="Normal_bahiadefault_1" xfId="1164"/>
    <cellStyle name="Normal_BIGOUT" xfId="1165"/>
    <cellStyle name="Normal_Book3" xfId="1166"/>
    <cellStyle name="Normal_Book3_dimon" xfId="1167"/>
    <cellStyle name="Normal_BOP" xfId="1168"/>
    <cellStyle name="Normal_BOPBAL1" xfId="1169"/>
    <cellStyle name="Normal_BOPCBU" xfId="1170"/>
    <cellStyle name="Normal_BOPCBU (2)" xfId="1171"/>
    <cellStyle name="Normal_BOPCBU96" xfId="1172"/>
    <cellStyle name="Normal_BREPAIR" xfId="1173"/>
    <cellStyle name="Normal_BSAPPE.XLS" xfId="1174"/>
    <cellStyle name="Normal_BUDGET" xfId="1175"/>
    <cellStyle name="Normal_C-Cap intensity" xfId="1176"/>
    <cellStyle name="Normal_C-Capex%rev" xfId="1177"/>
    <cellStyle name="Normal_C-Line per Staff" xfId="1178"/>
    <cellStyle name="Normal_C-lines distribution" xfId="1179"/>
    <cellStyle name="Normal_C-Orig PLDT lines" xfId="1180"/>
    <cellStyle name="Normal_C-Ret on Rev" xfId="1181"/>
    <cellStyle name="Normal_C-ROACE" xfId="1182"/>
    <cellStyle name="Normal_Calculations" xfId="1183"/>
    <cellStyle name="Normal_Calculations (2)" xfId="1184"/>
    <cellStyle name="Normal_Calculations II" xfId="1185"/>
    <cellStyle name="Normal_Calculations II_1" xfId="1186"/>
    <cellStyle name="Normal_Calculations III" xfId="1187"/>
    <cellStyle name="Normal_Calculations_1" xfId="1188"/>
    <cellStyle name="Normal_Calculations_2" xfId="1189"/>
    <cellStyle name="Normal_Capex" xfId="1190"/>
    <cellStyle name="Normal_Capex per line" xfId="1191"/>
    <cellStyle name="Normal_Capex%rev" xfId="1192"/>
    <cellStyle name="Normal_CAPEX2" xfId="1193"/>
    <cellStyle name="Normal_CAPEX94" xfId="1194"/>
    <cellStyle name="Normal_CAPEX_dimon" xfId="1195"/>
    <cellStyle name="Normal_CAPEX_VERA" xfId="1196"/>
    <cellStyle name="Normal_CAPEXPWI.XLS" xfId="1197"/>
    <cellStyle name="Normal_CAPEXPWO.XLS" xfId="1198"/>
    <cellStyle name="Normal_CapInt" xfId="1199"/>
    <cellStyle name="Normal_Cardig GHS" xfId="1200"/>
    <cellStyle name="Normal_Cash Flows" xfId="1201"/>
    <cellStyle name="Normal_Cashflow" xfId="1202"/>
    <cellStyle name="Normal_CBU BOX CHART V PLAN" xfId="1203"/>
    <cellStyle name="Normal_CBU BOX CHART V PLAN_1" xfId="1204"/>
    <cellStyle name="Normal_CCOCPX" xfId="1205"/>
    <cellStyle name="Normal_CEL-C-CO.XLS" xfId="1206"/>
    <cellStyle name="Normal_Certs Q2" xfId="1207"/>
    <cellStyle name="Normal_Certs Q2 (2)" xfId="1208"/>
    <cellStyle name="Normal_CFMACROS.XLM" xfId="1209"/>
    <cellStyle name="Normal_CFMODEL" xfId="1210"/>
    <cellStyle name="Normal_CFMODEL.XLS" xfId="1211"/>
    <cellStyle name="Normal_CFTEST49" xfId="1212"/>
    <cellStyle name="Normal_CHANGES.XLS" xfId="1213"/>
    <cellStyle name="Normal_CHANGES.XLS_1" xfId="1214"/>
    <cellStyle name="Normal_ChgLoan" xfId="1215"/>
    <cellStyle name="Normal_Cht-Capex per line" xfId="1216"/>
    <cellStyle name="Normal_Cht-Cum Real Opr Cf" xfId="1217"/>
    <cellStyle name="Normal_Cht-Dep%Rev" xfId="1218"/>
    <cellStyle name="Normal_Cht-Real Opr Cf" xfId="1219"/>
    <cellStyle name="Normal_Cht-Rev dist" xfId="1220"/>
    <cellStyle name="Normal_Cht-Rev p line" xfId="1221"/>
    <cellStyle name="Normal_Cht-Rev per Staff" xfId="1222"/>
    <cellStyle name="Normal_Cht-Staff cost%revenue" xfId="1223"/>
    <cellStyle name="Normal_Co-wide Monthly" xfId="1224"/>
    <cellStyle name="Normal_Co-wide Monthly_dimon" xfId="1225"/>
    <cellStyle name="Normal_Code" xfId="1226"/>
    <cellStyle name="Normal_COMOTH" xfId="1227"/>
    <cellStyle name="Normal_coperdefault" xfId="1228"/>
    <cellStyle name="Normal_coperdefault_1" xfId="1229"/>
    <cellStyle name="Normal_Corp method" xfId="1230"/>
    <cellStyle name="Normal_Cost Code" xfId="1231"/>
    <cellStyle name="Normal_CROCF" xfId="1232"/>
    <cellStyle name="Normal_CTCUR" xfId="1233"/>
    <cellStyle name="Normal_Cum Real Opr Cf" xfId="1234"/>
    <cellStyle name="Normal_CUMPLTCH" xfId="1235"/>
    <cellStyle name="Normal_CurrencySKorea" xfId="1236"/>
    <cellStyle name="Normal_Curve_Economics" xfId="1237"/>
    <cellStyle name="Normal_Curve_Economics_1" xfId="1238"/>
    <cellStyle name="Normal_DEFAULT" xfId="1239"/>
    <cellStyle name="Normal_Demand Fcst." xfId="1240"/>
    <cellStyle name="Normal_Dep%Rev" xfId="1241"/>
    <cellStyle name="Normal_DeskCurves" xfId="1242"/>
    <cellStyle name="Normal_dimon" xfId="1243"/>
    <cellStyle name="Normal_dimon_1" xfId="1244"/>
    <cellStyle name="Normal_dimon_2" xfId="1245"/>
    <cellStyle name="Normal_dimon_3" xfId="1246"/>
    <cellStyle name="Normal_dimon_4" xfId="1247"/>
    <cellStyle name="Normal_DIV" xfId="1248"/>
    <cellStyle name="Normal_Dowell C1b" xfId="1249"/>
    <cellStyle name="Normal_Dowell-C1a" xfId="1250"/>
    <cellStyle name="Normal_DRAFT Order Summary" xfId="1251"/>
    <cellStyle name="Normal_E&amp;ONW1" xfId="1252"/>
    <cellStyle name="Normal_E&amp;ONW2" xfId="1253"/>
    <cellStyle name="Normal_E&amp;OOCPX" xfId="1254"/>
    <cellStyle name="Normal_emserdefault" xfId="1255"/>
    <cellStyle name="Normal_emserdefault_1" xfId="1256"/>
    <cellStyle name="Normal_EPS" xfId="1257"/>
    <cellStyle name="Normal_EQCON" xfId="1258"/>
    <cellStyle name="Normal_EVER1" xfId="1259"/>
    <cellStyle name="Normal_export 61898" xfId="1260"/>
    <cellStyle name="Normal_export deals 050898" xfId="1261"/>
    <cellStyle name="Normal_EXTEMP1" xfId="1262"/>
    <cellStyle name="Normal_F&amp;COCPX" xfId="1263"/>
    <cellStyle name="Normal_FEBRUARY" xfId="1264"/>
    <cellStyle name="Normal_FF" xfId="1265"/>
    <cellStyle name="Normal_FP 20 A (1)" xfId="1266"/>
    <cellStyle name="Normal_FP 20 A (2)" xfId="1267"/>
    <cellStyle name="Normal_FP-20 (App. E)" xfId="1268"/>
    <cellStyle name="Normal_FP-20 (App.A) " xfId="1269"/>
    <cellStyle name="Normal_FP-20 (App.A) _1" xfId="1270"/>
    <cellStyle name="Normal_FP-20(C1) (a)" xfId="1271"/>
    <cellStyle name="Normal_FP-20(C1) (a) (2)" xfId="1272"/>
    <cellStyle name="Normal_FP-20(C1) (a)_1" xfId="1273"/>
    <cellStyle name="Normal_FP-20(C1) (b)" xfId="1274"/>
    <cellStyle name="Normal_FP-20(C1) (b) " xfId="1275"/>
    <cellStyle name="Normal_FP-20(C1) (b) (2)" xfId="1276"/>
    <cellStyle name="Normal_FP-20(C1) (e)" xfId="1277"/>
    <cellStyle name="Normal_FP20_C1A" xfId="1278"/>
    <cellStyle name="Normal_FP20_C1B" xfId="1279"/>
    <cellStyle name="Normal_GASDATA1" xfId="1280"/>
    <cellStyle name="Normal_GASDATA1 (2)" xfId="1281"/>
    <cellStyle name="Normal_GASDATA1_1" xfId="1282"/>
    <cellStyle name="Normal_GCM" xfId="1283"/>
    <cellStyle name="Normal_GE03" xfId="1284"/>
    <cellStyle name="Normal_GE04" xfId="1285"/>
    <cellStyle name="Normal_GenAssum" xfId="1286"/>
    <cellStyle name="Normal_GenMod" xfId="1287"/>
    <cellStyle name="Normal_GP C1a" xfId="1288"/>
    <cellStyle name="Normal_GP C1b" xfId="1289"/>
    <cellStyle name="Normal_GP_EI_3" xfId="1290"/>
    <cellStyle name="Normal_GQ C1A" xfId="1291"/>
    <cellStyle name="Normal_GQ C1B" xfId="1292"/>
    <cellStyle name="Normal_H" xfId="1293"/>
    <cellStyle name="Normal_HC" xfId="1294"/>
    <cellStyle name="Normal_Igobox" xfId="1295"/>
    <cellStyle name="Normal_Igobox_1" xfId="1296"/>
    <cellStyle name="Normal_Igobox_2" xfId="1297"/>
    <cellStyle name="Normal_Igobox_Imacros" xfId="1298"/>
    <cellStyle name="Normal_Igobox_IPP" xfId="1299"/>
    <cellStyle name="Normal_Igobox_Iprintbox" xfId="1300"/>
    <cellStyle name="Normal_Imacros" xfId="1301"/>
    <cellStyle name="Normal_Imacros_1" xfId="1302"/>
    <cellStyle name="Normal_Imacros_2" xfId="1303"/>
    <cellStyle name="Normal_Input" xfId="1304"/>
    <cellStyle name="Normal_INPUT_1" xfId="1305"/>
    <cellStyle name="Normal_INPUT_GenAssum" xfId="1306"/>
    <cellStyle name="Normal_Inputs" xfId="1307"/>
    <cellStyle name="Normal_Inputs_dimon" xfId="1308"/>
    <cellStyle name="Normal_Int. Data Table" xfId="1309"/>
    <cellStyle name="Normal_Int. Data Table_1" xfId="1310"/>
    <cellStyle name="Normal_INVREV" xfId="1311"/>
    <cellStyle name="Normal_IPM C1b" xfId="1312"/>
    <cellStyle name="Normal_IPMC1a" xfId="1313"/>
    <cellStyle name="Normal_IPP" xfId="1314"/>
    <cellStyle name="Normal_IPP_1" xfId="1315"/>
    <cellStyle name="Normal_IPP_1_Igobox" xfId="1316"/>
    <cellStyle name="Normal_IPP_1_Imacros" xfId="1317"/>
    <cellStyle name="Normal_IPP_1_Iprintbox" xfId="1318"/>
    <cellStyle name="Normal_IPP_2" xfId="1319"/>
    <cellStyle name="Normal_IPP_dimon" xfId="1320"/>
    <cellStyle name="Normal_Iprintbox" xfId="1321"/>
    <cellStyle name="Normal_Iprintbox_1" xfId="1322"/>
    <cellStyle name="Normal_Iprintbox_2" xfId="1323"/>
    <cellStyle name="Normal_IRR" xfId="1324"/>
    <cellStyle name="Normal_IS-Hold" xfId="1325"/>
    <cellStyle name="Normal_Iterbox" xfId="1326"/>
    <cellStyle name="Normal_ITOCPX" xfId="1327"/>
    <cellStyle name="Normal_jancf" xfId="1328"/>
    <cellStyle name="Normal_JUNMTH55" xfId="1329"/>
    <cellStyle name="Normal_JUNMTH57" xfId="1330"/>
    <cellStyle name="Normal_JUNYTD55" xfId="1331"/>
    <cellStyle name="Normal_JUNYTD57" xfId="1332"/>
    <cellStyle name="Normal_laroux" xfId="1333"/>
    <cellStyle name="Normal_laroux_1" xfId="1334"/>
    <cellStyle name="Normal_laroux_1_dimon" xfId="1335"/>
    <cellStyle name="Normal_laroux_1_dimon_1" xfId="1336"/>
    <cellStyle name="Normal_laroux_1_dimon_2" xfId="1337"/>
    <cellStyle name="Normal_laroux_1_laroux" xfId="1338"/>
    <cellStyle name="Normal_laroux_1_laroux_1" xfId="1339"/>
    <cellStyle name="Normal_laroux_1_laroux_2" xfId="1340"/>
    <cellStyle name="Normal_laroux_1_Locas" xfId="1341"/>
    <cellStyle name="Normal_laroux_1_Locas_1" xfId="1342"/>
    <cellStyle name="Normal_laroux_1_pldt" xfId="1343"/>
    <cellStyle name="Normal_laroux_1_pldt_1" xfId="1344"/>
    <cellStyle name="Normal_laroux_1_pldt_2" xfId="1345"/>
    <cellStyle name="Normal_laroux_1_pldt_3" xfId="1346"/>
    <cellStyle name="Normal_laroux_1_PLDT_dimon" xfId="1347"/>
    <cellStyle name="Normal_laroux_1_VERA" xfId="1348"/>
    <cellStyle name="Normal_laroux_1_VERA_1" xfId="1349"/>
    <cellStyle name="Normal_laroux_1_VIRUS-EDY" xfId="1350"/>
    <cellStyle name="Normal_laroux_2" xfId="1351"/>
    <cellStyle name="Normal_laroux_2_dimon" xfId="1352"/>
    <cellStyle name="Normal_laroux_2_dimon_1" xfId="1353"/>
    <cellStyle name="Normal_laroux_2_dimon_2" xfId="1354"/>
    <cellStyle name="Normal_laroux_2_dimon_3" xfId="1355"/>
    <cellStyle name="Normal_laroux_2_laroux" xfId="1356"/>
    <cellStyle name="Normal_laroux_2_laroux_1" xfId="1357"/>
    <cellStyle name="Normal_laroux_2_laroux_2" xfId="1358"/>
    <cellStyle name="Normal_laroux_2_Locas" xfId="1359"/>
    <cellStyle name="Normal_laroux_2_Locas_1" xfId="1360"/>
    <cellStyle name="Normal_laroux_2_pldt" xfId="1361"/>
    <cellStyle name="Normal_laroux_2_pldt_1" xfId="1362"/>
    <cellStyle name="Normal_laroux_2_pldt_2" xfId="1363"/>
    <cellStyle name="Normal_laroux_2_VIRUS-EDY" xfId="1364"/>
    <cellStyle name="Normal_laroux_3" xfId="1365"/>
    <cellStyle name="Normal_laroux_3_dimon" xfId="1366"/>
    <cellStyle name="Normal_laroux_3_dimon_1" xfId="1367"/>
    <cellStyle name="Normal_laroux_3_dimon_2" xfId="1368"/>
    <cellStyle name="Normal_laroux_3_dimon_3" xfId="1369"/>
    <cellStyle name="Normal_laroux_3_dimon_4" xfId="1370"/>
    <cellStyle name="Normal_laroux_3_laroux" xfId="1371"/>
    <cellStyle name="Normal_laroux_3_laroux_1" xfId="1372"/>
    <cellStyle name="Normal_laroux_3_laroux_2" xfId="1373"/>
    <cellStyle name="Normal_laroux_3_laroux_dimon" xfId="1374"/>
    <cellStyle name="Normal_laroux_3_Locas" xfId="1375"/>
    <cellStyle name="Normal_laroux_3_pldt" xfId="1376"/>
    <cellStyle name="Normal_laroux_3_pldt_1" xfId="1377"/>
    <cellStyle name="Normal_laroux_3_PLDT_dimon" xfId="1378"/>
    <cellStyle name="Normal_laroux_3_VERA" xfId="1379"/>
    <cellStyle name="Normal_laroux_3_VERA_1" xfId="1380"/>
    <cellStyle name="Normal_laroux_3_VIRUS-EDY" xfId="1381"/>
    <cellStyle name="Normal_laroux_4" xfId="1382"/>
    <cellStyle name="Normal_laroux_4_dimon" xfId="1383"/>
    <cellStyle name="Normal_laroux_4_dimon_1" xfId="1384"/>
    <cellStyle name="Normal_laroux_4_dimon_2" xfId="1385"/>
    <cellStyle name="Normal_laroux_4_dimon_3" xfId="1386"/>
    <cellStyle name="Normal_laroux_4_laroux" xfId="1387"/>
    <cellStyle name="Normal_laroux_4_laroux_1" xfId="1388"/>
    <cellStyle name="Normal_laroux_4_laroux_2" xfId="1389"/>
    <cellStyle name="Normal_laroux_4_pldt" xfId="1390"/>
    <cellStyle name="Normal_laroux_4_pldt_1" xfId="1391"/>
    <cellStyle name="Normal_laroux_4_pldt_2" xfId="1392"/>
    <cellStyle name="Normal_laroux_4_PLDT_dimon" xfId="1393"/>
    <cellStyle name="Normal_laroux_4_VERA" xfId="1394"/>
    <cellStyle name="Normal_laroux_4_VIRUS-EDY" xfId="1395"/>
    <cellStyle name="Normal_laroux_5" xfId="1396"/>
    <cellStyle name="Normal_laroux_5_dimon" xfId="1397"/>
    <cellStyle name="Normal_laroux_5_dimon_1" xfId="1398"/>
    <cellStyle name="Normal_laroux_5_dimon_2" xfId="1399"/>
    <cellStyle name="Normal_laroux_5_dimon_3" xfId="1400"/>
    <cellStyle name="Normal_laroux_5_laroux" xfId="1401"/>
    <cellStyle name="Normal_laroux_5_laroux_1" xfId="1402"/>
    <cellStyle name="Normal_laroux_5_laroux_2" xfId="1403"/>
    <cellStyle name="Normal_laroux_5_pldt" xfId="1404"/>
    <cellStyle name="Normal_laroux_5_pldt_1" xfId="1405"/>
    <cellStyle name="Normal_laroux_5_pldt_2" xfId="1406"/>
    <cellStyle name="Normal_laroux_5_pldt_3" xfId="1407"/>
    <cellStyle name="Normal_laroux_5_PLDT_dimon" xfId="1408"/>
    <cellStyle name="Normal_laroux_5_VERA" xfId="1409"/>
    <cellStyle name="Normal_laroux_5_VIRUS-EDY" xfId="1410"/>
    <cellStyle name="Normal_laroux_6" xfId="1411"/>
    <cellStyle name="Normal_laroux_6_dimon" xfId="1412"/>
    <cellStyle name="Normal_laroux_6_dimon_1" xfId="1413"/>
    <cellStyle name="Normal_laroux_6_dimon_2" xfId="1414"/>
    <cellStyle name="Normal_laroux_6_dimon_3" xfId="1415"/>
    <cellStyle name="Normal_laroux_6_laroux" xfId="1416"/>
    <cellStyle name="Normal_laroux_6_laroux_1" xfId="1417"/>
    <cellStyle name="Normal_laroux_6_laroux_dimon" xfId="1418"/>
    <cellStyle name="Normal_laroux_6_pldt" xfId="1419"/>
    <cellStyle name="Normal_laroux_6_pldt_1" xfId="1420"/>
    <cellStyle name="Normal_laroux_6_pldt_2" xfId="1421"/>
    <cellStyle name="Normal_laroux_6_PLDT_dimon" xfId="1422"/>
    <cellStyle name="Normal_laroux_6_VERA" xfId="1423"/>
    <cellStyle name="Normal_laroux_6_VIRUS-EDY" xfId="1424"/>
    <cellStyle name="Normal_laroux_7" xfId="1425"/>
    <cellStyle name="Normal_laroux_7_dimon" xfId="1426"/>
    <cellStyle name="Normal_laroux_7_dimon_1" xfId="1427"/>
    <cellStyle name="Normal_laroux_7_dimon_2" xfId="1428"/>
    <cellStyle name="Normal_laroux_7_laroux" xfId="1429"/>
    <cellStyle name="Normal_laroux_7_pldt" xfId="1430"/>
    <cellStyle name="Normal_laroux_7_pldt_1" xfId="1431"/>
    <cellStyle name="Normal_laroux_7_VERA" xfId="1432"/>
    <cellStyle name="Normal_laroux_7_VIRUS-EDY" xfId="1433"/>
    <cellStyle name="Normal_laroux_8" xfId="1434"/>
    <cellStyle name="Normal_laroux_8_dimon" xfId="1435"/>
    <cellStyle name="Normal_laroux_8_dimon_1" xfId="1436"/>
    <cellStyle name="Normal_laroux_8_pldt" xfId="1437"/>
    <cellStyle name="Normal_laroux_8_pldt_1" xfId="1438"/>
    <cellStyle name="Normal_laroux_8_VERA" xfId="1439"/>
    <cellStyle name="Normal_laroux_9" xfId="1440"/>
    <cellStyle name="Normal_laroux_9_dimon" xfId="1441"/>
    <cellStyle name="Normal_laroux_9_dimon_1" xfId="1442"/>
    <cellStyle name="Normal_laroux_A" xfId="1443"/>
    <cellStyle name="Normal_laroux_B" xfId="1444"/>
    <cellStyle name="Normal_laroux_C" xfId="1445"/>
    <cellStyle name="Normal_laroux_D" xfId="1446"/>
    <cellStyle name="Normal_laroux_dimon" xfId="1447"/>
    <cellStyle name="Normal_laroux_dimon_1" xfId="1448"/>
    <cellStyle name="Normal_laroux_dimon_2" xfId="1449"/>
    <cellStyle name="Normal_laroux_dimon_3" xfId="1450"/>
    <cellStyle name="Normal_laroux_dimon_4" xfId="1451"/>
    <cellStyle name="Normal_laroux_dimon_5" xfId="1452"/>
    <cellStyle name="Normal_laroux_laroux" xfId="1453"/>
    <cellStyle name="Normal_laroux_laroux_1" xfId="1454"/>
    <cellStyle name="Normal_laroux_laroux_2" xfId="1455"/>
    <cellStyle name="Normal_laroux_Locas" xfId="1456"/>
    <cellStyle name="Normal_laroux_pldt" xfId="1457"/>
    <cellStyle name="Normal_laroux_pldt_1" xfId="1458"/>
    <cellStyle name="Normal_laroux_pldt_2" xfId="1459"/>
    <cellStyle name="Normal_laroux_pldt_3" xfId="1460"/>
    <cellStyle name="Normal_laroux_PLDT_dimon" xfId="1461"/>
    <cellStyle name="Normal_laroux_VERA" xfId="1462"/>
    <cellStyle name="Normal_laroux_VERA_1" xfId="1463"/>
    <cellStyle name="Normal_laroux_VIRUS-EDY" xfId="1464"/>
    <cellStyle name="Normal_Line Inst." xfId="1465"/>
    <cellStyle name="Normal_List" xfId="1466"/>
    <cellStyle name="Normal_Locas" xfId="1467"/>
    <cellStyle name="Normal_Locas_1" xfId="1468"/>
    <cellStyle name="Normal_Lock" xfId="1469"/>
    <cellStyle name="Normal_MAJREP" xfId="1470"/>
    <cellStyle name="Normal_MATERAL2" xfId="1471"/>
    <cellStyle name="Normal_MATERAL2_dimon" xfId="1472"/>
    <cellStyle name="Normal_MED-A-CO.XLS" xfId="1473"/>
    <cellStyle name="Normal_MID CURVE" xfId="1474"/>
    <cellStyle name="Normal_MKGOCPX" xfId="1475"/>
    <cellStyle name="Normal_Mkt Shr" xfId="1476"/>
    <cellStyle name="Normal_MOBCPX" xfId="1477"/>
    <cellStyle name="Normal_Module1" xfId="1478"/>
    <cellStyle name="Normal_Module1 (2)" xfId="1479"/>
    <cellStyle name="Normal_Module1 (2)_1" xfId="1480"/>
    <cellStyle name="Normal_MONTHLY" xfId="1481"/>
    <cellStyle name="Normal_MOR  - Supp" xfId="1482"/>
    <cellStyle name="Normal_mud plant bolted" xfId="1483"/>
    <cellStyle name="Normal_mud plant bolted_dimon" xfId="1484"/>
    <cellStyle name="Normal_Multikarya" xfId="1485"/>
    <cellStyle name="Normal_NA WITHOUT GOV'T &amp; PNX" xfId="1486"/>
    <cellStyle name="Normal_NAOBU10" xfId="1487"/>
    <cellStyle name="Normal_NAT ACCT" xfId="1488"/>
    <cellStyle name="Normal_NCR-C&amp;W Val" xfId="1489"/>
    <cellStyle name="Normal_NCR-Cap intensity" xfId="1490"/>
    <cellStyle name="Normal_NCR-Line per Staff" xfId="1491"/>
    <cellStyle name="Normal_NCR-Rev dist" xfId="1492"/>
    <cellStyle name="Normal_NEHQ-ACT.XLS" xfId="1493"/>
    <cellStyle name="Normal_NS-A-CO.XLS" xfId="1494"/>
    <cellStyle name="Normal_NS_AT" xfId="1495"/>
    <cellStyle name="Normal_NS_CONS GROUP" xfId="1496"/>
    <cellStyle name="Normal_NSACTUAL.XLS" xfId="1497"/>
    <cellStyle name="Normal_NSACTUAL.XLS_1" xfId="1498"/>
    <cellStyle name="Normal_NX00" xfId="1499"/>
    <cellStyle name="Normal_OFFDATA1" xfId="1500"/>
    <cellStyle name="Normal_OFFDATA1 (2)" xfId="1501"/>
    <cellStyle name="Normal_OFFDATA1_1" xfId="1502"/>
    <cellStyle name="Normal_Op Cost Break" xfId="1503"/>
    <cellStyle name="Normal_Operations" xfId="1504"/>
    <cellStyle name="Normal_opsmacro" xfId="1505"/>
    <cellStyle name="Normal_OPSTAT" xfId="1506"/>
    <cellStyle name="Normal_OS-A-CO.XLS" xfId="1507"/>
    <cellStyle name="Normal_OSMOCPX" xfId="1508"/>
    <cellStyle name="Normal_Other Months" xfId="1509"/>
    <cellStyle name="Normal_Outlook" xfId="1510"/>
    <cellStyle name="Normal_Outlook_1" xfId="1511"/>
    <cellStyle name="Normal_OWN, AR, SNIPS" xfId="1512"/>
    <cellStyle name="Normal_PAGE 1" xfId="1513"/>
    <cellStyle name="Normal_pbdefault" xfId="1514"/>
    <cellStyle name="Normal_pbdefault_1" xfId="1515"/>
    <cellStyle name="Normal_percentages" xfId="1516"/>
    <cellStyle name="Normal_PERSONAL" xfId="1517"/>
    <cellStyle name="Normal_PERSONAL_dimon" xfId="1518"/>
    <cellStyle name="Normal_PERSONAL_Locas" xfId="1519"/>
    <cellStyle name="Normal_PGMKOCPX" xfId="1520"/>
    <cellStyle name="Normal_PGNW1" xfId="1521"/>
    <cellStyle name="Normal_PGNW2" xfId="1522"/>
    <cellStyle name="Normal_PGNWOCPX" xfId="1523"/>
    <cellStyle name="Normal_Picks" xfId="1524"/>
    <cellStyle name="Normal_Pink" xfId="1525"/>
    <cellStyle name="Normal_PKDATA1" xfId="1526"/>
    <cellStyle name="Normal_PKDATA1 (2)" xfId="1527"/>
    <cellStyle name="Normal_PKDATA1_1" xfId="1528"/>
    <cellStyle name="Normal_PLAN" xfId="1529"/>
    <cellStyle name="Normal_PLANT" xfId="1530"/>
    <cellStyle name="Normal_PLANTS" xfId="1531"/>
    <cellStyle name="Normal_PLDT" xfId="1532"/>
    <cellStyle name="Normal_PLDT_1" xfId="1533"/>
    <cellStyle name="Normal_pldt_1_Calculations" xfId="1534"/>
    <cellStyle name="Normal_PLDT_1_dimon" xfId="1535"/>
    <cellStyle name="Normal_pldt_2" xfId="1536"/>
    <cellStyle name="Normal_pldt_2_Calculations" xfId="1537"/>
    <cellStyle name="Normal_PLDT_2_dimon" xfId="1538"/>
    <cellStyle name="Normal_pldt_2_dimon_1" xfId="1539"/>
    <cellStyle name="Normal_pldt_2_pldt" xfId="1540"/>
    <cellStyle name="Normal_pldt_3" xfId="1541"/>
    <cellStyle name="Normal_pldt_3_dimon" xfId="1542"/>
    <cellStyle name="Normal_pldt_4" xfId="1543"/>
    <cellStyle name="Normal_pldt_4_dimon" xfId="1544"/>
    <cellStyle name="Normal_PLDT_4_dimon_1" xfId="1545"/>
    <cellStyle name="Normal_pldt_5" xfId="1546"/>
    <cellStyle name="Normal_pldt_6" xfId="1547"/>
    <cellStyle name="Normal_pldt_Calculations" xfId="1548"/>
    <cellStyle name="Normal_PLDT_dimon" xfId="1549"/>
    <cellStyle name="Normal_PLDT_dimon_1" xfId="1550"/>
    <cellStyle name="Normal_pldt_pldt" xfId="1551"/>
    <cellStyle name="Normal_POW-Provision" xfId="1552"/>
    <cellStyle name="Normal_priccurv" xfId="1553"/>
    <cellStyle name="Normal_priccurv_1" xfId="1554"/>
    <cellStyle name="Normal_priccurv_2" xfId="1555"/>
    <cellStyle name="Normal_PriceCurve" xfId="0"/>
    <cellStyle name="Normal_PriceCurve_1" xfId="0"/>
    <cellStyle name="Normal_PrintBox (2)" xfId="0"/>
    <cellStyle name="Normal_PROCDS&amp;G" xfId="0"/>
    <cellStyle name="Normal_PROD SALES" xfId="0"/>
    <cellStyle name="Normal_PROD SALES by Region Pg 2" xfId="0"/>
    <cellStyle name="Normal_PRODUCT" xfId="0"/>
    <cellStyle name="Normal_Production Payment model" xfId="0"/>
    <cellStyle name="Normal_production tony" xfId="0"/>
    <cellStyle name="Normal_PROFILE4" xfId="0"/>
    <cellStyle name="Normal_PSTNOCFP" xfId="0"/>
    <cellStyle name="Normal_Q08-95.XLS" xfId="0"/>
    <cellStyle name="Normal_QMM-1" xfId="0"/>
    <cellStyle name="Normal_Quarter End Months" xfId="0"/>
    <cellStyle name="Normal_r1" xfId="0"/>
    <cellStyle name="Normal_R2FAC" xfId="0"/>
    <cellStyle name="Normal_Real Opr Cf" xfId="0"/>
    <cellStyle name="Normal_Real Rev per Staff (1)" xfId="0"/>
    <cellStyle name="Normal_Real Rev per Staff (2)" xfId="0"/>
    <cellStyle name="Normal_Region 2-C&amp;W" xfId="0"/>
    <cellStyle name="Normal_REPORT-budget" xfId="0"/>
    <cellStyle name="Normal_REPORT-plan" xfId="0"/>
    <cellStyle name="Normal_Return on Rev" xfId="0"/>
    <cellStyle name="Normal_Rev p line" xfId="0"/>
    <cellStyle name="Normal_ROACE" xfId="0"/>
    <cellStyle name="Normal_ROCF (Tot)" xfId="0"/>
    <cellStyle name="Normal_Sales Order" xfId="0"/>
    <cellStyle name="Normal_SALES, BGP, MOI" xfId="0"/>
    <cellStyle name="Normal_SATOCPX" xfId="0"/>
    <cellStyle name="Normal_SC COP" xfId="0"/>
    <cellStyle name="Normal_ScreeningModel" xfId="0"/>
    <cellStyle name="Normal_SELECT" xfId="0"/>
    <cellStyle name="Normal_Sheet1" xfId="0"/>
    <cellStyle name="Normal_Sheet1 (2)" xfId="0"/>
    <cellStyle name="Normal_Sheet1 (2)_dimon" xfId="0"/>
    <cellStyle name="Normal_Sheet1 (2)_VERA" xfId="0"/>
    <cellStyle name="Normal_Sheet1 (2)_VERA_1" xfId="0"/>
    <cellStyle name="Normal_Sheet1_1" xfId="0"/>
    <cellStyle name="Normal_Sheet1_dimon" xfId="0"/>
    <cellStyle name="Normal_Sheet1_dimon_1" xfId="0"/>
    <cellStyle name="Normal_Sheet1_FUNDS" xfId="0"/>
    <cellStyle name="Normal_Sheet1_FUNDS (2)" xfId="0"/>
    <cellStyle name="Normal_Sheet1_laroux" xfId="0"/>
    <cellStyle name="Normal_Sheet1_List" xfId="0"/>
    <cellStyle name="Normal_Sheet1_PLDT" xfId="0"/>
    <cellStyle name="Normal_Sheet1_VERA" xfId="0"/>
    <cellStyle name="Normal_Sheet1_VERA_1" xfId="0"/>
    <cellStyle name="Normal_Sheet2" xfId="0"/>
    <cellStyle name="Normal_Sheet3" xfId="0"/>
    <cellStyle name="Normal_SHENREPT" xfId="0"/>
    <cellStyle name="Normal_SHENREPT_laroux" xfId="0"/>
    <cellStyle name="Normal_SHENREPT_pldt" xfId="0"/>
    <cellStyle name="Normal_solInv_suppldata_qry" xfId="0"/>
    <cellStyle name="Normal_SOP" xfId="0"/>
    <cellStyle name="Normal_Specifics" xfId="0"/>
    <cellStyle name="Normal_sprint contr" xfId="0"/>
    <cellStyle name="Normal_Staff cost%rev" xfId="0"/>
    <cellStyle name="Normal_SUMMARY" xfId="0"/>
    <cellStyle name="Normal_Summary_dimon" xfId="0"/>
    <cellStyle name="Normal_SUMPAGE" xfId="0"/>
    <cellStyle name="Normal_SWI-C-CO.XLS" xfId="0"/>
    <cellStyle name="Normal_Template" xfId="0"/>
    <cellStyle name="Normal_Template_dimon" xfId="0"/>
    <cellStyle name="Normal_TESTDATA" xfId="0"/>
    <cellStyle name="Normal_TMSNW1" xfId="0"/>
    <cellStyle name="Normal_TMSNW2" xfId="0"/>
    <cellStyle name="Normal_TMSOCPX" xfId="0"/>
    <cellStyle name="Normal_TOTAL MTH" xfId="0"/>
    <cellStyle name="Normal_TOTAL NX CASH FLOW" xfId="0"/>
    <cellStyle name="Normal_TOTAL YTD" xfId="0"/>
    <cellStyle name="Normal_Total-Rev dist." xfId="0"/>
    <cellStyle name="Normal_TRANSDSC.XLS" xfId="0"/>
    <cellStyle name="Normal_TRANSFXA.XLS" xfId="0"/>
    <cellStyle name="Normal_TRANSFXA.XLS_1" xfId="0"/>
    <cellStyle name="Normal_TRANSFXA.XLS_2" xfId="0"/>
    <cellStyle name="Normal_TRANSIME.XLS" xfId="0"/>
    <cellStyle name="Normal_TRANSIME.XLS_1" xfId="0"/>
    <cellStyle name="Normal_TRANSIME.XLS_TRANSDSC.XLS" xfId="0"/>
    <cellStyle name="Normal_TRANSIME.XLS_TRANSFXA.XLS" xfId="0"/>
    <cellStyle name="Normal_TRN-A-CO.XLS" xfId="0"/>
    <cellStyle name="Normal_VDlg" xfId="0"/>
    <cellStyle name="Normal_White" xfId="0"/>
    <cellStyle name="Normal_WO Var. &amp; Tot. Exp." xfId="0"/>
    <cellStyle name="Normal_WSP" xfId="0"/>
    <cellStyle name="Normal_yrcao" xfId="0"/>
    <cellStyle name="Normal_YREND55" xfId="0"/>
    <cellStyle name="Normal_YREND57" xfId="0"/>
    <cellStyle name="Normal_YTDCUR" xfId="0"/>
    <cellStyle name="Percent [2]" xfId="0"/>
    <cellStyle name="Percent_dimon" xfId="0"/>
    <cellStyle name="Percent_SPC99-03" xfId="0"/>
    <cellStyle name="Standard_Anpassen der Amortisation" xfId="0"/>
    <cellStyle name="Standard_ATW" xfId="0"/>
    <cellStyle name="Standard_Compiling Utility Macros" xfId="0"/>
    <cellStyle name="Standard_FixerSetupDlg" xfId="0"/>
    <cellStyle name="Standard_Sperren" xfId="0"/>
    <cellStyle name="Standard_Sperren_1" xfId="0"/>
    <cellStyle name="Standard_TemplateInformation" xfId="0"/>
    <cellStyle name="Standard_TemplateInformation_1" xfId="0"/>
    <cellStyle name="Total" xfId="0"/>
    <cellStyle name="uk" xfId="0"/>
    <cellStyle name="Un" xfId="0"/>
    <cellStyle name="Unprot" xfId="0"/>
    <cellStyle name="Unprot$" xfId="0"/>
    <cellStyle name="Unprot_CurrencySKorea" xfId="0"/>
    <cellStyle name="Unprot_GenMod" xfId="0"/>
    <cellStyle name="Unprot_ScreeningModel" xfId="0"/>
    <cellStyle name="Unprotect" xfId="0"/>
    <cellStyle name="Unprotect_dimon" xfId="0"/>
    <cellStyle name="Unprotect_summary" xfId="0"/>
    <cellStyle name="Währung [0]_Compiling Utility Macros" xfId="0"/>
    <cellStyle name="Währung [0]_FixerSetupDlg" xfId="0"/>
    <cellStyle name="Währung [0]_TemplateInformation" xfId="0"/>
    <cellStyle name="Währung_Compiling Utility Macros" xfId="0"/>
    <cellStyle name="Währung_FixerSetupDlg" xfId="0"/>
    <cellStyle name="Währung_TemplateInformation" xfId="0"/>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externalLink" Target="externalLinks/externalLink1.xml"/><Relationship Id="rId19" Type="http://schemas.openxmlformats.org/officeDocument/2006/relationships/externalLink" Target="externalLinks/externalLink2.xml"/><Relationship Id="rId20" Type="http://schemas.openxmlformats.org/officeDocument/2006/relationships/externalLink" Target="externalLinks/externalLink3.xml"/><Relationship Id="rId21" Type="http://schemas.openxmlformats.org/officeDocument/2006/relationships/externalLink" Target="externalLinks/externalLink4.xml"/><Relationship Id="rId22" Type="http://schemas.openxmlformats.org/officeDocument/2006/relationships/sharedStrings" Target="sharedStrings.xml"/>
</Relationships>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181440</xdr:colOff>
          <xdr:row>0</xdr:row>
          <xdr:rowOff>85680</xdr:rowOff>
        </xdr:from>
        <xdr:to>
          <xdr:col>1</xdr:col>
          <xdr:colOff>-853560</xdr:colOff>
          <xdr:row>3</xdr:row>
          <xdr:rowOff>9720</xdr:rowOff>
        </xdr:to>
        <xdr:sp>
          <xdr:nvSpPr>
            <xdr:cNvPr id="1001" name="Button 505" descr="PRINT" hidden="0"/>
            <xdr:cNvSpPr/>
          </xdr:nvSpPr>
          <xdr:spPr>
            <a:xfrm>
              <a:off x="0" y="0"/>
              <a:ext cx="0" cy="0"/>
            </a:xfrm>
            <a:prstGeom prst="rect">
              <a:avLst/>
            </a:prstGeom>
          </xdr:spPr>
          <xdr:txBody>
            <a:bodyPr anchor="ctr">
              <a:noAutofit/>
            </a:bodyPr>
            <a:p>
              <a:r>
                <a:t>PRINT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1760760</xdr:colOff>
          <xdr:row>1</xdr:row>
          <xdr:rowOff>209880</xdr:rowOff>
        </xdr:from>
        <xdr:to>
          <xdr:col>1</xdr:col>
          <xdr:colOff>-57960</xdr:colOff>
          <xdr:row>3</xdr:row>
          <xdr:rowOff>9720</xdr:rowOff>
        </xdr:to>
        <xdr:sp>
          <xdr:nvSpPr>
            <xdr:cNvPr id="1002" name="Button 527" descr="Tax Calc." hidden="0"/>
            <xdr:cNvSpPr/>
          </xdr:nvSpPr>
          <xdr:spPr>
            <a:xfrm>
              <a:off x="0" y="0"/>
              <a:ext cx="0" cy="0"/>
            </a:xfrm>
            <a:prstGeom prst="rect">
              <a:avLst/>
            </a:prstGeom>
          </xdr:spPr>
          <xdr:txBody>
            <a:bodyPr anchor="ctr">
              <a:noAutofit/>
            </a:bodyPr>
            <a:p>
              <a:r>
                <a:t>Tax Calc.</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O:/NAES/GenSvcs/Genco/Financing/Old%20Files/Brownsville042199bkup.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O:/NAES/GenSvcs/Genco/Financing/Old%20Files/Wilton_New052099bkup.xls" TargetMode="External"/>
</Relationships>
</file>

<file path=xl/externalLinks/_rels/externalLink3.xml.rels><?xml version="1.0" encoding="UTF-8"?>
<Relationships xmlns="http://schemas.openxmlformats.org/package/2006/relationships"><Relationship Id="rId1" Type="http://schemas.openxmlformats.org/officeDocument/2006/relationships/externalLinkPath" Target="../../../../../../../../C:/TEMP/IRRModelOctStart4.xls" TargetMode="External"/>
</Relationships>
</file>

<file path=xl/externalLinks/_rels/externalLink4.xml.rels><?xml version="1.0" encoding="UTF-8"?>
<Relationships xmlns="http://schemas.openxmlformats.org/package/2006/relationships"><Relationship Id="rId1" Type="http://schemas.openxmlformats.org/officeDocument/2006/relationships/externalLinkPath" Target="../../../../../../../../O:/NAES/GenSvcs/Genco/Financing/Control/Old%20Files/Wheatland_New032199bkup.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monci"/>
      <sheetName val="Tracking sheet"/>
      <sheetName val="Value"/>
      <sheetName val="Project Assumptions"/>
      <sheetName val="PPA Assumptions &amp;Summary"/>
      <sheetName val="Operations"/>
      <sheetName val="Debt Amortization"/>
      <sheetName val="Returns Summary"/>
      <sheetName val="Book Income Statement"/>
      <sheetName val="Cash Flow Statement"/>
      <sheetName val="BS"/>
      <sheetName val="Tax Calculations"/>
      <sheetName val="Depreciation"/>
      <sheetName val="Interest During Construction"/>
      <sheetName val="Maintenance Reserv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monci"/>
      <sheetName val="Tracking sheet"/>
      <sheetName val="Value"/>
      <sheetName val="Project Assumptions"/>
      <sheetName val="PPA Assumptions &amp;Summary"/>
      <sheetName val="Operations"/>
      <sheetName val="Debt Amortization"/>
      <sheetName val="Returns Summary"/>
      <sheetName val="Book Income Statement"/>
      <sheetName val="Cash Flow Statement"/>
      <sheetName val="BS"/>
      <sheetName val="Tax Calculations"/>
      <sheetName val="Depreciation"/>
      <sheetName val="Interest During Construction"/>
      <sheetName val="Maintenance Reserv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Preset Scenarios"/>
      <sheetName val="Assumptions"/>
      <sheetName val="Power Price Assumption"/>
      <sheetName val="IS"/>
      <sheetName val="CF"/>
      <sheetName val="IRR"/>
      <sheetName val="Exposure"/>
      <sheetName val="Debt"/>
      <sheetName val="Depreciation"/>
      <sheetName val="Tax"/>
      <sheetName val="Brownsville"/>
      <sheetName val="Caledonia"/>
      <sheetName val="New Albany"/>
      <sheetName val="Calvert"/>
      <sheetName val="Wheatland"/>
      <sheetName val="Wilton"/>
      <sheetName val="EGC Start Charge Matrix"/>
      <sheetName val="Alloc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19">
          <cell r="F19">
            <v>158.329546761348</v>
          </cell>
          <cell r="G19">
            <v>273.364577924391</v>
          </cell>
          <cell r="H19">
            <v>272.534899519244</v>
          </cell>
          <cell r="I19">
            <v>334.189595633668</v>
          </cell>
          <cell r="J19">
            <v>382.782740063078</v>
          </cell>
          <cell r="K19">
            <v>386.504161315549</v>
          </cell>
          <cell r="L19">
            <v>390.100119920014</v>
          </cell>
          <cell r="M19">
            <v>401.944572087538</v>
          </cell>
          <cell r="N19">
            <v>405.507979573542</v>
          </cell>
          <cell r="O19">
            <v>417.814667530672</v>
          </cell>
          <cell r="P19">
            <v>421.522656058511</v>
          </cell>
          <cell r="Q19">
            <v>434.385264306765</v>
          </cell>
          <cell r="R19">
            <v>437.909118329527</v>
          </cell>
          <cell r="S19">
            <v>441.244579953449</v>
          </cell>
          <cell r="T19">
            <v>444.329031039261</v>
          </cell>
          <cell r="U19">
            <v>447.200528851137</v>
          </cell>
          <cell r="V19">
            <v>449.889847451474</v>
          </cell>
          <cell r="W19">
            <v>452.519039070469</v>
          </cell>
          <cell r="X19">
            <v>454.674781890928</v>
          </cell>
          <cell r="Y19">
            <v>456.664461314202</v>
          </cell>
          <cell r="Z19">
            <v>457.603327492619</v>
          </cell>
        </row>
        <row r="32">
          <cell r="F32">
            <v>94.8971403274245</v>
          </cell>
          <cell r="G32">
            <v>162.680811989871</v>
          </cell>
          <cell r="H32">
            <v>162.680811989871</v>
          </cell>
          <cell r="I32">
            <v>162.680811989871</v>
          </cell>
          <cell r="J32">
            <v>154.109235461302</v>
          </cell>
          <cell r="K32">
            <v>154.109235461302</v>
          </cell>
          <cell r="L32">
            <v>154.109235461302</v>
          </cell>
          <cell r="M32">
            <v>154.109235461302</v>
          </cell>
          <cell r="N32">
            <v>154.109235461302</v>
          </cell>
          <cell r="O32">
            <v>154.109235461302</v>
          </cell>
          <cell r="P32">
            <v>138.554546360912</v>
          </cell>
          <cell r="Q32">
            <v>132.049505961843</v>
          </cell>
          <cell r="R32">
            <v>125.694327947717</v>
          </cell>
          <cell r="S32">
            <v>119.348368627941</v>
          </cell>
          <cell r="T32">
            <v>116.869350921693</v>
          </cell>
          <cell r="U32">
            <v>114.005417735648</v>
          </cell>
          <cell r="V32">
            <v>107.029524071937</v>
          </cell>
          <cell r="W32">
            <v>84.8521433682806</v>
          </cell>
          <cell r="X32">
            <v>79.1509696323302</v>
          </cell>
          <cell r="Y32">
            <v>63.8818467872532</v>
          </cell>
          <cell r="Z32">
            <v>63.8818467872532</v>
          </cell>
        </row>
        <row r="39">
          <cell r="F39">
            <v>12824.6932876692</v>
          </cell>
          <cell r="G39">
            <v>22142.5308118757</v>
          </cell>
          <cell r="H39">
            <v>22075.3268610588</v>
          </cell>
          <cell r="I39">
            <v>27069.3572463271</v>
          </cell>
          <cell r="J39">
            <v>31005.4019451093</v>
          </cell>
          <cell r="K39">
            <v>31306.8370665595</v>
          </cell>
          <cell r="L39">
            <v>31598.1097135212</v>
          </cell>
          <cell r="M39">
            <v>32557.5103390906</v>
          </cell>
          <cell r="N39">
            <v>32846.1463454569</v>
          </cell>
          <cell r="O39">
            <v>33842.9880699844</v>
          </cell>
          <cell r="P39">
            <v>34143.3351407394</v>
          </cell>
          <cell r="Q39">
            <v>35185.206408848</v>
          </cell>
          <cell r="R39">
            <v>35470.6385846917</v>
          </cell>
          <cell r="S39">
            <v>35740.8109762293</v>
          </cell>
          <cell r="T39">
            <v>35990.6515141802</v>
          </cell>
          <cell r="U39">
            <v>36223.2428369421</v>
          </cell>
          <cell r="V39">
            <v>36441.0776435694</v>
          </cell>
          <cell r="W39">
            <v>36654.042164708</v>
          </cell>
          <cell r="X39">
            <v>36828.6573331652</v>
          </cell>
          <cell r="Y39">
            <v>36989.8213664504</v>
          </cell>
          <cell r="Z39">
            <v>37065.8695269021</v>
          </cell>
        </row>
      </sheetData>
      <sheetData sheetId="14"/>
      <sheetData sheetId="15"/>
      <sheetData sheetId="16"/>
      <sheetData sheetId="17"/>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monci"/>
      <sheetName val="Tracking sheet"/>
      <sheetName val="Project Assumtions"/>
      <sheetName val="PPA Assumptions &amp;Summary"/>
      <sheetName val="Operations"/>
      <sheetName val="Debt Amortization"/>
      <sheetName val="Returns Summary"/>
      <sheetName val="Book Income Statement"/>
      <sheetName val="Cash Flow Statement"/>
      <sheetName val="BS"/>
      <sheetName val="Tax Calculations"/>
      <sheetName val="Depreciation"/>
      <sheetName val="Interest During Construction"/>
      <sheetName val="Maintenance Reserves"/>
    </sheetNames>
    <sheetDataSet>
      <sheetData sheetId="0"/>
      <sheetData sheetId="1"/>
      <sheetData sheetId="2"/>
      <sheetData sheetId="3">
        <row r="3">
          <cell r="C3">
            <v>1</v>
          </cell>
          <cell r="D3">
            <v>2</v>
          </cell>
          <cell r="E3">
            <v>3</v>
          </cell>
          <cell r="F3">
            <v>4</v>
          </cell>
          <cell r="G3">
            <v>5</v>
          </cell>
          <cell r="H3">
            <v>6</v>
          </cell>
          <cell r="I3">
            <v>7</v>
          </cell>
          <cell r="J3">
            <v>8</v>
          </cell>
          <cell r="K3">
            <v>9</v>
          </cell>
          <cell r="L3">
            <v>10</v>
          </cell>
          <cell r="M3">
            <v>11</v>
          </cell>
          <cell r="N3">
            <v>12</v>
          </cell>
          <cell r="O3">
            <v>13</v>
          </cell>
          <cell r="P3">
            <v>14</v>
          </cell>
          <cell r="Q3">
            <v>15</v>
          </cell>
          <cell r="R3">
            <v>16</v>
          </cell>
          <cell r="S3">
            <v>17</v>
          </cell>
          <cell r="T3">
            <v>18</v>
          </cell>
          <cell r="U3">
            <v>19</v>
          </cell>
          <cell r="V3">
            <v>20</v>
          </cell>
          <cell r="W3">
            <v>21</v>
          </cell>
        </row>
      </sheetData>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0.xml.rels><?xml version="1.0" encoding="UTF-8"?>
<Relationships xmlns="http://schemas.openxmlformats.org/package/2006/relationships"><Relationship Id="rId1" Type="http://schemas.openxmlformats.org/officeDocument/2006/relationships/comments" Target="../comments10.xml"/><Relationship Id="rId2" Type="http://schemas.openxmlformats.org/officeDocument/2006/relationships/vmlDrawing" Target="../drawings/vmlDrawing4.vml"/>
</Relationships>
</file>

<file path=xl/worksheets/_rels/sheet12.xml.rels><?xml version="1.0" encoding="UTF-8"?>
<Relationships xmlns="http://schemas.openxmlformats.org/package/2006/relationships"><Relationship Id="rId1" Type="http://schemas.openxmlformats.org/officeDocument/2006/relationships/comments" Target="../comments12.xml"/><Relationship Id="rId2" Type="http://schemas.openxmlformats.org/officeDocument/2006/relationships/vmlDrawing" Target="../drawings/vmlDrawing5.vml"/>
</Relationships>
</file>

<file path=xl/worksheets/_rels/sheet13.xml.rels><?xml version="1.0" encoding="UTF-8"?>
<Relationships xmlns="http://schemas.openxmlformats.org/package/2006/relationships"><Relationship Id="rId1" Type="http://schemas.openxmlformats.org/officeDocument/2006/relationships/comments" Target="../comments13.xml"/><Relationship Id="rId2" Type="http://schemas.openxmlformats.org/officeDocument/2006/relationships/vmlDrawing" Target="../drawings/vmlDrawing6.vml"/>
</Relationships>
</file>

<file path=xl/worksheets/_rels/sheet15.xml.rels><?xml version="1.0" encoding="UTF-8"?>
<Relationships xmlns="http://schemas.openxmlformats.org/package/2006/relationships"><Relationship Id="rId1" Type="http://schemas.openxmlformats.org/officeDocument/2006/relationships/comments" Target="../comments15.xml"/><Relationship Id="rId2" Type="http://schemas.openxmlformats.org/officeDocument/2006/relationships/vmlDrawing" Target="../drawings/vmlDrawing7.v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5.xml.rels><?xml version="1.0" encoding="UTF-8"?>
<Relationships xmlns="http://schemas.openxmlformats.org/package/2006/relationships"><Relationship Id="rId1" Type="http://schemas.openxmlformats.org/officeDocument/2006/relationships/comments" Target="../comments5.xml"/><Relationship Id="rId2" Type="http://schemas.openxmlformats.org/officeDocument/2006/relationships/vmlDrawing" Target="../drawings/vmlDrawing2.v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2"/>
  <sheetViews>
    <sheetView showFormulas="false" showGridLines="true" showRowColHeaders="true" showZeros="true" rightToLeft="false" tabSelected="false" showOutlineSymbols="true" defaultGridColor="true" view="normal" topLeftCell="I1" colorId="64" zoomScale="75" zoomScaleNormal="75" zoomScalePageLayoutView="100" workbookViewId="0">
      <selection pane="topLeft" activeCell="D22" activeCellId="0" sqref="D22:X22"/>
    </sheetView>
  </sheetViews>
  <sheetFormatPr defaultColWidth="9.28125" defaultRowHeight="12.6" customHeight="true" zeroHeight="false" outlineLevelRow="0" outlineLevelCol="0"/>
  <cols>
    <col collapsed="false" customWidth="true" hidden="false" outlineLevel="0" max="1" min="1" style="1" width="24.7"/>
    <col collapsed="false" customWidth="true" hidden="false" outlineLevel="0" max="2" min="2" style="1" width="14.7"/>
    <col collapsed="false" customWidth="true" hidden="false" outlineLevel="0" max="3" min="3" style="1" width="9.7"/>
    <col collapsed="false" customWidth="false" hidden="false" outlineLevel="0" max="28" min="4" style="1" width="9.28"/>
    <col collapsed="false" customWidth="false" hidden="false" outlineLevel="0" max="29" min="29" style="385" width="9.28"/>
    <col collapsed="false" customWidth="false" hidden="false" outlineLevel="0" max="30" min="30" style="708" width="9.28"/>
    <col collapsed="false" customWidth="false" hidden="false" outlineLevel="0" max="257" min="31" style="4" width="9.28"/>
  </cols>
  <sheetData>
    <row r="1" customFormat="false" ht="20.25" hidden="false" customHeight="true" outlineLevel="0" collapsed="false">
      <c r="A1" s="374" t="str">
        <f aca="false">'Project Assumptions'!$A$2</f>
        <v>GLEASON, TN</v>
      </c>
      <c r="B1" s="709"/>
    </row>
    <row r="2" customFormat="false" ht="15.6" hidden="false" customHeight="true" outlineLevel="0" collapsed="false">
      <c r="A2" s="377" t="s">
        <v>538</v>
      </c>
      <c r="B2" s="710"/>
    </row>
    <row r="3" customFormat="false" ht="12.6" hidden="false" customHeight="true" outlineLevel="0" collapsed="false">
      <c r="A3" s="479"/>
      <c r="B3" s="7"/>
      <c r="C3" s="480"/>
      <c r="D3" s="480" t="n">
        <v>1</v>
      </c>
      <c r="E3" s="480" t="n">
        <f aca="false">D3+1</f>
        <v>2</v>
      </c>
      <c r="F3" s="480" t="n">
        <f aca="false">E3+1</f>
        <v>3</v>
      </c>
      <c r="G3" s="480" t="n">
        <f aca="false">F3+1</f>
        <v>4</v>
      </c>
      <c r="H3" s="480" t="n">
        <f aca="false">G3+1</f>
        <v>5</v>
      </c>
      <c r="I3" s="481" t="n">
        <f aca="false">H3+1</f>
        <v>6</v>
      </c>
      <c r="J3" s="480" t="n">
        <f aca="false">I3+1</f>
        <v>7</v>
      </c>
      <c r="K3" s="480" t="n">
        <f aca="false">J3+1</f>
        <v>8</v>
      </c>
      <c r="L3" s="480" t="n">
        <f aca="false">K3+1</f>
        <v>9</v>
      </c>
      <c r="M3" s="480" t="n">
        <f aca="false">L3+1</f>
        <v>10</v>
      </c>
      <c r="N3" s="480" t="n">
        <f aca="false">M3+1</f>
        <v>11</v>
      </c>
      <c r="O3" s="481" t="n">
        <f aca="false">N3+1</f>
        <v>12</v>
      </c>
      <c r="P3" s="480" t="n">
        <f aca="false">O3+1</f>
        <v>13</v>
      </c>
      <c r="Q3" s="480" t="n">
        <f aca="false">P3+1</f>
        <v>14</v>
      </c>
      <c r="R3" s="480" t="n">
        <f aca="false">Q3+1</f>
        <v>15</v>
      </c>
      <c r="S3" s="480" t="n">
        <f aca="false">R3+1</f>
        <v>16</v>
      </c>
      <c r="T3" s="480" t="n">
        <f aca="false">S3+1</f>
        <v>17</v>
      </c>
      <c r="U3" s="481" t="n">
        <f aca="false">T3+1</f>
        <v>18</v>
      </c>
      <c r="V3" s="480" t="n">
        <f aca="false">U3+1</f>
        <v>19</v>
      </c>
      <c r="W3" s="480" t="n">
        <f aca="false">V3+1</f>
        <v>20</v>
      </c>
      <c r="X3" s="480" t="n">
        <f aca="false">W3+1</f>
        <v>21</v>
      </c>
      <c r="Y3" s="480" t="n">
        <f aca="false">X3+1</f>
        <v>22</v>
      </c>
      <c r="Z3" s="480" t="n">
        <f aca="false">Y3+1</f>
        <v>23</v>
      </c>
      <c r="AA3" s="481" t="n">
        <f aca="false">Z3+1</f>
        <v>24</v>
      </c>
      <c r="AB3" s="480" t="n">
        <f aca="false">AA3+1</f>
        <v>25</v>
      </c>
      <c r="AC3" s="482"/>
      <c r="AD3" s="0"/>
      <c r="AE3" s="642"/>
      <c r="AF3" s="642"/>
      <c r="AG3" s="642"/>
      <c r="AH3" s="642"/>
      <c r="AI3" s="642"/>
      <c r="AJ3" s="642"/>
      <c r="AK3" s="642"/>
      <c r="AL3" s="642"/>
      <c r="AM3" s="642"/>
      <c r="AN3" s="642"/>
      <c r="AO3" s="642"/>
      <c r="AP3" s="642"/>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2"/>
      <c r="CC3" s="642"/>
      <c r="CD3" s="642"/>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2"/>
      <c r="ED3" s="642"/>
      <c r="EE3" s="642"/>
      <c r="EF3" s="642"/>
      <c r="EG3" s="642"/>
      <c r="EH3" s="642"/>
      <c r="EI3" s="642"/>
      <c r="EJ3" s="642"/>
      <c r="EK3" s="642"/>
      <c r="EL3" s="642"/>
      <c r="EM3" s="642"/>
      <c r="EN3" s="642"/>
      <c r="EO3" s="642"/>
      <c r="EP3" s="642"/>
      <c r="EQ3" s="642"/>
      <c r="ER3" s="642"/>
      <c r="ES3" s="642"/>
      <c r="ET3" s="642"/>
      <c r="EU3" s="642"/>
      <c r="EV3" s="642"/>
      <c r="EW3" s="642"/>
      <c r="EX3" s="642"/>
      <c r="EY3" s="642"/>
      <c r="EZ3" s="642"/>
      <c r="FA3" s="642"/>
      <c r="FB3" s="642"/>
      <c r="FC3" s="642"/>
      <c r="FD3" s="642"/>
      <c r="FE3" s="642"/>
      <c r="FF3" s="642"/>
      <c r="FG3" s="642"/>
      <c r="FH3" s="642"/>
      <c r="FI3" s="642"/>
      <c r="FJ3" s="642"/>
      <c r="FK3" s="642"/>
      <c r="FL3" s="642"/>
      <c r="FM3" s="642"/>
      <c r="FN3" s="642"/>
      <c r="FO3" s="642"/>
      <c r="FP3" s="642"/>
      <c r="FQ3" s="642"/>
      <c r="FR3" s="642"/>
      <c r="FS3" s="642"/>
      <c r="FT3" s="642"/>
      <c r="FU3" s="642"/>
      <c r="FV3" s="642"/>
      <c r="FW3" s="642"/>
      <c r="FX3" s="642"/>
      <c r="FY3" s="642"/>
      <c r="FZ3" s="642"/>
      <c r="GA3" s="642"/>
      <c r="GB3" s="642"/>
      <c r="GC3" s="642"/>
      <c r="GD3" s="642"/>
      <c r="GE3" s="642"/>
      <c r="GF3" s="642"/>
      <c r="GG3" s="642"/>
      <c r="GH3" s="642"/>
      <c r="GI3" s="642"/>
      <c r="GJ3" s="642"/>
      <c r="GK3" s="642"/>
      <c r="GL3" s="642"/>
      <c r="GM3" s="642"/>
      <c r="GN3" s="642"/>
      <c r="GO3" s="642"/>
      <c r="GP3" s="642"/>
      <c r="GQ3" s="642"/>
      <c r="GR3" s="642"/>
      <c r="GS3" s="642"/>
      <c r="GT3" s="642"/>
      <c r="GU3" s="642"/>
      <c r="GV3" s="642"/>
      <c r="GW3" s="642"/>
      <c r="GX3" s="642"/>
      <c r="GY3" s="642"/>
      <c r="GZ3" s="642"/>
      <c r="HA3" s="642"/>
      <c r="HB3" s="642"/>
      <c r="HC3" s="642"/>
      <c r="HD3" s="642"/>
      <c r="HE3" s="642"/>
      <c r="HF3" s="642"/>
      <c r="HG3" s="642"/>
      <c r="HH3" s="642"/>
      <c r="HI3" s="642"/>
      <c r="HJ3" s="642"/>
      <c r="HK3" s="642"/>
      <c r="HL3" s="642"/>
      <c r="HM3" s="642"/>
      <c r="HN3" s="642"/>
      <c r="HO3" s="642"/>
      <c r="HP3" s="642"/>
      <c r="HQ3" s="642"/>
      <c r="HR3" s="642"/>
      <c r="HS3" s="642"/>
      <c r="HT3" s="642"/>
      <c r="HU3" s="642"/>
      <c r="HV3" s="642"/>
      <c r="HW3" s="642"/>
      <c r="HX3" s="642"/>
      <c r="HY3" s="642"/>
      <c r="HZ3" s="642"/>
      <c r="IA3" s="642"/>
      <c r="IB3" s="642"/>
      <c r="IC3" s="642"/>
      <c r="ID3" s="642"/>
      <c r="IE3" s="642"/>
      <c r="IF3" s="642"/>
      <c r="IG3" s="642"/>
      <c r="IH3" s="642"/>
      <c r="II3" s="642"/>
      <c r="IJ3" s="642"/>
      <c r="IK3" s="642"/>
      <c r="IL3" s="642"/>
      <c r="IM3" s="642"/>
      <c r="IN3" s="642"/>
      <c r="IO3" s="642"/>
      <c r="IP3" s="642"/>
      <c r="IQ3" s="642"/>
      <c r="IR3" s="642"/>
      <c r="IS3" s="642"/>
      <c r="IT3" s="642"/>
      <c r="IU3" s="642"/>
      <c r="IV3" s="642"/>
      <c r="IW3" s="642"/>
    </row>
    <row r="4" customFormat="false" ht="12.6" hidden="false" customHeight="true" outlineLevel="0" collapsed="false">
      <c r="A4" s="483"/>
      <c r="B4" s="484"/>
      <c r="C4" s="711"/>
      <c r="D4" s="382" t="n">
        <f aca="false">YEAR('Project Assumptions'!G16)</f>
        <v>2000</v>
      </c>
      <c r="E4" s="382" t="n">
        <f aca="false">D4+1</f>
        <v>2001</v>
      </c>
      <c r="F4" s="382" t="n">
        <f aca="false">E4+1</f>
        <v>2002</v>
      </c>
      <c r="G4" s="382" t="n">
        <f aca="false">F4+1</f>
        <v>2003</v>
      </c>
      <c r="H4" s="382" t="n">
        <f aca="false">G4+1</f>
        <v>2004</v>
      </c>
      <c r="I4" s="382" t="n">
        <f aca="false">H4+1</f>
        <v>2005</v>
      </c>
      <c r="J4" s="382" t="n">
        <f aca="false">I4+1</f>
        <v>2006</v>
      </c>
      <c r="K4" s="382" t="n">
        <f aca="false">J4+1</f>
        <v>2007</v>
      </c>
      <c r="L4" s="382" t="n">
        <f aca="false">K4+1</f>
        <v>2008</v>
      </c>
      <c r="M4" s="382" t="n">
        <f aca="false">L4+1</f>
        <v>2009</v>
      </c>
      <c r="N4" s="382" t="n">
        <f aca="false">M4+1</f>
        <v>2010</v>
      </c>
      <c r="O4" s="382" t="n">
        <f aca="false">N4+1</f>
        <v>2011</v>
      </c>
      <c r="P4" s="382" t="n">
        <f aca="false">O4+1</f>
        <v>2012</v>
      </c>
      <c r="Q4" s="382" t="n">
        <f aca="false">P4+1</f>
        <v>2013</v>
      </c>
      <c r="R4" s="382" t="n">
        <f aca="false">Q4+1</f>
        <v>2014</v>
      </c>
      <c r="S4" s="382" t="n">
        <f aca="false">R4+1</f>
        <v>2015</v>
      </c>
      <c r="T4" s="382" t="n">
        <f aca="false">S4+1</f>
        <v>2016</v>
      </c>
      <c r="U4" s="382" t="n">
        <f aca="false">T4+1</f>
        <v>2017</v>
      </c>
      <c r="V4" s="382" t="n">
        <f aca="false">U4+1</f>
        <v>2018</v>
      </c>
      <c r="W4" s="382" t="n">
        <f aca="false">V4+1</f>
        <v>2019</v>
      </c>
      <c r="X4" s="382" t="n">
        <f aca="false">W4+1</f>
        <v>2020</v>
      </c>
      <c r="Y4" s="382" t="n">
        <f aca="false">X4+1</f>
        <v>2021</v>
      </c>
      <c r="Z4" s="382" t="n">
        <f aca="false">Y4+1</f>
        <v>2022</v>
      </c>
      <c r="AA4" s="382" t="n">
        <f aca="false">Z4+1</f>
        <v>2023</v>
      </c>
      <c r="AB4" s="383" t="n">
        <f aca="false">AA4+1</f>
        <v>2024</v>
      </c>
      <c r="AC4" s="397"/>
      <c r="AD4" s="0"/>
      <c r="AE4" s="485"/>
      <c r="AF4" s="485"/>
      <c r="AG4" s="485"/>
      <c r="AH4" s="485"/>
      <c r="AI4" s="485"/>
      <c r="AJ4" s="485"/>
      <c r="AK4" s="485"/>
      <c r="AL4" s="485"/>
      <c r="AM4" s="485"/>
      <c r="AN4" s="485"/>
      <c r="AO4" s="485"/>
      <c r="AP4" s="485"/>
      <c r="AQ4" s="485"/>
      <c r="AR4" s="485"/>
      <c r="AS4" s="485"/>
      <c r="AT4" s="485"/>
      <c r="AU4" s="485"/>
      <c r="AV4" s="485"/>
      <c r="AW4" s="485"/>
      <c r="AX4" s="485"/>
      <c r="AY4" s="485"/>
      <c r="AZ4" s="485"/>
      <c r="BA4" s="642"/>
      <c r="BB4" s="642"/>
      <c r="BC4" s="642"/>
      <c r="BD4" s="642"/>
      <c r="BE4" s="642"/>
      <c r="BF4" s="642"/>
      <c r="BG4" s="642"/>
      <c r="BH4" s="642"/>
      <c r="BI4" s="642"/>
      <c r="BJ4" s="642"/>
      <c r="BK4" s="642"/>
      <c r="BL4" s="642"/>
      <c r="BM4" s="642"/>
      <c r="BN4" s="642"/>
      <c r="BO4" s="642"/>
      <c r="BP4" s="642"/>
      <c r="BQ4" s="642"/>
      <c r="BR4" s="642"/>
      <c r="BS4" s="642"/>
      <c r="BT4" s="642"/>
      <c r="BU4" s="642"/>
      <c r="BV4" s="642"/>
      <c r="BW4" s="642"/>
      <c r="BX4" s="642"/>
      <c r="BY4" s="642"/>
      <c r="BZ4" s="642"/>
      <c r="CA4" s="642"/>
      <c r="CB4" s="642"/>
      <c r="CC4" s="642"/>
      <c r="CD4" s="642"/>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2"/>
      <c r="ED4" s="642"/>
      <c r="EE4" s="642"/>
      <c r="EF4" s="642"/>
      <c r="EG4" s="642"/>
      <c r="EH4" s="642"/>
      <c r="EI4" s="642"/>
      <c r="EJ4" s="642"/>
      <c r="EK4" s="642"/>
      <c r="EL4" s="642"/>
      <c r="EM4" s="642"/>
      <c r="EN4" s="642"/>
      <c r="EO4" s="642"/>
      <c r="EP4" s="642"/>
      <c r="EQ4" s="642"/>
      <c r="ER4" s="642"/>
      <c r="ES4" s="642"/>
      <c r="ET4" s="642"/>
      <c r="EU4" s="642"/>
      <c r="EV4" s="642"/>
      <c r="EW4" s="642"/>
      <c r="EX4" s="642"/>
      <c r="EY4" s="642"/>
      <c r="EZ4" s="642"/>
      <c r="FA4" s="642"/>
      <c r="FB4" s="642"/>
      <c r="FC4" s="642"/>
      <c r="FD4" s="642"/>
      <c r="FE4" s="642"/>
      <c r="FF4" s="642"/>
      <c r="FG4" s="642"/>
      <c r="FH4" s="642"/>
      <c r="FI4" s="642"/>
      <c r="FJ4" s="642"/>
      <c r="FK4" s="642"/>
      <c r="FL4" s="642"/>
      <c r="FM4" s="642"/>
      <c r="FN4" s="642"/>
      <c r="FO4" s="642"/>
      <c r="FP4" s="642"/>
      <c r="FQ4" s="642"/>
      <c r="FR4" s="642"/>
      <c r="FS4" s="642"/>
      <c r="FT4" s="642"/>
      <c r="FU4" s="642"/>
      <c r="FV4" s="642"/>
      <c r="FW4" s="642"/>
      <c r="FX4" s="642"/>
      <c r="FY4" s="642"/>
      <c r="FZ4" s="642"/>
      <c r="GA4" s="642"/>
      <c r="GB4" s="642"/>
      <c r="GC4" s="642"/>
      <c r="GD4" s="642"/>
      <c r="GE4" s="642"/>
      <c r="GF4" s="642"/>
      <c r="GG4" s="642"/>
      <c r="GH4" s="642"/>
      <c r="GI4" s="642"/>
      <c r="GJ4" s="642"/>
      <c r="GK4" s="642"/>
      <c r="GL4" s="642"/>
      <c r="GM4" s="642"/>
      <c r="GN4" s="642"/>
      <c r="GO4" s="642"/>
      <c r="GP4" s="642"/>
      <c r="GQ4" s="642"/>
      <c r="GR4" s="642"/>
      <c r="GS4" s="642"/>
      <c r="GT4" s="642"/>
      <c r="GU4" s="642"/>
      <c r="GV4" s="642"/>
      <c r="GW4" s="642"/>
      <c r="GX4" s="642"/>
      <c r="GY4" s="642"/>
      <c r="GZ4" s="642"/>
      <c r="HA4" s="642"/>
      <c r="HB4" s="642"/>
      <c r="HC4" s="642"/>
      <c r="HD4" s="642"/>
      <c r="HE4" s="642"/>
      <c r="HF4" s="642"/>
      <c r="HG4" s="642"/>
      <c r="HH4" s="642"/>
      <c r="HI4" s="642"/>
      <c r="HJ4" s="642"/>
      <c r="HK4" s="642"/>
      <c r="HL4" s="642"/>
      <c r="HM4" s="642"/>
      <c r="HN4" s="642"/>
      <c r="HO4" s="642"/>
      <c r="HP4" s="642"/>
      <c r="HQ4" s="642"/>
      <c r="HR4" s="642"/>
      <c r="HS4" s="642"/>
      <c r="HT4" s="642"/>
      <c r="HU4" s="642"/>
      <c r="HV4" s="642"/>
      <c r="HW4" s="642"/>
      <c r="HX4" s="642"/>
      <c r="HY4" s="642"/>
      <c r="HZ4" s="642"/>
      <c r="IA4" s="642"/>
      <c r="IB4" s="642"/>
      <c r="IC4" s="642"/>
      <c r="ID4" s="642"/>
      <c r="IE4" s="642"/>
      <c r="IF4" s="642"/>
      <c r="IG4" s="642"/>
      <c r="IH4" s="642"/>
      <c r="II4" s="642"/>
      <c r="IJ4" s="642"/>
      <c r="IK4" s="642"/>
      <c r="IL4" s="642"/>
      <c r="IM4" s="642"/>
      <c r="IN4" s="642"/>
      <c r="IO4" s="642"/>
      <c r="IP4" s="642"/>
      <c r="IQ4" s="642"/>
      <c r="IR4" s="642"/>
      <c r="IS4" s="642"/>
      <c r="IT4" s="642"/>
      <c r="IU4" s="642"/>
      <c r="IV4" s="642"/>
      <c r="IW4" s="642"/>
    </row>
    <row r="5" customFormat="false" ht="12.6" hidden="false" customHeight="true" outlineLevel="0" collapsed="false">
      <c r="A5" s="410"/>
      <c r="B5" s="385"/>
      <c r="C5" s="712"/>
      <c r="D5" s="712"/>
      <c r="E5" s="712"/>
      <c r="F5" s="712"/>
      <c r="G5" s="712"/>
      <c r="H5" s="712"/>
      <c r="I5" s="712"/>
      <c r="J5" s="712"/>
      <c r="K5" s="712"/>
      <c r="L5" s="712"/>
      <c r="M5" s="712"/>
      <c r="N5" s="712"/>
      <c r="O5" s="712"/>
      <c r="P5" s="712"/>
      <c r="Q5" s="712"/>
      <c r="R5" s="712"/>
      <c r="S5" s="712"/>
      <c r="T5" s="712"/>
      <c r="U5" s="712"/>
      <c r="V5" s="712"/>
      <c r="W5" s="712"/>
      <c r="X5" s="712"/>
      <c r="Y5" s="712"/>
      <c r="Z5" s="712"/>
      <c r="AA5" s="712"/>
      <c r="AB5" s="713"/>
      <c r="AC5" s="712"/>
      <c r="AD5" s="714"/>
      <c r="AI5" s="715"/>
      <c r="AM5" s="715"/>
      <c r="AX5" s="715"/>
      <c r="BB5" s="715"/>
    </row>
    <row r="6" customFormat="false" ht="12.6" hidden="false" customHeight="true" outlineLevel="0" collapsed="false">
      <c r="A6" s="716" t="s">
        <v>539</v>
      </c>
      <c r="B6" s="385"/>
      <c r="C6" s="717" t="n">
        <f aca="false">SUM(D6:AD6)</f>
        <v>429244.268891342</v>
      </c>
      <c r="D6" s="625" t="n">
        <f aca="false">IF(D3&gt;'Project Assumptions'!$I$15,0,'Book Income Statement'!D72)</f>
        <v>-512.68056633143</v>
      </c>
      <c r="E6" s="625" t="n">
        <f aca="false">IF(E3&gt;'Project Assumptions'!$I$15,0,'Book Income Statement'!E72)</f>
        <v>6928.93953391495</v>
      </c>
      <c r="F6" s="625" t="n">
        <f aca="false">IF(F3&gt;'Project Assumptions'!$I$15,0,'Book Income Statement'!F72)</f>
        <v>7213.52628741304</v>
      </c>
      <c r="G6" s="625" t="n">
        <f aca="false">IF(G3&gt;'Project Assumptions'!$I$15,0,'Book Income Statement'!G72)</f>
        <v>12680.6805838509</v>
      </c>
      <c r="H6" s="625" t="n">
        <f aca="false">IF(H3&gt;'Project Assumptions'!$I$15,0,'Book Income Statement'!H72)</f>
        <v>17241.5030700717</v>
      </c>
      <c r="I6" s="625" t="n">
        <f aca="false">IF(I3&gt;'Project Assumptions'!$I$15,0,'Book Income Statement'!I72)</f>
        <v>18192.2609745443</v>
      </c>
      <c r="J6" s="625" t="n">
        <f aca="false">IF(J3&gt;'Project Assumptions'!$I$15,0,'Book Income Statement'!J72)</f>
        <v>19064.7985269851</v>
      </c>
      <c r="K6" s="625" t="n">
        <f aca="false">IF(K3&gt;'Project Assumptions'!$I$15,0,'Book Income Statement'!K72)</f>
        <v>20493.1424939112</v>
      </c>
      <c r="L6" s="625" t="n">
        <f aca="false">IF(L3&gt;'Project Assumptions'!$I$15,0,'Book Income Statement'!L72)</f>
        <v>21250.6812683521</v>
      </c>
      <c r="M6" s="625" t="n">
        <f aca="false">IF(M3&gt;'Project Assumptions'!$I$15,0,'Book Income Statement'!M72)</f>
        <v>23013.3790223318</v>
      </c>
      <c r="N6" s="625" t="n">
        <f aca="false">IF(N3&gt;'Project Assumptions'!$I$15,0,'Book Income Statement'!N72)</f>
        <v>24270.0543923062</v>
      </c>
      <c r="O6" s="625" t="n">
        <f aca="false">IF(O3&gt;'Project Assumptions'!$I$15,0,'Book Income Statement'!O72)</f>
        <v>25534.8847637769</v>
      </c>
      <c r="P6" s="625" t="n">
        <f aca="false">IF(P3&gt;'Project Assumptions'!$I$15,0,'Book Income Statement'!P72)</f>
        <v>26101.1490238081</v>
      </c>
      <c r="Q6" s="625" t="n">
        <f aca="false">IF(Q3&gt;'Project Assumptions'!$I$15,0,'Book Income Statement'!Q72)</f>
        <v>26652.1157979069</v>
      </c>
      <c r="R6" s="625" t="n">
        <f aca="false">IF(R3&gt;'Project Assumptions'!$I$15,0,'Book Income Statement'!R72)</f>
        <v>27186.6175501817</v>
      </c>
      <c r="S6" s="625" t="n">
        <f aca="false">IF(S3&gt;'Project Assumptions'!$I$15,0,'Book Income Statement'!S72)</f>
        <v>27703.4304603248</v>
      </c>
      <c r="T6" s="625" t="n">
        <f aca="false">IF(T3&gt;'Project Assumptions'!$I$15,0,'Book Income Statement'!T72)</f>
        <v>28201.2720973295</v>
      </c>
      <c r="U6" s="625" t="n">
        <f aca="false">IF(U3&gt;'Project Assumptions'!$I$15,0,'Book Income Statement'!U72)</f>
        <v>28967.6335580229</v>
      </c>
      <c r="V6" s="625" t="n">
        <f aca="false">IF(V3&gt;'Project Assumptions'!$I$15,0,'Book Income Statement'!V72)</f>
        <v>29827.8071199855</v>
      </c>
      <c r="W6" s="625" t="n">
        <f aca="false">IF(W3&gt;'Project Assumptions'!$I$15,0,'Book Income Statement'!W72)</f>
        <v>30838.0865676332</v>
      </c>
      <c r="X6" s="625" t="n">
        <f aca="false">IF(X3&gt;'Project Assumptions'!$I$15+1,0,'Book Income Statement'!X72)</f>
        <v>8394.98636502287</v>
      </c>
      <c r="Y6" s="625" t="n">
        <f aca="false">IF(Y3&gt;'Project Assumptions'!$I$15,0,'Book Income Statement'!Y72)</f>
        <v>0</v>
      </c>
      <c r="Z6" s="625" t="n">
        <f aca="false">IF(Z3&gt;'Project Assumptions'!$I$15,0,'Book Income Statement'!Z72)</f>
        <v>0</v>
      </c>
      <c r="AA6" s="625" t="n">
        <f aca="false">IF(AA3&gt;'Project Assumptions'!$I$15,0,'Book Income Statement'!AA72)</f>
        <v>0</v>
      </c>
      <c r="AB6" s="626" t="n">
        <f aca="false">IF(AB3&gt;'Project Assumptions'!$I$15,0,'Book Income Statement'!AB72)</f>
        <v>0</v>
      </c>
      <c r="AC6" s="718"/>
      <c r="AD6" s="719"/>
    </row>
    <row r="7" customFormat="false" ht="12.6" hidden="false" customHeight="true" outlineLevel="0" collapsed="false">
      <c r="A7" s="720" t="s">
        <v>540</v>
      </c>
      <c r="B7" s="385"/>
      <c r="C7" s="717" t="n">
        <f aca="false">SUM(D7:AD7)</f>
        <v>108211.9094175</v>
      </c>
      <c r="D7" s="721" t="n">
        <f aca="false">IF(D3&gt;'Project Assumptions'!$I$15,0,'Book Income Statement'!D65)</f>
        <v>3246.97253416667</v>
      </c>
      <c r="E7" s="721" t="n">
        <f aca="false">IF(E3&gt;'Project Assumptions'!$I$15,0,'Book Income Statement'!E65)</f>
        <v>5566.23863</v>
      </c>
      <c r="F7" s="721" t="n">
        <f aca="false">IF(F3&gt;'Project Assumptions'!$I$15,0,'Book Income Statement'!F65)</f>
        <v>5566.23863</v>
      </c>
      <c r="G7" s="721" t="n">
        <f aca="false">IF(G3&gt;'Project Assumptions'!$I$15,0,'Book Income Statement'!G65)</f>
        <v>5566.23863</v>
      </c>
      <c r="H7" s="721" t="n">
        <f aca="false">IF(H3&gt;'Project Assumptions'!$I$15,0,'Book Income Statement'!H65)</f>
        <v>5566.23863</v>
      </c>
      <c r="I7" s="721" t="n">
        <f aca="false">IF(I3&gt;'Project Assumptions'!$I$15,0,'Book Income Statement'!I65)</f>
        <v>5328.16991333333</v>
      </c>
      <c r="J7" s="721" t="n">
        <f aca="false">IF(J3&gt;'Project Assumptions'!$I$15,0,'Book Income Statement'!J65)</f>
        <v>5158.12083</v>
      </c>
      <c r="K7" s="721" t="n">
        <f aca="false">IF(K3&gt;'Project Assumptions'!$I$15,0,'Book Income Statement'!K65)</f>
        <v>5158.12083</v>
      </c>
      <c r="L7" s="721" t="n">
        <f aca="false">IF(L3&gt;'Project Assumptions'!$I$15,0,'Book Income Statement'!L65)</f>
        <v>5158.12083</v>
      </c>
      <c r="M7" s="721" t="n">
        <f aca="false">IF(M3&gt;'Project Assumptions'!$I$15,0,'Book Income Statement'!M65)</f>
        <v>5158.12083</v>
      </c>
      <c r="N7" s="721" t="n">
        <f aca="false">IF(N3&gt;'Project Assumptions'!$I$15,0,'Book Income Statement'!N65)</f>
        <v>5158.12083</v>
      </c>
      <c r="O7" s="721" t="n">
        <f aca="false">IF(O3&gt;'Project Assumptions'!$I$15,0,'Book Income Statement'!O65)</f>
        <v>5158.12083</v>
      </c>
      <c r="P7" s="721" t="n">
        <f aca="false">IF(P3&gt;'Project Assumptions'!$I$15,0,'Book Income Statement'!P65)</f>
        <v>5158.12083</v>
      </c>
      <c r="Q7" s="721" t="n">
        <f aca="false">IF(Q3&gt;'Project Assumptions'!$I$15,0,'Book Income Statement'!Q65)</f>
        <v>5158.12083</v>
      </c>
      <c r="R7" s="721" t="n">
        <f aca="false">IF(R3&gt;'Project Assumptions'!$I$15,0,'Book Income Statement'!R65)</f>
        <v>5158.12083</v>
      </c>
      <c r="S7" s="721" t="n">
        <f aca="false">IF(S3&gt;'Project Assumptions'!$I$15,0,'Book Income Statement'!S65)</f>
        <v>5158.12083</v>
      </c>
      <c r="T7" s="721" t="n">
        <f aca="false">IF(T3&gt;'Project Assumptions'!$I$15,0,'Book Income Statement'!T65)</f>
        <v>5158.12083</v>
      </c>
      <c r="U7" s="721" t="n">
        <f aca="false">IF(U3&gt;'Project Assumptions'!$I$15,0,'Book Income Statement'!U65)</f>
        <v>5158.12083</v>
      </c>
      <c r="V7" s="721" t="n">
        <f aca="false">IF(V3&gt;'Project Assumptions'!$I$15,0,'Book Income Statement'!V65)</f>
        <v>5158.12083</v>
      </c>
      <c r="W7" s="721" t="n">
        <f aca="false">IF(W3&gt;'Project Assumptions'!$I$15,0,'Book Income Statement'!W65)</f>
        <v>5158.12083</v>
      </c>
      <c r="X7" s="721" t="n">
        <f aca="false">IF(X3&gt;'Project Assumptions'!$I$15+1,0,'Book Income Statement'!X65)</f>
        <v>5158.12083</v>
      </c>
      <c r="Y7" s="721" t="n">
        <f aca="false">IF(Y3&gt;'Project Assumptions'!$I$15,0,'Book Income Statement'!Y65)</f>
        <v>0</v>
      </c>
      <c r="Z7" s="721" t="n">
        <f aca="false">IF(Z3&gt;'Project Assumptions'!$I$15,0,'Book Income Statement'!Z65)</f>
        <v>0</v>
      </c>
      <c r="AA7" s="721" t="n">
        <f aca="false">IF(AA3&gt;'Project Assumptions'!$I$15,0,'Book Income Statement'!AA65)</f>
        <v>0</v>
      </c>
      <c r="AB7" s="722" t="n">
        <f aca="false">IF(AB3&gt;'Project Assumptions'!$I$15,0,'Book Income Statement'!AB65)</f>
        <v>0</v>
      </c>
      <c r="AC7" s="718"/>
      <c r="AD7" s="719"/>
      <c r="AF7" s="723"/>
      <c r="AH7" s="723"/>
      <c r="AL7" s="723"/>
      <c r="AU7" s="723"/>
    </row>
    <row r="8" customFormat="false" ht="12.6" hidden="false" customHeight="true" outlineLevel="0" collapsed="false">
      <c r="A8" s="720" t="s">
        <v>541</v>
      </c>
      <c r="B8" s="385"/>
      <c r="C8" s="717"/>
      <c r="D8" s="33" t="n">
        <f aca="false">IF(D3&gt;'Project Assumptions'!$I$15,0,'Book Income Statement'!D53)</f>
        <v>245.60635648</v>
      </c>
      <c r="E8" s="33" t="n">
        <f aca="false">IF(E3&gt;'Project Assumptions'!$I$15,0,'Book Income Statement'!E53)</f>
        <v>245.60635648</v>
      </c>
      <c r="F8" s="33" t="n">
        <f aca="false">IF(F3&gt;'Project Assumptions'!$I$15,0,'Book Income Statement'!F53)</f>
        <v>245.60635648</v>
      </c>
      <c r="G8" s="33" t="n">
        <f aca="false">IF(G3&gt;'Project Assumptions'!$I$15,0,'Book Income Statement'!G53)</f>
        <v>245.60635648</v>
      </c>
      <c r="H8" s="33" t="n">
        <f aca="false">IF(H3&gt;'Project Assumptions'!$I$15,0,'Book Income Statement'!H53)</f>
        <v>245.60635648</v>
      </c>
      <c r="I8" s="33" t="n">
        <f aca="false">IF(I3&gt;'Project Assumptions'!$I$15,0,'Book Income Statement'!I53)</f>
        <v>245.60635648</v>
      </c>
      <c r="J8" s="33" t="n">
        <f aca="false">IF(J3&gt;'Project Assumptions'!$I$15,0,'Book Income Statement'!J53)</f>
        <v>245.60635648</v>
      </c>
      <c r="K8" s="33" t="n">
        <f aca="false">IF(K3&gt;'Project Assumptions'!$I$15,0,'Book Income Statement'!K53)</f>
        <v>245.60635648</v>
      </c>
      <c r="L8" s="33" t="n">
        <f aca="false">IF(L3&gt;'Project Assumptions'!$I$15,0,'Book Income Statement'!L53)</f>
        <v>245.60635648</v>
      </c>
      <c r="M8" s="33" t="n">
        <f aca="false">IF(M3&gt;'Project Assumptions'!$I$15,0,'Book Income Statement'!M53)</f>
        <v>245.60635648</v>
      </c>
      <c r="N8" s="33" t="n">
        <f aca="false">IF(N3&gt;'Project Assumptions'!$I$15,0,'Book Income Statement'!N53)</f>
        <v>245.60635648</v>
      </c>
      <c r="O8" s="33" t="n">
        <f aca="false">IF(O3&gt;'Project Assumptions'!$I$15,0,'Book Income Statement'!O53)</f>
        <v>245.60635648</v>
      </c>
      <c r="P8" s="33" t="n">
        <f aca="false">IF(P3&gt;'Project Assumptions'!$I$15,0,'Book Income Statement'!P53)</f>
        <v>245.60635648</v>
      </c>
      <c r="Q8" s="33" t="n">
        <f aca="false">IF(Q3&gt;'Project Assumptions'!$I$15,0,'Book Income Statement'!Q53)</f>
        <v>245.60635648</v>
      </c>
      <c r="R8" s="33" t="n">
        <f aca="false">IF(R3&gt;'Project Assumptions'!$I$15,0,'Book Income Statement'!R53)</f>
        <v>245.60635648</v>
      </c>
      <c r="S8" s="33" t="n">
        <f aca="false">IF(S3&gt;'Project Assumptions'!$I$15,0,'Book Income Statement'!S53)</f>
        <v>245.60635648</v>
      </c>
      <c r="T8" s="33" t="n">
        <f aca="false">IF(T3&gt;'Project Assumptions'!$I$15,0,'Book Income Statement'!T53)</f>
        <v>245.60635648</v>
      </c>
      <c r="U8" s="33" t="n">
        <f aca="false">IF(U3&gt;'Project Assumptions'!$I$15,0,'Book Income Statement'!U53)</f>
        <v>245.60635648</v>
      </c>
      <c r="V8" s="33" t="n">
        <f aca="false">IF(V3&gt;'Project Assumptions'!$I$15,0,'Book Income Statement'!V53)</f>
        <v>245.60635648</v>
      </c>
      <c r="W8" s="33" t="n">
        <f aca="false">IF(W3&gt;'Project Assumptions'!$I$15,0,'Book Income Statement'!W53)</f>
        <v>245.60635648</v>
      </c>
      <c r="X8" s="33" t="n">
        <f aca="false">IF(X3&gt;'Project Assumptions'!$I$15+1,0,'Book Income Statement'!X53)</f>
        <v>245.60635648</v>
      </c>
      <c r="Y8" s="33" t="n">
        <f aca="false">IF(Y3&gt;'Project Assumptions'!$I$15,0,'Book Income Statement'!Y53)</f>
        <v>0</v>
      </c>
      <c r="Z8" s="33" t="n">
        <f aca="false">IF(Z3&gt;'Project Assumptions'!$I$15,0,'Book Income Statement'!Z53)</f>
        <v>0</v>
      </c>
      <c r="AA8" s="33" t="n">
        <f aca="false">IF(AA3&gt;'Project Assumptions'!$I$15,0,'Book Income Statement'!AA53)</f>
        <v>0</v>
      </c>
      <c r="AB8" s="724" t="n">
        <f aca="false">IF(AB3&gt;'Project Assumptions'!$I$15,0,'Book Income Statement'!AB53)</f>
        <v>0</v>
      </c>
      <c r="AC8" s="718"/>
      <c r="AD8" s="719"/>
      <c r="AF8" s="723"/>
      <c r="AH8" s="723"/>
      <c r="AL8" s="723"/>
      <c r="AU8" s="723"/>
    </row>
    <row r="9" customFormat="false" ht="12.6" hidden="false" customHeight="true" outlineLevel="0" collapsed="false">
      <c r="A9" s="720" t="s">
        <v>542</v>
      </c>
      <c r="B9" s="385"/>
      <c r="C9" s="717"/>
      <c r="D9" s="33" t="n">
        <f aca="false">IF(D3&gt;'Project Assumptions'!$I$15,0,0)</f>
        <v>0</v>
      </c>
      <c r="E9" s="33" t="n">
        <f aca="false">IF(E3&gt;'Project Assumptions'!$I$15,0,Depreciation!D51)</f>
        <v>245.60635648</v>
      </c>
      <c r="F9" s="33" t="n">
        <f aca="false">IF(F3&gt;'Project Assumptions'!$I$15,0,Depreciation!E51)</f>
        <v>245.60635648</v>
      </c>
      <c r="G9" s="33" t="n">
        <f aca="false">IF(G3&gt;'Project Assumptions'!$I$15,0,Depreciation!F51)</f>
        <v>245.60635648</v>
      </c>
      <c r="H9" s="33" t="n">
        <f aca="false">IF(H3&gt;'Project Assumptions'!$I$15,0,Depreciation!G51)</f>
        <v>245.60635648</v>
      </c>
      <c r="I9" s="33" t="n">
        <f aca="false">IF(I3&gt;'Project Assumptions'!$I$15,0,Depreciation!H51)</f>
        <v>245.60635648</v>
      </c>
      <c r="J9" s="33" t="n">
        <f aca="false">IF(J3&gt;'Project Assumptions'!$I$15,0,Depreciation!I51)</f>
        <v>245.60635648</v>
      </c>
      <c r="K9" s="33" t="n">
        <f aca="false">IF(K3&gt;'Project Assumptions'!$I$15,0,Depreciation!J51)</f>
        <v>245.60635648</v>
      </c>
      <c r="L9" s="33" t="n">
        <f aca="false">IF(L3&gt;'Project Assumptions'!$I$15,0,Depreciation!K51)</f>
        <v>245.60635648</v>
      </c>
      <c r="M9" s="33" t="n">
        <f aca="false">IF(M3&gt;'Project Assumptions'!$I$15,0,Depreciation!L51)</f>
        <v>245.60635648</v>
      </c>
      <c r="N9" s="33" t="n">
        <f aca="false">IF(N3&gt;'Project Assumptions'!$I$15,0,Depreciation!M51)</f>
        <v>245.60635648</v>
      </c>
      <c r="O9" s="33" t="n">
        <f aca="false">IF(O3&gt;'Project Assumptions'!$I$15,0,Depreciation!N51)</f>
        <v>245.60635648</v>
      </c>
      <c r="P9" s="33" t="n">
        <f aca="false">IF(P3&gt;'Project Assumptions'!$I$15,0,Depreciation!O51)</f>
        <v>245.60635648</v>
      </c>
      <c r="Q9" s="33" t="n">
        <f aca="false">IF(Q3&gt;'Project Assumptions'!$I$15,0,Depreciation!P51)</f>
        <v>245.60635648</v>
      </c>
      <c r="R9" s="33" t="n">
        <f aca="false">IF(R3&gt;'Project Assumptions'!$I$15,0,Depreciation!Q51)</f>
        <v>245.60635648</v>
      </c>
      <c r="S9" s="33" t="n">
        <f aca="false">IF(S3&gt;'Project Assumptions'!$I$15,0,Depreciation!R51)</f>
        <v>245.60635648</v>
      </c>
      <c r="T9" s="33" t="n">
        <f aca="false">IF(T3&gt;'Project Assumptions'!$I$15,0,Depreciation!S51)</f>
        <v>245.60635648</v>
      </c>
      <c r="U9" s="33" t="n">
        <f aca="false">IF(U3&gt;'Project Assumptions'!$I$15,0,Depreciation!T51)</f>
        <v>245.60635648</v>
      </c>
      <c r="V9" s="33" t="n">
        <f aca="false">IF(V3&gt;'Project Assumptions'!$I$15,0,Depreciation!U51)</f>
        <v>245.60635648</v>
      </c>
      <c r="W9" s="33" t="n">
        <f aca="false">IF(W3&gt;'Project Assumptions'!$I$15,0,Depreciation!V51)</f>
        <v>245.60635648</v>
      </c>
      <c r="X9" s="33" t="n">
        <f aca="false">IF(X3&gt;'Project Assumptions'!$I$15+1,0,Depreciation!W51)</f>
        <v>245.60635648</v>
      </c>
      <c r="Y9" s="33" t="n">
        <f aca="false">IF(Y3&gt;'Project Assumptions'!$I$15,0,Depreciation!X51)</f>
        <v>0</v>
      </c>
      <c r="Z9" s="33" t="n">
        <f aca="false">IF(Z3&gt;'Project Assumptions'!$I$15,0,Depreciation!Y51)</f>
        <v>0</v>
      </c>
      <c r="AA9" s="33" t="n">
        <f aca="false">IF(AA3&gt;'Project Assumptions'!$I$15,0,Depreciation!Z51)</f>
        <v>0</v>
      </c>
      <c r="AB9" s="724" t="n">
        <f aca="false">IF(AB3&gt;'Project Assumptions'!$I$15,0,Depreciation!AA51)</f>
        <v>0</v>
      </c>
      <c r="AC9" s="718"/>
      <c r="AD9" s="719"/>
      <c r="AF9" s="723"/>
      <c r="AP9" s="725"/>
      <c r="AQ9" s="725"/>
      <c r="AR9" s="725"/>
      <c r="AS9" s="725"/>
      <c r="AU9" s="723"/>
    </row>
    <row r="10" customFormat="false" ht="12.6" hidden="false" customHeight="true" outlineLevel="0" collapsed="false">
      <c r="A10" s="720" t="s">
        <v>543</v>
      </c>
      <c r="B10" s="385"/>
      <c r="C10" s="717" t="n">
        <f aca="false">SUM(D10:AD10)</f>
        <v>114547.31404658</v>
      </c>
      <c r="D10" s="726" t="n">
        <f aca="false">IF(D3&gt;'Project Assumptions'!$I$15,0,'Book Income Statement'!D69)</f>
        <v>10153.804410567</v>
      </c>
      <c r="E10" s="726" t="n">
        <f aca="false">IF(E3&gt;'Project Assumptions'!$I$15,0,'Book Income Statement'!E69)</f>
        <v>9802.013706252</v>
      </c>
      <c r="F10" s="726" t="n">
        <f aca="false">IF(F3&gt;'Project Assumptions'!$I$15,0,'Book Income Statement'!F69)</f>
        <v>9450.223001937</v>
      </c>
      <c r="G10" s="726" t="n">
        <f aca="false">IF(G3&gt;'Project Assumptions'!$I$15,0,'Book Income Statement'!G69)</f>
        <v>8949.93477169275</v>
      </c>
      <c r="H10" s="726" t="n">
        <f aca="false">IF(H3&gt;'Project Assumptions'!$I$15,0,'Book Income Statement'!H69)</f>
        <v>8301.14901551925</v>
      </c>
      <c r="I10" s="726" t="n">
        <f aca="false">IF(I3&gt;'Project Assumptions'!$I$15,0,'Book Income Statement'!I69)</f>
        <v>7888.62014216631</v>
      </c>
      <c r="J10" s="726" t="n">
        <f aca="false">IF(J3&gt;'Project Assumptions'!$I$15,0,'Book Income Statement'!J69)</f>
        <v>7476.09126881337</v>
      </c>
      <c r="K10" s="726" t="n">
        <f aca="false">IF(K3&gt;'Project Assumptions'!$I$15,0,'Book Income Statement'!K69)</f>
        <v>7005.79548471321</v>
      </c>
      <c r="L10" s="726" t="n">
        <f aca="false">IF(L3&gt;'Project Assumptions'!$I$15,0,'Book Income Statement'!L69)</f>
        <v>6535.49970061305</v>
      </c>
      <c r="M10" s="726" t="n">
        <f aca="false">IF(M3&gt;'Project Assumptions'!$I$15,0,'Book Income Statement'!M69)</f>
        <v>5768.20886465439</v>
      </c>
      <c r="N10" s="726" t="n">
        <f aca="false">IF(N3&gt;'Project Assumptions'!$I$15,0,'Book Income Statement'!N69)</f>
        <v>4794.65359201926</v>
      </c>
      <c r="O10" s="726" t="n">
        <f aca="false">IF(O3&gt;'Project Assumptions'!$I$15,0,'Book Income Statement'!O69)</f>
        <v>4563.58594903038</v>
      </c>
      <c r="P10" s="726" t="n">
        <f aca="false">IF(P3&gt;'Project Assumptions'!$I$15,0,'Book Income Statement'!P69)</f>
        <v>4274.75139529428</v>
      </c>
      <c r="Q10" s="726" t="n">
        <f aca="false">IF(Q3&gt;'Project Assumptions'!$I$15,0,'Book Income Statement'!Q69)</f>
        <v>3985.91684155818</v>
      </c>
      <c r="R10" s="726" t="n">
        <f aca="false">IF(R3&gt;'Project Assumptions'!$I$15,0,'Book Income Statement'!R69)</f>
        <v>3697.08228782208</v>
      </c>
      <c r="S10" s="726" t="n">
        <f aca="false">IF(S3&gt;'Project Assumptions'!$I$15,0,'Book Income Statement'!S69)</f>
        <v>3408.24773408598</v>
      </c>
      <c r="T10" s="726" t="n">
        <f aca="false">IF(T3&gt;'Project Assumptions'!$I$15,0,'Book Income Statement'!T69)</f>
        <v>3119.41318034988</v>
      </c>
      <c r="U10" s="726" t="n">
        <f aca="false">IF(U3&gt;'Project Assumptions'!$I$15,0,'Book Income Statement'!U69)</f>
        <v>2541.74407287768</v>
      </c>
      <c r="V10" s="726" t="n">
        <f aca="false">IF(V3&gt;'Project Assumptions'!$I$15,0,'Book Income Statement'!V69)</f>
        <v>1848.54114391104</v>
      </c>
      <c r="W10" s="726" t="n">
        <f aca="false">IF(W3&gt;'Project Assumptions'!$I$15,0,'Book Income Statement'!W69)</f>
        <v>982.037482702741</v>
      </c>
      <c r="X10" s="726" t="n">
        <f aca="false">IF(X3&gt;'Project Assumptions'!$I$15+1,0,'Book Income Statement'!X69)</f>
        <v>0</v>
      </c>
      <c r="Y10" s="726" t="n">
        <f aca="false">IF(Y3&gt;'Project Assumptions'!$I$15,0,'Book Income Statement'!Y69)</f>
        <v>0</v>
      </c>
      <c r="Z10" s="726" t="n">
        <f aca="false">IF(Z3&gt;'Project Assumptions'!$I$15,0,'Book Income Statement'!Z69)</f>
        <v>0</v>
      </c>
      <c r="AA10" s="726" t="n">
        <f aca="false">IF(AA3&gt;'Project Assumptions'!$I$15,0,'Book Income Statement'!AA69)</f>
        <v>0</v>
      </c>
      <c r="AB10" s="727" t="n">
        <f aca="false">IF(AB3&gt;'Project Assumptions'!$I$15,0,'Book Income Statement'!AB69)</f>
        <v>0</v>
      </c>
      <c r="AC10" s="718"/>
      <c r="AD10" s="719"/>
      <c r="AF10" s="723"/>
      <c r="AU10" s="723"/>
    </row>
    <row r="11" customFormat="false" ht="12.6" hidden="false" customHeight="true" outlineLevel="0" collapsed="false">
      <c r="A11" s="720"/>
      <c r="B11" s="385"/>
      <c r="C11" s="717"/>
      <c r="D11" s="726"/>
      <c r="E11" s="726"/>
      <c r="F11" s="726"/>
      <c r="G11" s="726"/>
      <c r="H11" s="726"/>
      <c r="I11" s="726"/>
      <c r="J11" s="726"/>
      <c r="K11" s="726"/>
      <c r="L11" s="726"/>
      <c r="M11" s="726"/>
      <c r="N11" s="726"/>
      <c r="O11" s="726"/>
      <c r="P11" s="726"/>
      <c r="Q11" s="726"/>
      <c r="R11" s="726"/>
      <c r="S11" s="726"/>
      <c r="T11" s="726"/>
      <c r="U11" s="726"/>
      <c r="V11" s="726"/>
      <c r="W11" s="726"/>
      <c r="X11" s="726"/>
      <c r="Y11" s="726"/>
      <c r="Z11" s="726"/>
      <c r="AA11" s="726"/>
      <c r="AB11" s="727"/>
      <c r="AC11" s="728"/>
      <c r="AD11" s="729"/>
      <c r="AE11" s="729"/>
      <c r="AF11" s="729"/>
      <c r="AU11" s="723"/>
    </row>
    <row r="12" customFormat="false" ht="12.6" hidden="false" customHeight="true" outlineLevel="0" collapsed="false">
      <c r="A12" s="720" t="s">
        <v>544</v>
      </c>
      <c r="B12" s="385"/>
      <c r="C12" s="717" t="n">
        <f aca="false">SUM(D12:AD12)</f>
        <v>114547.31404658</v>
      </c>
      <c r="D12" s="726" t="n">
        <f aca="false">IF(D3&gt;'Project Assumptions'!$I$15+1,0,'Debt Amortization'!E$52)</f>
        <v>10153.804410567</v>
      </c>
      <c r="E12" s="726" t="n">
        <f aca="false">IF(E3&gt;'Project Assumptions'!$I$15+1,0,'Debt Amortization'!F$52)</f>
        <v>9802.013706252</v>
      </c>
      <c r="F12" s="726" t="n">
        <f aca="false">IF(F3&gt;'Project Assumptions'!$I$15+1,0,'Debt Amortization'!G$52)</f>
        <v>9450.223001937</v>
      </c>
      <c r="G12" s="726" t="n">
        <f aca="false">IF(G3&gt;'Project Assumptions'!$I$15+1,0,'Debt Amortization'!H$52)</f>
        <v>8949.93477169275</v>
      </c>
      <c r="H12" s="726" t="n">
        <f aca="false">IF(H3&gt;'Project Assumptions'!$I$15+1,0,'Debt Amortization'!I$52)</f>
        <v>8301.14901551925</v>
      </c>
      <c r="I12" s="726" t="n">
        <f aca="false">IF(I3&gt;'Project Assumptions'!$I$15+1,0,'Debt Amortization'!J$52)</f>
        <v>7888.62014216631</v>
      </c>
      <c r="J12" s="726" t="n">
        <f aca="false">IF(J3&gt;'Project Assumptions'!$I$15+1,0,'Debt Amortization'!K$52)</f>
        <v>7476.09126881337</v>
      </c>
      <c r="K12" s="726" t="n">
        <f aca="false">IF(K3&gt;'Project Assumptions'!$I$15+1,0,'Debt Amortization'!L$52)</f>
        <v>7005.79548471321</v>
      </c>
      <c r="L12" s="726" t="n">
        <f aca="false">IF(L3&gt;'Project Assumptions'!$I$15+1,0,'Debt Amortization'!M$52)</f>
        <v>6535.49970061305</v>
      </c>
      <c r="M12" s="726" t="n">
        <f aca="false">IF(M3&gt;'Project Assumptions'!$I$15+1,0,'Debt Amortization'!N$52)</f>
        <v>5768.20886465439</v>
      </c>
      <c r="N12" s="726" t="n">
        <f aca="false">IF(N3&gt;'Project Assumptions'!$I$15+1,0,'Debt Amortization'!O$52)</f>
        <v>4794.65359201926</v>
      </c>
      <c r="O12" s="726" t="n">
        <f aca="false">IF(O3&gt;'Project Assumptions'!$I$15+1,0,'Debt Amortization'!P$52)</f>
        <v>4563.58594903038</v>
      </c>
      <c r="P12" s="726" t="n">
        <f aca="false">IF(P3&gt;'Project Assumptions'!$I$15+1,0,'Debt Amortization'!Q$52)</f>
        <v>4274.75139529428</v>
      </c>
      <c r="Q12" s="726" t="n">
        <f aca="false">IF(Q3&gt;'Project Assumptions'!$I$15+1,0,'Debt Amortization'!R$52)</f>
        <v>3985.91684155818</v>
      </c>
      <c r="R12" s="726" t="n">
        <f aca="false">IF(R3&gt;'Project Assumptions'!$I$15+1,0,'Debt Amortization'!S$52)</f>
        <v>3697.08228782208</v>
      </c>
      <c r="S12" s="726" t="n">
        <f aca="false">IF(S3&gt;'Project Assumptions'!$I$15+1,0,'Debt Amortization'!T$52)</f>
        <v>3408.24773408598</v>
      </c>
      <c r="T12" s="726" t="n">
        <f aca="false">IF(T3&gt;'Project Assumptions'!$I$15+1,0,'Debt Amortization'!U$52)</f>
        <v>3119.41318034988</v>
      </c>
      <c r="U12" s="726" t="n">
        <f aca="false">IF(U3&gt;'Project Assumptions'!$I$15+1,0,'Debt Amortization'!V$52)</f>
        <v>2541.74407287768</v>
      </c>
      <c r="V12" s="726" t="n">
        <f aca="false">IF(V3&gt;'Project Assumptions'!$I$15+1,0,'Debt Amortization'!W$52)</f>
        <v>1848.54114391104</v>
      </c>
      <c r="W12" s="726" t="n">
        <f aca="false">IF(W3&gt;'Project Assumptions'!$I$15+1,0,'Debt Amortization'!X$52)</f>
        <v>982.037482702741</v>
      </c>
      <c r="X12" s="726" t="n">
        <f aca="false">IF(X3&gt;'Project Assumptions'!$I$15+1,0,'Debt Amortization'!Y$52)</f>
        <v>0</v>
      </c>
      <c r="Y12" s="726" t="n">
        <f aca="false">IF(Y3&gt;'Project Assumptions'!$I$15+1,0,'Debt Amortization'!Z$52)</f>
        <v>0</v>
      </c>
      <c r="Z12" s="726" t="n">
        <f aca="false">IF(Z3&gt;'Project Assumptions'!$I$15+1,0,'Debt Amortization'!AA$52)</f>
        <v>0</v>
      </c>
      <c r="AA12" s="726" t="n">
        <f aca="false">IF(AA3&gt;'Project Assumptions'!$I$15+1,0,'Debt Amortization'!AB$52)</f>
        <v>0</v>
      </c>
      <c r="AB12" s="726" t="n">
        <f aca="false">IF(AB3&gt;'Project Assumptions'!$I$15+1,0,'Debt Amortization'!AC$52)</f>
        <v>0</v>
      </c>
      <c r="AC12" s="718"/>
      <c r="AD12" s="719"/>
      <c r="AF12" s="723"/>
      <c r="AP12" s="725"/>
      <c r="AQ12" s="725"/>
      <c r="AR12" s="725"/>
      <c r="AS12" s="725"/>
      <c r="AU12" s="723"/>
    </row>
    <row r="13" customFormat="false" ht="12.6" hidden="false" customHeight="true" outlineLevel="0" collapsed="false">
      <c r="A13" s="410" t="s">
        <v>545</v>
      </c>
      <c r="B13" s="385"/>
      <c r="C13" s="625" t="n">
        <f aca="false">SUM(D13:AB13)</f>
        <v>130777.2135</v>
      </c>
      <c r="D13" s="730" t="n">
        <f aca="false">IF(D3&gt;'Project Assumptions'!$I$15,0,'Debt Amortization'!E$53)</f>
        <v>5231.08854</v>
      </c>
      <c r="E13" s="730" t="n">
        <f aca="false">IF(E3&gt;'Project Assumptions'!$I$15,0,'Debt Amortization'!F$53)</f>
        <v>5231.08854</v>
      </c>
      <c r="F13" s="730" t="n">
        <f aca="false">IF(F3&gt;'Project Assumptions'!$I$15,0,'Debt Amortization'!G$53)</f>
        <v>7192.7467425</v>
      </c>
      <c r="G13" s="730" t="n">
        <f aca="false">IF(G3&gt;'Project Assumptions'!$I$15,0,'Debt Amortization'!H$53)</f>
        <v>9154.404945</v>
      </c>
      <c r="H13" s="730" t="n">
        <f aca="false">IF(H3&gt;'Project Assumptions'!$I$15,0,'Debt Amortization'!I$53)</f>
        <v>5335.7103108</v>
      </c>
      <c r="I13" s="730" t="n">
        <f aca="false">IF(I3&gt;'Project Assumptions'!$I$15,0,'Debt Amortization'!J$53)</f>
        <v>5335.7103108</v>
      </c>
      <c r="J13" s="730" t="n">
        <f aca="false">IF(J3&gt;'Project Assumptions'!$I$15,0,'Debt Amortization'!K$53)</f>
        <v>6041.9072637</v>
      </c>
      <c r="K13" s="730" t="n">
        <f aca="false">IF(K3&gt;'Project Assumptions'!$I$15,0,'Debt Amortization'!L$53)</f>
        <v>6041.9072637</v>
      </c>
      <c r="L13" s="730" t="n">
        <f aca="false">IF(L3&gt;'Project Assumptions'!$I$15,0,'Debt Amortization'!M$53)</f>
        <v>9965.2236687</v>
      </c>
      <c r="M13" s="730" t="n">
        <f aca="false">IF(M3&gt;'Project Assumptions'!$I$15,0,'Debt Amortization'!N$53)</f>
        <v>12633.0788241</v>
      </c>
      <c r="N13" s="730" t="n">
        <f aca="false">IF(N3&gt;'Project Assumptions'!$I$15,0,'Debt Amortization'!O$53)</f>
        <v>2824.7878116</v>
      </c>
      <c r="O13" s="730" t="n">
        <f aca="false">IF(O3&gt;'Project Assumptions'!$I$15,0,'Debt Amortization'!P$53)</f>
        <v>3530.9847645</v>
      </c>
      <c r="P13" s="730" t="n">
        <f aca="false">IF(P3&gt;'Project Assumptions'!$I$15,0,'Debt Amortization'!Q$53)</f>
        <v>3530.9847645</v>
      </c>
      <c r="Q13" s="730" t="n">
        <f aca="false">IF(Q3&gt;'Project Assumptions'!$I$15,0,'Debt Amortization'!R$53)</f>
        <v>3530.9847645</v>
      </c>
      <c r="R13" s="730" t="n">
        <f aca="false">IF(R3&gt;'Project Assumptions'!$I$15,0,'Debt Amortization'!S$53)</f>
        <v>3530.9847645</v>
      </c>
      <c r="S13" s="730" t="n">
        <f aca="false">IF(S3&gt;'Project Assumptions'!$I$15,0,'Debt Amortization'!T$53)</f>
        <v>3530.9847645</v>
      </c>
      <c r="T13" s="730" t="n">
        <f aca="false">IF(T3&gt;'Project Assumptions'!$I$15,0,'Debt Amortization'!U$53)</f>
        <v>7061.969529</v>
      </c>
      <c r="U13" s="730" t="n">
        <f aca="false">IF(U3&gt;'Project Assumptions'!$I$15,0,'Debt Amortization'!V$53)</f>
        <v>8474.3634348</v>
      </c>
      <c r="V13" s="730" t="n">
        <f aca="false">IF(V3&gt;'Project Assumptions'!$I$15,0,'Debt Amortization'!W$53)</f>
        <v>10592.9542935</v>
      </c>
      <c r="W13" s="730" t="n">
        <f aca="false">IF(W3&gt;'Project Assumptions'!$I$15,0,'Debt Amortization'!X$53)</f>
        <v>12005.3481993</v>
      </c>
      <c r="X13" s="730" t="n">
        <f aca="false">IF(X3&gt;'Project Assumptions'!$I$15+1,0,'Debt Amortization'!Y$53)</f>
        <v>0</v>
      </c>
      <c r="Y13" s="730" t="n">
        <f aca="false">IF(Y3&gt;'Project Assumptions'!$I$15,0,'Debt Amortization'!Z$53)</f>
        <v>0</v>
      </c>
      <c r="Z13" s="730" t="n">
        <f aca="false">IF(Z3&gt;'Project Assumptions'!$I$15,0,'Debt Amortization'!AA$53)</f>
        <v>0</v>
      </c>
      <c r="AA13" s="730" t="n">
        <f aca="false">IF(AA3&gt;'Project Assumptions'!$I$15,0,'Debt Amortization'!AB$53)</f>
        <v>0</v>
      </c>
      <c r="AB13" s="731" t="n">
        <f aca="false">IF(AB3&gt;'Project Assumptions'!$I$15,0,'Debt Amortization'!AC$53)</f>
        <v>0</v>
      </c>
      <c r="AF13" s="723"/>
      <c r="AU13" s="723"/>
    </row>
    <row r="14" customFormat="false" ht="12.6" hidden="false" customHeight="true" outlineLevel="0" collapsed="false">
      <c r="A14" s="433" t="s">
        <v>546</v>
      </c>
      <c r="B14" s="385"/>
      <c r="C14" s="625"/>
      <c r="D14" s="726" t="n">
        <f aca="false">IF(D3&gt;'Project Assumptions'!$I$15,0,D6+D7+D8-D9+D10+D11-D12-D13)</f>
        <v>-2251.19021568476</v>
      </c>
      <c r="E14" s="726" t="n">
        <f aca="false">IF(E3&gt;'Project Assumptions'!$I$15,0,E6+E7+E8-E9+E10+E11-E12-E13)</f>
        <v>7264.08962391495</v>
      </c>
      <c r="F14" s="726" t="n">
        <f aca="false">IF(F3&gt;'Project Assumptions'!$I$15,0,F6+F7+F8-F9+F10+F11-F12-F13)</f>
        <v>5587.01817491304</v>
      </c>
      <c r="G14" s="726" t="n">
        <f aca="false">IF(G3&gt;'Project Assumptions'!$I$15,0,G6+G7+G8-G9+G10+G11-G12-G13)</f>
        <v>9092.5142688509</v>
      </c>
      <c r="H14" s="726" t="n">
        <f aca="false">IF(H3&gt;'Project Assumptions'!$I$15,0,H6+H7+H8-H9+H10+H11-H12-H13)</f>
        <v>17472.0313892717</v>
      </c>
      <c r="I14" s="726" t="n">
        <f aca="false">IF(I3&gt;'Project Assumptions'!$I$15,0,I6+I7+I8-I9+I10+I11-I12-I13)</f>
        <v>18184.7205770776</v>
      </c>
      <c r="J14" s="726" t="n">
        <f aca="false">IF(J3&gt;'Project Assumptions'!$I$15,0,J6+J7+J8-J9+J10+J11-J12-J13)</f>
        <v>18181.0120932851</v>
      </c>
      <c r="K14" s="726" t="n">
        <f aca="false">IF(K3&gt;'Project Assumptions'!$I$15,0,K6+K7+K8-K9+K10+K11-K12-K13)</f>
        <v>19609.3560602113</v>
      </c>
      <c r="L14" s="726" t="n">
        <f aca="false">IF(L3&gt;'Project Assumptions'!$I$15,0,L6+L7+L8-L9+L10+L11-L12-L13)</f>
        <v>16443.5784296521</v>
      </c>
      <c r="M14" s="726" t="n">
        <f aca="false">IF(M3&gt;'Project Assumptions'!$I$15,0,M6+M7+M8-M9+M10+M11-M12-M13)</f>
        <v>15538.4210282318</v>
      </c>
      <c r="N14" s="726" t="n">
        <f aca="false">IF(N3&gt;'Project Assumptions'!$I$15,0,N6+N7+N8-N9+N10+N11-N12-N13)</f>
        <v>26603.3874107062</v>
      </c>
      <c r="O14" s="726" t="n">
        <f aca="false">IF(O3&gt;'Project Assumptions'!$I$15,0,O6+O7+O8-O9+O10+O11-O12-O13)</f>
        <v>27162.0208292769</v>
      </c>
      <c r="P14" s="726" t="n">
        <f aca="false">IF(P3&gt;'Project Assumptions'!$I$15,0,P6+P7+P8-P9+P10+P11-P12-P13)</f>
        <v>27728.2850893081</v>
      </c>
      <c r="Q14" s="726" t="n">
        <f aca="false">IF(Q3&gt;'Project Assumptions'!$I$15,0,Q6+Q7+Q8-Q9+Q10+Q11-Q12-Q13)</f>
        <v>28279.2518634069</v>
      </c>
      <c r="R14" s="726" t="n">
        <f aca="false">IF(R3&gt;'Project Assumptions'!$I$15,0,R6+R7+R8-R9+R10+R11-R12-R13)</f>
        <v>28813.7536156817</v>
      </c>
      <c r="S14" s="726" t="n">
        <f aca="false">IF(S3&gt;'Project Assumptions'!$I$15,0,S6+S7+S8-S9+S10+S11-S12-S13)</f>
        <v>29330.5665258248</v>
      </c>
      <c r="T14" s="726" t="n">
        <f aca="false">IF(T3&gt;'Project Assumptions'!$I$15,0,T6+T7+T8-T9+T10+T11-T12-T13)</f>
        <v>26297.4233983295</v>
      </c>
      <c r="U14" s="726" t="n">
        <f aca="false">IF(U3&gt;'Project Assumptions'!$I$15,0,U6+U7+U8-U9+U10+U11-U12-U13)</f>
        <v>25651.3909532229</v>
      </c>
      <c r="V14" s="726" t="n">
        <f aca="false">IF(V3&gt;'Project Assumptions'!$I$15,0,V6+V7+V8-V9+V10+V11-V12-V13)</f>
        <v>24392.9736564855</v>
      </c>
      <c r="W14" s="726" t="n">
        <f aca="false">IF(W3&gt;'Project Assumptions'!$I$15,0,W6+W7+W8-W9+W10+W11-W12-W13)</f>
        <v>23990.8591983332</v>
      </c>
      <c r="X14" s="726" t="n">
        <f aca="false">IF(X3&gt;'Project Assumptions'!$I$15+1,0,X6+X7+X8-X9+X10+X11-X12-X13)</f>
        <v>13553.1071950229</v>
      </c>
      <c r="Y14" s="726" t="n">
        <f aca="false">IF(Y3&gt;'Project Assumptions'!$I$15,0,Y6+Y7+Y8-Y9+Y10+Y11-Y12-Y13)</f>
        <v>0</v>
      </c>
      <c r="Z14" s="726" t="n">
        <f aca="false">IF(Z3&gt;'Project Assumptions'!$I$15,0,Z6+Z7+Z8-Z9+Z10+Z11-Z12-Z13)</f>
        <v>0</v>
      </c>
      <c r="AA14" s="726" t="n">
        <f aca="false">IF(AA3&gt;'Project Assumptions'!$I$15,0,AA6+AA7+AA8-AA9+AA10+AA11-AA12-AA13)</f>
        <v>0</v>
      </c>
      <c r="AB14" s="727" t="n">
        <f aca="false">IF(AB3&gt;'Project Assumptions'!$I$15,0,AB6+AB7+AB8-AB9+AB10+AB11-AB12-AB13)</f>
        <v>0</v>
      </c>
      <c r="AC14" s="0"/>
      <c r="AD14" s="0"/>
      <c r="AE14" s="0"/>
      <c r="AF14" s="0"/>
      <c r="AG14" s="0"/>
      <c r="AU14" s="723"/>
    </row>
    <row r="15" customFormat="false" ht="12.6" hidden="false" customHeight="true" outlineLevel="0" collapsed="false">
      <c r="A15" s="410"/>
      <c r="B15" s="385"/>
      <c r="C15" s="625"/>
      <c r="D15" s="726"/>
      <c r="E15" s="726"/>
      <c r="F15" s="726"/>
      <c r="G15" s="726"/>
      <c r="H15" s="726"/>
      <c r="I15" s="726"/>
      <c r="J15" s="726"/>
      <c r="K15" s="726"/>
      <c r="L15" s="726"/>
      <c r="M15" s="726"/>
      <c r="N15" s="726"/>
      <c r="O15" s="726"/>
      <c r="P15" s="726"/>
      <c r="Q15" s="726"/>
      <c r="R15" s="726"/>
      <c r="S15" s="726"/>
      <c r="T15" s="726"/>
      <c r="U15" s="726"/>
      <c r="V15" s="726"/>
      <c r="W15" s="726"/>
      <c r="X15" s="726"/>
      <c r="Y15" s="726"/>
      <c r="Z15" s="726"/>
      <c r="AA15" s="726"/>
      <c r="AB15" s="727"/>
      <c r="AF15" s="723"/>
      <c r="AU15" s="723"/>
    </row>
    <row r="16" customFormat="false" ht="12.6" hidden="false" customHeight="true" outlineLevel="0" collapsed="false">
      <c r="A16" s="410" t="s">
        <v>547</v>
      </c>
      <c r="B16" s="385"/>
      <c r="C16" s="625"/>
      <c r="D16" s="726" t="n">
        <v>0</v>
      </c>
      <c r="E16" s="726" t="n">
        <v>0</v>
      </c>
      <c r="F16" s="726" t="n">
        <v>0</v>
      </c>
      <c r="G16" s="726" t="n">
        <v>0</v>
      </c>
      <c r="H16" s="726" t="n">
        <v>0</v>
      </c>
      <c r="I16" s="726" t="n">
        <v>0</v>
      </c>
      <c r="J16" s="726" t="n">
        <v>0</v>
      </c>
      <c r="K16" s="726" t="n">
        <v>0</v>
      </c>
      <c r="L16" s="726" t="n">
        <v>0</v>
      </c>
      <c r="M16" s="726" t="n">
        <v>0</v>
      </c>
      <c r="N16" s="726" t="n">
        <v>0</v>
      </c>
      <c r="O16" s="726" t="n">
        <v>0</v>
      </c>
      <c r="P16" s="726" t="n">
        <v>0</v>
      </c>
      <c r="Q16" s="726" t="n">
        <v>0</v>
      </c>
      <c r="R16" s="726" t="n">
        <v>0</v>
      </c>
      <c r="S16" s="726" t="n">
        <v>0</v>
      </c>
      <c r="T16" s="726" t="n">
        <v>0</v>
      </c>
      <c r="U16" s="726" t="n">
        <v>0</v>
      </c>
      <c r="V16" s="726" t="n">
        <v>0</v>
      </c>
      <c r="W16" s="726" t="n">
        <v>0</v>
      </c>
      <c r="X16" s="726" t="n">
        <v>0</v>
      </c>
      <c r="Y16" s="726" t="n">
        <v>0</v>
      </c>
      <c r="Z16" s="726" t="n">
        <v>0</v>
      </c>
      <c r="AA16" s="726" t="n">
        <v>0</v>
      </c>
      <c r="AB16" s="726" t="n">
        <v>0</v>
      </c>
      <c r="AF16" s="723"/>
      <c r="AU16" s="723"/>
    </row>
    <row r="17" customFormat="false" ht="12.6" hidden="false" customHeight="true" outlineLevel="0" collapsed="false">
      <c r="A17" s="410" t="s">
        <v>548</v>
      </c>
      <c r="B17" s="385"/>
      <c r="C17" s="717" t="n">
        <f aca="false">SUM(D17:AD17)</f>
        <v>0</v>
      </c>
      <c r="D17" s="726" t="n">
        <v>0</v>
      </c>
      <c r="E17" s="726" t="n">
        <v>0</v>
      </c>
      <c r="F17" s="726" t="n">
        <v>0</v>
      </c>
      <c r="G17" s="726" t="n">
        <v>0</v>
      </c>
      <c r="H17" s="726" t="n">
        <v>0</v>
      </c>
      <c r="I17" s="726" t="n">
        <v>0</v>
      </c>
      <c r="J17" s="726" t="n">
        <v>0</v>
      </c>
      <c r="K17" s="726" t="n">
        <v>0</v>
      </c>
      <c r="L17" s="726" t="n">
        <v>0</v>
      </c>
      <c r="M17" s="726" t="n">
        <v>0</v>
      </c>
      <c r="N17" s="726" t="n">
        <v>0</v>
      </c>
      <c r="O17" s="726" t="n">
        <v>0</v>
      </c>
      <c r="P17" s="726" t="n">
        <v>0</v>
      </c>
      <c r="Q17" s="726" t="n">
        <v>0</v>
      </c>
      <c r="R17" s="726" t="n">
        <v>0</v>
      </c>
      <c r="S17" s="726" t="n">
        <v>0</v>
      </c>
      <c r="T17" s="726" t="n">
        <v>0</v>
      </c>
      <c r="U17" s="726" t="n">
        <v>0</v>
      </c>
      <c r="V17" s="726" t="n">
        <v>0</v>
      </c>
      <c r="W17" s="726" t="n">
        <v>0</v>
      </c>
      <c r="X17" s="726" t="n">
        <v>0</v>
      </c>
      <c r="Y17" s="726" t="n">
        <v>0</v>
      </c>
      <c r="Z17" s="726" t="n">
        <v>0</v>
      </c>
      <c r="AA17" s="726" t="n">
        <v>0</v>
      </c>
      <c r="AB17" s="726" t="n">
        <v>0</v>
      </c>
      <c r="AE17" s="708"/>
      <c r="AF17" s="732"/>
      <c r="AG17" s="708"/>
      <c r="AH17" s="708"/>
      <c r="AI17" s="708"/>
      <c r="AJ17" s="708"/>
      <c r="AK17" s="708"/>
      <c r="AL17" s="708"/>
      <c r="AM17" s="708"/>
      <c r="AN17" s="708"/>
      <c r="AO17" s="708"/>
      <c r="AP17" s="708"/>
      <c r="AQ17" s="708"/>
      <c r="AR17" s="708"/>
      <c r="AS17" s="708"/>
      <c r="AT17" s="708"/>
      <c r="AU17" s="732"/>
      <c r="AV17" s="708"/>
      <c r="AW17" s="708"/>
      <c r="AX17" s="708"/>
      <c r="AY17" s="708"/>
      <c r="AZ17" s="708"/>
      <c r="BA17" s="708"/>
      <c r="BB17" s="708"/>
      <c r="BC17" s="708"/>
      <c r="BD17" s="708"/>
      <c r="BE17" s="708"/>
      <c r="BF17" s="708"/>
      <c r="BG17" s="708"/>
      <c r="BH17" s="708"/>
      <c r="BI17" s="708"/>
      <c r="BJ17" s="708"/>
      <c r="BK17" s="708"/>
      <c r="BL17" s="708"/>
      <c r="BM17" s="708"/>
      <c r="BN17" s="708"/>
      <c r="BO17" s="708"/>
      <c r="BP17" s="708"/>
      <c r="BQ17" s="708"/>
      <c r="BR17" s="708"/>
      <c r="BS17" s="708"/>
      <c r="BT17" s="708"/>
      <c r="BU17" s="708"/>
      <c r="BV17" s="708"/>
      <c r="BW17" s="708"/>
      <c r="BX17" s="708"/>
      <c r="BY17" s="708"/>
      <c r="BZ17" s="708"/>
      <c r="CA17" s="708"/>
      <c r="CB17" s="708"/>
      <c r="CC17" s="708"/>
      <c r="CD17" s="708"/>
      <c r="CE17" s="708"/>
      <c r="CF17" s="708"/>
      <c r="CG17" s="708"/>
      <c r="CH17" s="708"/>
      <c r="CI17" s="708"/>
      <c r="CJ17" s="708"/>
      <c r="CK17" s="708"/>
      <c r="CL17" s="708"/>
      <c r="CM17" s="708"/>
      <c r="CN17" s="708"/>
      <c r="CO17" s="708"/>
      <c r="CP17" s="708"/>
      <c r="CQ17" s="708"/>
      <c r="CR17" s="708"/>
      <c r="CS17" s="708"/>
      <c r="CT17" s="708"/>
      <c r="CU17" s="708"/>
      <c r="CV17" s="708"/>
      <c r="CW17" s="708"/>
      <c r="CX17" s="708"/>
      <c r="CY17" s="708"/>
      <c r="CZ17" s="708"/>
      <c r="DA17" s="708"/>
      <c r="DB17" s="708"/>
      <c r="DC17" s="708"/>
      <c r="DD17" s="708"/>
      <c r="DE17" s="708"/>
      <c r="DF17" s="708"/>
      <c r="DG17" s="708"/>
      <c r="DH17" s="708"/>
      <c r="DI17" s="708"/>
      <c r="DJ17" s="708"/>
      <c r="DK17" s="708"/>
      <c r="DL17" s="708"/>
      <c r="DM17" s="708"/>
      <c r="DN17" s="708"/>
      <c r="DO17" s="708"/>
      <c r="DP17" s="708"/>
      <c r="DQ17" s="708"/>
      <c r="DR17" s="708"/>
      <c r="DS17" s="708"/>
      <c r="DT17" s="708"/>
      <c r="DU17" s="708"/>
      <c r="DV17" s="708"/>
      <c r="DW17" s="708"/>
      <c r="DX17" s="708"/>
      <c r="DY17" s="708"/>
      <c r="DZ17" s="708"/>
      <c r="EA17" s="708"/>
      <c r="EB17" s="708"/>
      <c r="EC17" s="708"/>
      <c r="ED17" s="708"/>
      <c r="EE17" s="708"/>
      <c r="EF17" s="708"/>
      <c r="EG17" s="708"/>
      <c r="EH17" s="708"/>
      <c r="EI17" s="708"/>
      <c r="EJ17" s="708"/>
      <c r="EK17" s="708"/>
      <c r="EL17" s="708"/>
      <c r="EM17" s="708"/>
      <c r="EN17" s="708"/>
      <c r="EO17" s="708"/>
      <c r="EP17" s="708"/>
      <c r="EQ17" s="708"/>
      <c r="ER17" s="708"/>
      <c r="ES17" s="708"/>
      <c r="ET17" s="708"/>
      <c r="EU17" s="708"/>
      <c r="EV17" s="708"/>
      <c r="EW17" s="708"/>
      <c r="EX17" s="708"/>
      <c r="EY17" s="708"/>
      <c r="EZ17" s="708"/>
      <c r="FA17" s="708"/>
      <c r="FB17" s="708"/>
      <c r="FC17" s="708"/>
      <c r="FD17" s="708"/>
      <c r="FE17" s="708"/>
      <c r="FF17" s="708"/>
      <c r="FG17" s="708"/>
      <c r="FH17" s="708"/>
      <c r="FI17" s="708"/>
      <c r="FJ17" s="708"/>
      <c r="FK17" s="708"/>
      <c r="FL17" s="708"/>
      <c r="FM17" s="708"/>
      <c r="FN17" s="708"/>
      <c r="FO17" s="708"/>
      <c r="FP17" s="708"/>
      <c r="FQ17" s="708"/>
      <c r="FR17" s="708"/>
      <c r="FS17" s="708"/>
      <c r="FT17" s="708"/>
      <c r="FU17" s="708"/>
      <c r="FV17" s="708"/>
      <c r="FW17" s="708"/>
      <c r="FX17" s="708"/>
      <c r="FY17" s="708"/>
      <c r="FZ17" s="708"/>
      <c r="GA17" s="708"/>
      <c r="GB17" s="708"/>
      <c r="GC17" s="708"/>
      <c r="GD17" s="708"/>
      <c r="GE17" s="708"/>
      <c r="GF17" s="708"/>
      <c r="GG17" s="708"/>
      <c r="GH17" s="708"/>
      <c r="GI17" s="708"/>
      <c r="GJ17" s="708"/>
      <c r="GK17" s="708"/>
      <c r="GL17" s="708"/>
      <c r="GM17" s="708"/>
      <c r="GN17" s="708"/>
      <c r="GO17" s="708"/>
      <c r="GP17" s="708"/>
      <c r="GQ17" s="708"/>
      <c r="GR17" s="708"/>
      <c r="GS17" s="708"/>
      <c r="GT17" s="708"/>
      <c r="GU17" s="708"/>
      <c r="GV17" s="708"/>
      <c r="GW17" s="708"/>
      <c r="GX17" s="708"/>
      <c r="GY17" s="708"/>
      <c r="GZ17" s="708"/>
      <c r="HA17" s="708"/>
      <c r="HB17" s="708"/>
      <c r="HC17" s="708"/>
      <c r="HD17" s="708"/>
      <c r="HE17" s="708"/>
      <c r="HF17" s="708"/>
      <c r="HG17" s="708"/>
      <c r="HH17" s="708"/>
      <c r="HI17" s="708"/>
      <c r="HJ17" s="708"/>
      <c r="HK17" s="708"/>
      <c r="HL17" s="708"/>
      <c r="HM17" s="708"/>
      <c r="HN17" s="708"/>
      <c r="HO17" s="708"/>
      <c r="HP17" s="708"/>
      <c r="HQ17" s="708"/>
      <c r="HR17" s="708"/>
      <c r="HS17" s="708"/>
      <c r="HT17" s="708"/>
      <c r="HU17" s="708"/>
      <c r="HV17" s="708"/>
      <c r="HW17" s="708"/>
      <c r="HX17" s="708"/>
      <c r="HY17" s="708"/>
      <c r="HZ17" s="708"/>
      <c r="IA17" s="708"/>
      <c r="IB17" s="708"/>
      <c r="IC17" s="708"/>
      <c r="ID17" s="708"/>
      <c r="IE17" s="708"/>
      <c r="IF17" s="708"/>
      <c r="IG17" s="708"/>
      <c r="IH17" s="708"/>
      <c r="II17" s="708"/>
      <c r="IJ17" s="708"/>
      <c r="IK17" s="708"/>
      <c r="IL17" s="708"/>
      <c r="IM17" s="708"/>
      <c r="IN17" s="708"/>
      <c r="IO17" s="708"/>
      <c r="IP17" s="708"/>
      <c r="IQ17" s="708"/>
      <c r="IR17" s="708"/>
      <c r="IS17" s="708"/>
      <c r="IT17" s="708"/>
      <c r="IU17" s="708"/>
      <c r="IV17" s="708"/>
      <c r="IW17" s="708"/>
    </row>
    <row r="18" customFormat="false" ht="12.6" hidden="false" customHeight="true" outlineLevel="0" collapsed="false">
      <c r="A18" s="410" t="s">
        <v>549</v>
      </c>
      <c r="B18" s="385"/>
      <c r="C18" s="717"/>
      <c r="D18" s="726" t="n">
        <v>0</v>
      </c>
      <c r="E18" s="726" t="n">
        <v>0</v>
      </c>
      <c r="F18" s="726" t="n">
        <v>0</v>
      </c>
      <c r="G18" s="726" t="n">
        <v>0</v>
      </c>
      <c r="H18" s="726" t="n">
        <v>0</v>
      </c>
      <c r="I18" s="726" t="n">
        <v>0</v>
      </c>
      <c r="J18" s="726" t="n">
        <v>0</v>
      </c>
      <c r="K18" s="726" t="n">
        <v>0</v>
      </c>
      <c r="L18" s="726" t="n">
        <v>0</v>
      </c>
      <c r="M18" s="726" t="n">
        <v>0</v>
      </c>
      <c r="N18" s="726" t="n">
        <v>0</v>
      </c>
      <c r="O18" s="726" t="n">
        <v>0</v>
      </c>
      <c r="P18" s="726" t="n">
        <v>0</v>
      </c>
      <c r="Q18" s="726" t="n">
        <v>0</v>
      </c>
      <c r="R18" s="726" t="n">
        <v>0</v>
      </c>
      <c r="S18" s="726" t="n">
        <v>0</v>
      </c>
      <c r="T18" s="726" t="n">
        <v>0</v>
      </c>
      <c r="U18" s="726" t="n">
        <v>0</v>
      </c>
      <c r="V18" s="726" t="n">
        <v>0</v>
      </c>
      <c r="W18" s="726" t="n">
        <v>0</v>
      </c>
      <c r="X18" s="726" t="n">
        <v>0</v>
      </c>
      <c r="Y18" s="726" t="n">
        <v>0</v>
      </c>
      <c r="Z18" s="726" t="n">
        <v>0</v>
      </c>
      <c r="AA18" s="726" t="n">
        <v>0</v>
      </c>
      <c r="AB18" s="727" t="n">
        <v>0</v>
      </c>
      <c r="AE18" s="708"/>
      <c r="AF18" s="732"/>
      <c r="AG18" s="708"/>
      <c r="AH18" s="708"/>
      <c r="AI18" s="708"/>
      <c r="AJ18" s="708"/>
      <c r="AK18" s="708"/>
      <c r="AL18" s="708"/>
      <c r="AM18" s="708"/>
      <c r="AN18" s="708"/>
      <c r="AO18" s="708"/>
      <c r="AP18" s="708"/>
      <c r="AQ18" s="708"/>
      <c r="AR18" s="708"/>
      <c r="AS18" s="708"/>
      <c r="AT18" s="708"/>
      <c r="AU18" s="732"/>
      <c r="AV18" s="708"/>
      <c r="AW18" s="708"/>
      <c r="AX18" s="708"/>
      <c r="AY18" s="708"/>
      <c r="AZ18" s="708"/>
      <c r="BA18" s="708"/>
      <c r="BB18" s="708"/>
      <c r="BC18" s="708"/>
      <c r="BD18" s="708"/>
      <c r="BE18" s="708"/>
      <c r="BF18" s="708"/>
      <c r="BG18" s="708"/>
      <c r="BH18" s="708"/>
      <c r="BI18" s="708"/>
      <c r="BJ18" s="708"/>
      <c r="BK18" s="708"/>
      <c r="BL18" s="708"/>
      <c r="BM18" s="708"/>
      <c r="BN18" s="708"/>
      <c r="BO18" s="708"/>
      <c r="BP18" s="708"/>
      <c r="BQ18" s="708"/>
      <c r="BR18" s="708"/>
      <c r="BS18" s="708"/>
      <c r="BT18" s="708"/>
      <c r="BU18" s="708"/>
      <c r="BV18" s="708"/>
      <c r="BW18" s="708"/>
      <c r="BX18" s="708"/>
      <c r="BY18" s="708"/>
      <c r="BZ18" s="708"/>
      <c r="CA18" s="708"/>
      <c r="CB18" s="708"/>
      <c r="CC18" s="708"/>
      <c r="CD18" s="708"/>
      <c r="CE18" s="708"/>
      <c r="CF18" s="708"/>
      <c r="CG18" s="708"/>
      <c r="CH18" s="708"/>
      <c r="CI18" s="708"/>
      <c r="CJ18" s="708"/>
      <c r="CK18" s="708"/>
      <c r="CL18" s="708"/>
      <c r="CM18" s="708"/>
      <c r="CN18" s="708"/>
      <c r="CO18" s="708"/>
      <c r="CP18" s="708"/>
      <c r="CQ18" s="708"/>
      <c r="CR18" s="708"/>
      <c r="CS18" s="708"/>
      <c r="CT18" s="708"/>
      <c r="CU18" s="708"/>
      <c r="CV18" s="708"/>
      <c r="CW18" s="708"/>
      <c r="CX18" s="708"/>
      <c r="CY18" s="708"/>
      <c r="CZ18" s="708"/>
      <c r="DA18" s="708"/>
      <c r="DB18" s="708"/>
      <c r="DC18" s="708"/>
      <c r="DD18" s="708"/>
      <c r="DE18" s="708"/>
      <c r="DF18" s="708"/>
      <c r="DG18" s="708"/>
      <c r="DH18" s="708"/>
      <c r="DI18" s="708"/>
      <c r="DJ18" s="708"/>
      <c r="DK18" s="708"/>
      <c r="DL18" s="708"/>
      <c r="DM18" s="708"/>
      <c r="DN18" s="708"/>
      <c r="DO18" s="708"/>
      <c r="DP18" s="708"/>
      <c r="DQ18" s="708"/>
      <c r="DR18" s="708"/>
      <c r="DS18" s="708"/>
      <c r="DT18" s="708"/>
      <c r="DU18" s="708"/>
      <c r="DV18" s="708"/>
      <c r="DW18" s="708"/>
      <c r="DX18" s="708"/>
      <c r="DY18" s="708"/>
      <c r="DZ18" s="708"/>
      <c r="EA18" s="708"/>
      <c r="EB18" s="708"/>
      <c r="EC18" s="708"/>
      <c r="ED18" s="708"/>
      <c r="EE18" s="708"/>
      <c r="EF18" s="708"/>
      <c r="EG18" s="708"/>
      <c r="EH18" s="708"/>
      <c r="EI18" s="708"/>
      <c r="EJ18" s="708"/>
      <c r="EK18" s="708"/>
      <c r="EL18" s="708"/>
      <c r="EM18" s="708"/>
      <c r="EN18" s="708"/>
      <c r="EO18" s="708"/>
      <c r="EP18" s="708"/>
      <c r="EQ18" s="708"/>
      <c r="ER18" s="708"/>
      <c r="ES18" s="708"/>
      <c r="ET18" s="708"/>
      <c r="EU18" s="708"/>
      <c r="EV18" s="708"/>
      <c r="EW18" s="708"/>
      <c r="EX18" s="708"/>
      <c r="EY18" s="708"/>
      <c r="EZ18" s="708"/>
      <c r="FA18" s="708"/>
      <c r="FB18" s="708"/>
      <c r="FC18" s="708"/>
      <c r="FD18" s="708"/>
      <c r="FE18" s="708"/>
      <c r="FF18" s="708"/>
      <c r="FG18" s="708"/>
      <c r="FH18" s="708"/>
      <c r="FI18" s="708"/>
      <c r="FJ18" s="708"/>
      <c r="FK18" s="708"/>
      <c r="FL18" s="708"/>
      <c r="FM18" s="708"/>
      <c r="FN18" s="708"/>
      <c r="FO18" s="708"/>
      <c r="FP18" s="708"/>
      <c r="FQ18" s="708"/>
      <c r="FR18" s="708"/>
      <c r="FS18" s="708"/>
      <c r="FT18" s="708"/>
      <c r="FU18" s="708"/>
      <c r="FV18" s="708"/>
      <c r="FW18" s="708"/>
      <c r="FX18" s="708"/>
      <c r="FY18" s="708"/>
      <c r="FZ18" s="708"/>
      <c r="GA18" s="708"/>
      <c r="GB18" s="708"/>
      <c r="GC18" s="708"/>
      <c r="GD18" s="708"/>
      <c r="GE18" s="708"/>
      <c r="GF18" s="708"/>
      <c r="GG18" s="708"/>
      <c r="GH18" s="708"/>
      <c r="GI18" s="708"/>
      <c r="GJ18" s="708"/>
      <c r="GK18" s="708"/>
      <c r="GL18" s="708"/>
      <c r="GM18" s="708"/>
      <c r="GN18" s="708"/>
      <c r="GO18" s="708"/>
      <c r="GP18" s="708"/>
      <c r="GQ18" s="708"/>
      <c r="GR18" s="708"/>
      <c r="GS18" s="708"/>
      <c r="GT18" s="708"/>
      <c r="GU18" s="708"/>
      <c r="GV18" s="708"/>
      <c r="GW18" s="708"/>
      <c r="GX18" s="708"/>
      <c r="GY18" s="708"/>
      <c r="GZ18" s="708"/>
      <c r="HA18" s="708"/>
      <c r="HB18" s="708"/>
      <c r="HC18" s="708"/>
      <c r="HD18" s="708"/>
      <c r="HE18" s="708"/>
      <c r="HF18" s="708"/>
      <c r="HG18" s="708"/>
      <c r="HH18" s="708"/>
      <c r="HI18" s="708"/>
      <c r="HJ18" s="708"/>
      <c r="HK18" s="708"/>
      <c r="HL18" s="708"/>
      <c r="HM18" s="708"/>
      <c r="HN18" s="708"/>
      <c r="HO18" s="708"/>
      <c r="HP18" s="708"/>
      <c r="HQ18" s="708"/>
      <c r="HR18" s="708"/>
      <c r="HS18" s="708"/>
      <c r="HT18" s="708"/>
      <c r="HU18" s="708"/>
      <c r="HV18" s="708"/>
      <c r="HW18" s="708"/>
      <c r="HX18" s="708"/>
      <c r="HY18" s="708"/>
      <c r="HZ18" s="708"/>
      <c r="IA18" s="708"/>
      <c r="IB18" s="708"/>
      <c r="IC18" s="708"/>
      <c r="ID18" s="708"/>
      <c r="IE18" s="708"/>
      <c r="IF18" s="708"/>
      <c r="IG18" s="708"/>
      <c r="IH18" s="708"/>
      <c r="II18" s="708"/>
      <c r="IJ18" s="708"/>
      <c r="IK18" s="708"/>
      <c r="IL18" s="708"/>
      <c r="IM18" s="708"/>
      <c r="IN18" s="708"/>
      <c r="IO18" s="708"/>
      <c r="IP18" s="708"/>
      <c r="IQ18" s="708"/>
      <c r="IR18" s="708"/>
      <c r="IS18" s="708"/>
      <c r="IT18" s="708"/>
      <c r="IU18" s="708"/>
      <c r="IV18" s="708"/>
      <c r="IW18" s="708"/>
    </row>
    <row r="19" customFormat="false" ht="12.6" hidden="false" customHeight="true" outlineLevel="0" collapsed="false">
      <c r="A19" s="410"/>
      <c r="B19" s="385"/>
      <c r="C19" s="717"/>
      <c r="D19" s="733"/>
      <c r="E19" s="385"/>
      <c r="F19" s="385"/>
      <c r="G19" s="385"/>
      <c r="H19" s="385"/>
      <c r="I19" s="385"/>
      <c r="J19" s="385"/>
      <c r="K19" s="385"/>
      <c r="L19" s="385"/>
      <c r="M19" s="385"/>
      <c r="N19" s="385"/>
      <c r="O19" s="385"/>
      <c r="P19" s="385"/>
      <c r="Q19" s="385"/>
      <c r="R19" s="385"/>
      <c r="S19" s="385"/>
      <c r="T19" s="385"/>
      <c r="U19" s="385"/>
      <c r="V19" s="385"/>
      <c r="W19" s="385"/>
      <c r="X19" s="385"/>
      <c r="Y19" s="385"/>
      <c r="Z19" s="385"/>
      <c r="AA19" s="385"/>
      <c r="AB19" s="415"/>
      <c r="AF19" s="723"/>
      <c r="AU19" s="723"/>
    </row>
    <row r="20" customFormat="false" ht="12.6" hidden="false" customHeight="true" outlineLevel="0" collapsed="false">
      <c r="A20" s="716" t="s">
        <v>550</v>
      </c>
      <c r="B20" s="734"/>
      <c r="C20" s="735" t="n">
        <f aca="false">SUM(C6:C13)</f>
        <v>897328.019902002</v>
      </c>
      <c r="D20" s="721" t="n">
        <f aca="false">IF(D3&gt;'Project Assumptions'!$I$15,0,D6+D7+D8-D9+D10+D11-D12-D13-D17-D18-D16)</f>
        <v>-2251.19021568476</v>
      </c>
      <c r="E20" s="721" t="n">
        <f aca="false">IF(E3&gt;'Project Assumptions'!$I$15,0,E6+E7+E8-E9+E10+E11-E12-E13-E17-E18-E16)</f>
        <v>7264.08962391495</v>
      </c>
      <c r="F20" s="721" t="n">
        <f aca="false">IF(F3&gt;'Project Assumptions'!$I$15,0,F6+F7+F8-F9+F10+F11-F12-F13-F17-F18-F16)</f>
        <v>5587.01817491304</v>
      </c>
      <c r="G20" s="721" t="n">
        <f aca="false">IF(G3&gt;'Project Assumptions'!$I$15,0,G6+G7+G8-G9+G10+G11-G12-G13-G17-G18-G16)</f>
        <v>9092.5142688509</v>
      </c>
      <c r="H20" s="721" t="n">
        <f aca="false">IF(H3&gt;'Project Assumptions'!$I$15,0,H6+H7+H8-H9+H10+H11-H12-H13-H17-H18-H16)</f>
        <v>17472.0313892717</v>
      </c>
      <c r="I20" s="721" t="n">
        <f aca="false">IF(I3&gt;'Project Assumptions'!$I$15,0,I6+I7+I8-I9+I10+I11-I12-I13-I17-I18-I16)</f>
        <v>18184.7205770776</v>
      </c>
      <c r="J20" s="721" t="n">
        <f aca="false">IF(J3&gt;'Project Assumptions'!$I$15,0,J6+J7+J8-J9+J10+J11-J12-J13-J17-J18-J16)</f>
        <v>18181.0120932851</v>
      </c>
      <c r="K20" s="721" t="n">
        <f aca="false">IF(K3&gt;'Project Assumptions'!$I$15,0,K6+K7+K8-K9+K10+K11-K12-K13-K17-K18-K16)</f>
        <v>19609.3560602113</v>
      </c>
      <c r="L20" s="721" t="n">
        <f aca="false">IF(L3&gt;'Project Assumptions'!$I$15,0,L6+L7+L8-L9+L10+L11-L12-L13-L17-L18-L16)</f>
        <v>16443.5784296521</v>
      </c>
      <c r="M20" s="721" t="n">
        <f aca="false">IF(M3&gt;'Project Assumptions'!$I$15,0,M6+M7+M8-M9+M10+M11-M12-M13-M17-M18-M16)</f>
        <v>15538.4210282318</v>
      </c>
      <c r="N20" s="721" t="n">
        <f aca="false">IF(N3&gt;'Project Assumptions'!$I$15,0,N6+N7+N8-N9+N10+N11-N12-N13-N17-N18-N16)</f>
        <v>26603.3874107062</v>
      </c>
      <c r="O20" s="721" t="n">
        <f aca="false">IF(O3&gt;'Project Assumptions'!$I$15,0,O6+O7+O8-O9+O10+O11-O12-O13-O17-O18-O16)</f>
        <v>27162.0208292769</v>
      </c>
      <c r="P20" s="721" t="n">
        <f aca="false">IF(P3&gt;'Project Assumptions'!$I$15,0,P6+P7+P8-P9+P10+P11-P12-P13-P17-P18-P16)</f>
        <v>27728.2850893081</v>
      </c>
      <c r="Q20" s="721" t="n">
        <f aca="false">IF(Q3&gt;'Project Assumptions'!$I$15,0,Q6+Q7+Q8-Q9+Q10+Q11-Q12-Q13-Q17-Q18-Q16)</f>
        <v>28279.2518634069</v>
      </c>
      <c r="R20" s="721" t="n">
        <f aca="false">IF(R3&gt;'Project Assumptions'!$I$15,0,R6+R7+R8-R9+R10+R11-R12-R13-R17-R18-R16)</f>
        <v>28813.7536156817</v>
      </c>
      <c r="S20" s="721" t="n">
        <f aca="false">IF(S3&gt;'Project Assumptions'!$I$15,0,S6+S7+S8-S9+S10+S11-S12-S13-S17-S18-S16)</f>
        <v>29330.5665258248</v>
      </c>
      <c r="T20" s="721" t="n">
        <f aca="false">IF(T3&gt;'Project Assumptions'!$I$15,0,T6+T7+T8-T9+T10+T11-T12-T13-T17-T18-T16)</f>
        <v>26297.4233983295</v>
      </c>
      <c r="U20" s="721" t="n">
        <f aca="false">IF(U3&gt;'Project Assumptions'!$I$15,0,U6+U7+U8-U9+U10+U11-U12-U13-U17-U18-U16)</f>
        <v>25651.3909532229</v>
      </c>
      <c r="V20" s="721" t="n">
        <f aca="false">IF(V3&gt;'Project Assumptions'!$I$15,0,V6+V7+V8-V9+V10+V11-V12-V13-V17-V18-V16)</f>
        <v>24392.9736564855</v>
      </c>
      <c r="W20" s="721" t="n">
        <f aca="false">IF(W3&gt;'Project Assumptions'!$I$15,0,W6+W7+W8-W9+W10+W11-W12-W13-W17-W18-W16)</f>
        <v>23990.8591983332</v>
      </c>
      <c r="X20" s="721" t="n">
        <f aca="false">IF(X3&gt;'Project Assumptions'!$I$15+1,0,X6+X7+X8-X9+X10+X11-X12-X13-X17-X18-X16)</f>
        <v>13553.1071950229</v>
      </c>
      <c r="Y20" s="721" t="n">
        <f aca="false">IF(Y3&gt;'Project Assumptions'!$I$15,0,Y6+Y7+Y8-Y9+Y10+Y11-Y12-Y13-Y17-Y18-Y16)</f>
        <v>0</v>
      </c>
      <c r="Z20" s="721" t="n">
        <f aca="false">IF(Z3&gt;'Project Assumptions'!$I$15,0,Z6+Z7+Z8-Z9+Z10+Z11-Z12-Z13-Z17-Z18-Z16)</f>
        <v>0</v>
      </c>
      <c r="AA20" s="721" t="n">
        <f aca="false">IF(AA3&gt;'Project Assumptions'!$I$15,0,AA6+AA7+AA8-AA9+AA10+AA11-AA12-AA13-AA17-AA18-AA16)</f>
        <v>0</v>
      </c>
      <c r="AB20" s="722" t="n">
        <f aca="false">IF(AB3&gt;'Project Assumptions'!$I$15,0,AB6+AB7+AB8-AB9+AB10+AB11-AB12-AB13-AB17-AB18-AB16)</f>
        <v>0</v>
      </c>
      <c r="AC20" s="718"/>
      <c r="AD20" s="719"/>
      <c r="AF20" s="723"/>
      <c r="AP20" s="725"/>
      <c r="AQ20" s="725"/>
      <c r="AR20" s="725"/>
      <c r="AS20" s="725"/>
      <c r="AU20" s="723"/>
    </row>
    <row r="21" customFormat="false" ht="12.6" hidden="false" customHeight="true" outlineLevel="0" collapsed="false">
      <c r="A21" s="410" t="s">
        <v>551</v>
      </c>
      <c r="B21" s="33"/>
      <c r="C21" s="736"/>
      <c r="D21" s="511" t="n">
        <f aca="false">IF(D3&gt;'Project Assumptions'!$I$15,0,'Tax Calculations'!D51+'Tax Calculations'!D33)</f>
        <v>0</v>
      </c>
      <c r="E21" s="511" t="n">
        <f aca="false">IF(E3&gt;'Project Assumptions'!$I$15,0,'Tax Calculations'!E51+'Tax Calculations'!E33)</f>
        <v>0</v>
      </c>
      <c r="F21" s="511" t="n">
        <f aca="false">IF(F3&gt;'Project Assumptions'!$I$15,0,'Tax Calculations'!F51+'Tax Calculations'!F33)</f>
        <v>0</v>
      </c>
      <c r="G21" s="511" t="n">
        <f aca="false">IF(G3&gt;'Project Assumptions'!$I$15,0,'Tax Calculations'!G51+'Tax Calculations'!G33)</f>
        <v>0</v>
      </c>
      <c r="H21" s="511" t="n">
        <f aca="false">IF(H3&gt;'Project Assumptions'!$I$15,0,'Tax Calculations'!H51+'Tax Calculations'!H33)</f>
        <v>971.670042926039</v>
      </c>
      <c r="I21" s="511" t="n">
        <f aca="false">IF(I3&gt;'Project Assumptions'!$I$15,0,'Tax Calculations'!I51+'Tax Calculations'!I33)</f>
        <v>5101.28891597434</v>
      </c>
      <c r="J21" s="511" t="n">
        <f aca="false">IF(J3&gt;'Project Assumptions'!$I$15,0,'Tax Calculations'!J51+'Tax Calculations'!J33)</f>
        <v>5682.48100277922</v>
      </c>
      <c r="K21" s="511" t="n">
        <f aca="false">IF(K3&gt;'Project Assumptions'!$I$15,0,'Tax Calculations'!K51+'Tax Calculations'!K33)</f>
        <v>6252.05651469644</v>
      </c>
      <c r="L21" s="511" t="n">
        <f aca="false">IF(L3&gt;'Project Assumptions'!$I$15,0,'Tax Calculations'!L51+'Tax Calculations'!L33)</f>
        <v>6564.75792426351</v>
      </c>
      <c r="M21" s="511" t="n">
        <f aca="false">IF(M3&gt;'Project Assumptions'!$I$15,0,'Tax Calculations'!M51+'Tax Calculations'!M33)</f>
        <v>7269.28698348021</v>
      </c>
      <c r="N21" s="511" t="n">
        <f aca="false">IF(N3&gt;'Project Assumptions'!$I$15,0,'Tax Calculations'!N51+'Tax Calculations'!N33)</f>
        <v>7783.45240141946</v>
      </c>
      <c r="O21" s="511" t="n">
        <f aca="false">IF(O3&gt;'Project Assumptions'!$I$15,0,'Tax Calculations'!O51+'Tax Calculations'!O33)</f>
        <v>8287.02973837097</v>
      </c>
      <c r="P21" s="511" t="n">
        <f aca="false">IF(P3&gt;'Project Assumptions'!$I$15,0,'Tax Calculations'!P51+'Tax Calculations'!P33)</f>
        <v>8522.52797205942</v>
      </c>
      <c r="Q21" s="511" t="n">
        <f aca="false">IF(Q3&gt;'Project Assumptions'!$I$15,0,'Tax Calculations'!Q51+'Tax Calculations'!Q33)</f>
        <v>8737.97211452168</v>
      </c>
      <c r="R21" s="511" t="n">
        <f aca="false">IF(R3&gt;'Project Assumptions'!$I$15,0,'Tax Calculations'!R51+'Tax Calculations'!R33)</f>
        <v>8960.65020601697</v>
      </c>
      <c r="S21" s="511" t="n">
        <f aca="false">IF(S3&gt;'Project Assumptions'!$I$15,0,'Tax Calculations'!S51+'Tax Calculations'!S33)</f>
        <v>11216.4962282154</v>
      </c>
      <c r="T21" s="511" t="n">
        <f aca="false">IF(T3&gt;'Project Assumptions'!$I$15,0,'Tax Calculations'!T51+'Tax Calculations'!T33)</f>
        <v>13464.6849702934</v>
      </c>
      <c r="U21" s="511" t="n">
        <f aca="false">IF(U3&gt;'Project Assumptions'!$I$15,0,'Tax Calculations'!U51+'Tax Calculations'!U33)</f>
        <v>13774.0076148657</v>
      </c>
      <c r="V21" s="511" t="n">
        <f aca="false">IF(V3&gt;'Project Assumptions'!$I$15,0,'Tax Calculations'!V51+'Tax Calculations'!V33)</f>
        <v>14121.1951688129</v>
      </c>
      <c r="W21" s="511" t="n">
        <f aca="false">IF(W3&gt;'Project Assumptions'!$I$15,0,'Tax Calculations'!W51+'Tax Calculations'!W33)</f>
        <v>14528.9692108697</v>
      </c>
      <c r="X21" s="511" t="n">
        <f aca="false">IF(X3&gt;'Project Assumptions'!$I$15+1,0,'Tax Calculations'!X51+'Tax Calculations'!X33)</f>
        <v>5470.37289159111</v>
      </c>
      <c r="Y21" s="511" t="n">
        <f aca="false">IF(Y3&gt;'Project Assumptions'!$I$15,0,'Tax Calculations'!Y51+'Tax Calculations'!Y33)</f>
        <v>0</v>
      </c>
      <c r="Z21" s="511" t="n">
        <f aca="false">IF(Z3&gt;'Project Assumptions'!$I$15,0,'Tax Calculations'!Z51+'Tax Calculations'!Z33)</f>
        <v>0</v>
      </c>
      <c r="AA21" s="511" t="n">
        <f aca="false">IF(AA3&gt;'Project Assumptions'!$I$15,0,'Tax Calculations'!AA51+'Tax Calculations'!AA33)</f>
        <v>0</v>
      </c>
      <c r="AB21" s="512" t="n">
        <f aca="false">IF(AB3&gt;'Project Assumptions'!$I$15,0,'Tax Calculations'!AB51+'Tax Calculations'!AB33)</f>
        <v>0</v>
      </c>
      <c r="AC21" s="33"/>
      <c r="AD21" s="32"/>
      <c r="AE21" s="32"/>
      <c r="AF21" s="32"/>
      <c r="AG21" s="32"/>
      <c r="AH21" s="32"/>
      <c r="AI21" s="32"/>
      <c r="AJ21" s="32"/>
      <c r="AK21" s="32"/>
      <c r="AL21" s="32"/>
      <c r="AM21" s="32"/>
      <c r="AN21" s="32"/>
      <c r="AO21" s="32"/>
      <c r="AP21" s="32"/>
      <c r="AQ21" s="32"/>
      <c r="AR21" s="32"/>
      <c r="AS21" s="32"/>
      <c r="AT21" s="32"/>
      <c r="AU21" s="32"/>
      <c r="AV21" s="32"/>
      <c r="AW21" s="32"/>
      <c r="AX21" s="32"/>
      <c r="AY21" s="32"/>
      <c r="AZ21" s="32"/>
      <c r="BA21" s="32"/>
      <c r="BB21" s="32"/>
      <c r="BC21" s="32"/>
      <c r="BD21" s="32"/>
      <c r="BE21" s="32"/>
      <c r="BF21" s="32"/>
      <c r="BG21" s="32"/>
      <c r="BH21" s="32"/>
      <c r="BI21" s="32"/>
      <c r="BJ21" s="32"/>
      <c r="BK21" s="32"/>
      <c r="BL21" s="32"/>
      <c r="BM21" s="32"/>
      <c r="BN21" s="32"/>
      <c r="BO21" s="32"/>
      <c r="BP21" s="32"/>
      <c r="BQ21" s="32"/>
      <c r="BR21" s="32"/>
      <c r="BS21" s="32"/>
      <c r="BT21" s="32"/>
      <c r="BU21" s="32"/>
      <c r="BV21" s="32"/>
      <c r="BW21" s="32"/>
      <c r="BX21" s="32"/>
      <c r="BY21" s="32"/>
      <c r="BZ21" s="32"/>
      <c r="CA21" s="32"/>
      <c r="CB21" s="32"/>
      <c r="CC21" s="32"/>
      <c r="CD21" s="32"/>
      <c r="CE21" s="32"/>
      <c r="CF21" s="32"/>
      <c r="CG21" s="32"/>
      <c r="CH21" s="32"/>
      <c r="CI21" s="32"/>
      <c r="CJ21" s="32"/>
      <c r="CK21" s="32"/>
      <c r="CL21" s="32"/>
      <c r="CM21" s="32"/>
      <c r="CN21" s="32"/>
      <c r="CO21" s="32"/>
      <c r="CP21" s="32"/>
      <c r="CQ21" s="32"/>
      <c r="CR21" s="32"/>
      <c r="CS21" s="32"/>
      <c r="CT21" s="32"/>
      <c r="CU21" s="32"/>
      <c r="CV21" s="32"/>
      <c r="CW21" s="32"/>
      <c r="CX21" s="32"/>
      <c r="CY21" s="32"/>
      <c r="CZ21" s="32"/>
      <c r="DA21" s="32"/>
      <c r="DB21" s="32"/>
      <c r="DC21" s="32"/>
      <c r="DD21" s="32"/>
      <c r="DE21" s="32"/>
      <c r="DF21" s="32"/>
      <c r="DG21" s="32"/>
      <c r="DH21" s="32"/>
      <c r="DI21" s="32"/>
      <c r="DJ21" s="32"/>
      <c r="DK21" s="32"/>
      <c r="DL21" s="32"/>
      <c r="DM21" s="32"/>
      <c r="DN21" s="32"/>
      <c r="DO21" s="32"/>
      <c r="DP21" s="32"/>
      <c r="DQ21" s="32"/>
      <c r="DR21" s="32"/>
      <c r="DS21" s="32"/>
      <c r="DT21" s="32"/>
      <c r="DU21" s="32"/>
      <c r="DV21" s="32"/>
      <c r="DW21" s="32"/>
      <c r="DX21" s="32"/>
      <c r="DY21" s="32"/>
      <c r="DZ21" s="32"/>
      <c r="EA21" s="32"/>
      <c r="EB21" s="32"/>
      <c r="EC21" s="32"/>
      <c r="ED21" s="32"/>
      <c r="EE21" s="32"/>
      <c r="EF21" s="32"/>
      <c r="EG21" s="32"/>
      <c r="EH21" s="32"/>
      <c r="EI21" s="32"/>
      <c r="EJ21" s="32"/>
      <c r="EK21" s="32"/>
      <c r="EL21" s="32"/>
      <c r="EM21" s="32"/>
      <c r="EN21" s="32"/>
      <c r="EO21" s="32"/>
      <c r="EP21" s="32"/>
      <c r="EQ21" s="32"/>
      <c r="ER21" s="32"/>
      <c r="ES21" s="32"/>
      <c r="ET21" s="32"/>
      <c r="EU21" s="32"/>
      <c r="EV21" s="32"/>
      <c r="EW21" s="32"/>
      <c r="EX21" s="32"/>
      <c r="EY21" s="32"/>
      <c r="EZ21" s="32"/>
      <c r="FA21" s="32"/>
      <c r="FB21" s="32"/>
      <c r="FC21" s="32"/>
      <c r="FD21" s="32"/>
      <c r="FE21" s="32"/>
      <c r="FF21" s="32"/>
      <c r="FG21" s="32"/>
      <c r="FH21" s="32"/>
      <c r="FI21" s="32"/>
      <c r="FJ21" s="32"/>
      <c r="FK21" s="32"/>
      <c r="FL21" s="32"/>
      <c r="FM21" s="32"/>
      <c r="FN21" s="32"/>
      <c r="FO21" s="32"/>
      <c r="FP21" s="32"/>
      <c r="FQ21" s="32"/>
      <c r="FR21" s="32"/>
      <c r="FS21" s="32"/>
      <c r="FT21" s="32"/>
      <c r="FU21" s="32"/>
      <c r="FV21" s="32"/>
      <c r="FW21" s="32"/>
      <c r="FX21" s="32"/>
      <c r="FY21" s="32"/>
      <c r="FZ21" s="32"/>
      <c r="GA21" s="32"/>
      <c r="GB21" s="32"/>
      <c r="GC21" s="32"/>
      <c r="GD21" s="32"/>
      <c r="GE21" s="32"/>
      <c r="GF21" s="32"/>
      <c r="GG21" s="32"/>
      <c r="GH21" s="32"/>
      <c r="GI21" s="32"/>
      <c r="GJ21" s="32"/>
      <c r="GK21" s="32"/>
      <c r="GL21" s="32"/>
      <c r="GM21" s="32"/>
      <c r="GN21" s="32"/>
      <c r="GO21" s="32"/>
      <c r="GP21" s="32"/>
      <c r="GQ21" s="32"/>
      <c r="GR21" s="32"/>
      <c r="GS21" s="32"/>
      <c r="GT21" s="32"/>
      <c r="GU21" s="32"/>
      <c r="GV21" s="32"/>
      <c r="GW21" s="32"/>
      <c r="GX21" s="32"/>
      <c r="GY21" s="32"/>
      <c r="GZ21" s="32"/>
      <c r="HA21" s="32"/>
      <c r="HB21" s="32"/>
      <c r="HC21" s="32"/>
      <c r="HD21" s="32"/>
      <c r="HE21" s="32"/>
      <c r="HF21" s="32"/>
      <c r="HG21" s="32"/>
      <c r="HH21" s="32"/>
      <c r="HI21" s="32"/>
      <c r="HJ21" s="32"/>
      <c r="HK21" s="32"/>
      <c r="HL21" s="32"/>
      <c r="HM21" s="32"/>
      <c r="HN21" s="32"/>
      <c r="HO21" s="32"/>
      <c r="HP21" s="32"/>
      <c r="HQ21" s="32"/>
      <c r="HR21" s="32"/>
      <c r="HS21" s="32"/>
      <c r="HT21" s="32"/>
      <c r="HU21" s="32"/>
      <c r="HV21" s="32"/>
      <c r="HW21" s="32"/>
      <c r="HX21" s="32"/>
      <c r="HY21" s="32"/>
      <c r="HZ21" s="32"/>
      <c r="IA21" s="32"/>
      <c r="IB21" s="32"/>
      <c r="IC21" s="32"/>
      <c r="ID21" s="32"/>
      <c r="IE21" s="32"/>
      <c r="IF21" s="32"/>
      <c r="IG21" s="32"/>
      <c r="IH21" s="32"/>
      <c r="II21" s="32"/>
      <c r="IJ21" s="32"/>
      <c r="IK21" s="32"/>
      <c r="IL21" s="32"/>
      <c r="IM21" s="32"/>
      <c r="IN21" s="32"/>
      <c r="IO21" s="32"/>
      <c r="IP21" s="32"/>
      <c r="IQ21" s="32"/>
      <c r="IR21" s="32"/>
      <c r="IS21" s="32"/>
      <c r="IT21" s="32"/>
      <c r="IU21" s="32"/>
      <c r="IV21" s="32"/>
      <c r="IW21" s="32"/>
    </row>
    <row r="22" customFormat="false" ht="12.6" hidden="false" customHeight="true" outlineLevel="0" collapsed="false">
      <c r="A22" s="737" t="s">
        <v>11</v>
      </c>
      <c r="B22" s="659"/>
      <c r="C22" s="738" t="n">
        <f aca="false">C20-C21</f>
        <v>897328.019902002</v>
      </c>
      <c r="D22" s="739" t="n">
        <f aca="false">IF(D3&gt;'Project Assumptions'!$I$15,0,D20-D21)</f>
        <v>-2251.19021568476</v>
      </c>
      <c r="E22" s="739" t="n">
        <f aca="false">IF(E3&gt;'Project Assumptions'!$I$15,0,E20-E21)</f>
        <v>7264.08962391495</v>
      </c>
      <c r="F22" s="739" t="n">
        <f aca="false">IF(F3&gt;'Project Assumptions'!$I$15,0,F20-F21)</f>
        <v>5587.01817491304</v>
      </c>
      <c r="G22" s="739" t="n">
        <f aca="false">IF(G3&gt;'Project Assumptions'!$I$15,0,G20-G21)</f>
        <v>9092.5142688509</v>
      </c>
      <c r="H22" s="739" t="n">
        <f aca="false">IF(H3&gt;'Project Assumptions'!$I$15,0,H20-H21)</f>
        <v>16500.3613463457</v>
      </c>
      <c r="I22" s="739" t="n">
        <f aca="false">IF(I3&gt;'Project Assumptions'!$I$15,0,I20-I21)</f>
        <v>13083.4316611033</v>
      </c>
      <c r="J22" s="739" t="n">
        <f aca="false">IF(J3&gt;'Project Assumptions'!$I$15,0,J20-J21)</f>
        <v>12498.5310905058</v>
      </c>
      <c r="K22" s="739" t="n">
        <f aca="false">IF(K3&gt;'Project Assumptions'!$I$15,0,K20-K21)</f>
        <v>13357.2995455148</v>
      </c>
      <c r="L22" s="739" t="n">
        <f aca="false">IF(L3&gt;'Project Assumptions'!$I$15,0,L20-L21)</f>
        <v>9878.82050538863</v>
      </c>
      <c r="M22" s="739" t="n">
        <f aca="false">IF(M3&gt;'Project Assumptions'!$I$15,0,M20-M21)</f>
        <v>8269.13404475165</v>
      </c>
      <c r="N22" s="739" t="n">
        <f aca="false">IF(N3&gt;'Project Assumptions'!$I$15,0,N20-N21)</f>
        <v>18819.9350092867</v>
      </c>
      <c r="O22" s="739" t="n">
        <f aca="false">IF(O3&gt;'Project Assumptions'!$I$15,0,O20-O21)</f>
        <v>18874.9910909059</v>
      </c>
      <c r="P22" s="739" t="n">
        <f aca="false">IF(P3&gt;'Project Assumptions'!$I$15,0,P20-P21)</f>
        <v>19205.7571172487</v>
      </c>
      <c r="Q22" s="739" t="n">
        <f aca="false">IF(Q3&gt;'Project Assumptions'!$I$15,0,Q20-Q21)</f>
        <v>19541.2797488852</v>
      </c>
      <c r="R22" s="739" t="n">
        <f aca="false">IF(R3&gt;'Project Assumptions'!$I$15,0,R20-R21)</f>
        <v>19853.1034096647</v>
      </c>
      <c r="S22" s="739" t="n">
        <f aca="false">IF(S3&gt;'Project Assumptions'!$I$15,0,S20-S21)</f>
        <v>18114.0702976094</v>
      </c>
      <c r="T22" s="739" t="n">
        <f aca="false">IF(T3&gt;'Project Assumptions'!$I$15,0,T20-T21)</f>
        <v>12832.7384280361</v>
      </c>
      <c r="U22" s="739" t="n">
        <f aca="false">IF(U3&gt;'Project Assumptions'!$I$15,0,U20-U21)</f>
        <v>11877.3833383571</v>
      </c>
      <c r="V22" s="739" t="n">
        <f aca="false">IF(V3&gt;'Project Assumptions'!$I$15,0,V20-V21)</f>
        <v>10271.7784876726</v>
      </c>
      <c r="W22" s="739" t="n">
        <f aca="false">IF(W3&gt;'Project Assumptions'!$I$15,0,W20-W21)</f>
        <v>9461.88998746349</v>
      </c>
      <c r="X22" s="739" t="n">
        <f aca="false">IF(X3&gt;'Project Assumptions'!$I$15+1,0,X20-X21)</f>
        <v>8082.73430343176</v>
      </c>
      <c r="Y22" s="739" t="n">
        <f aca="false">IF(Y3&gt;'Project Assumptions'!$I$15,0,Y20-Y21)</f>
        <v>0</v>
      </c>
      <c r="Z22" s="739" t="n">
        <f aca="false">IF(Z3&gt;'Project Assumptions'!$I$15,0,Z20-Z21)</f>
        <v>0</v>
      </c>
      <c r="AA22" s="739" t="n">
        <f aca="false">IF(AA3&gt;'Project Assumptions'!$I$15,0,AA20-AA21)</f>
        <v>0</v>
      </c>
      <c r="AB22" s="740" t="n">
        <f aca="false">IF(AB3&gt;'Project Assumptions'!$I$15,0,AB20-AB21)</f>
        <v>0</v>
      </c>
      <c r="AC22" s="30"/>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T22" s="31"/>
      <c r="BU22" s="31"/>
      <c r="BV22" s="31"/>
      <c r="BW22" s="31"/>
      <c r="BX22" s="31"/>
      <c r="BY22" s="31"/>
      <c r="BZ22" s="31"/>
      <c r="CA22" s="31"/>
      <c r="CB22" s="31"/>
      <c r="CC22" s="31"/>
      <c r="CD22" s="31"/>
      <c r="CE22" s="31"/>
      <c r="CF22" s="31"/>
      <c r="CG22" s="31"/>
      <c r="CH22" s="31"/>
      <c r="CI22" s="31"/>
      <c r="CJ22" s="31"/>
      <c r="CK22" s="31"/>
      <c r="CL22" s="31"/>
      <c r="CM22" s="31"/>
      <c r="CN22" s="31"/>
      <c r="CO22" s="31"/>
      <c r="CP22" s="31"/>
      <c r="CQ22" s="31"/>
      <c r="CR22" s="31"/>
      <c r="CS22" s="31"/>
      <c r="CT22" s="31"/>
      <c r="CU22" s="31"/>
      <c r="CV22" s="31"/>
      <c r="CW22" s="31"/>
      <c r="CX22" s="31"/>
      <c r="CY22" s="31"/>
      <c r="CZ22" s="31"/>
      <c r="DA22" s="31"/>
      <c r="DB22" s="31"/>
      <c r="DC22" s="31"/>
      <c r="DD22" s="31"/>
      <c r="DE22" s="31"/>
      <c r="DF22" s="31"/>
      <c r="DG22" s="31"/>
      <c r="DH22" s="31"/>
      <c r="DI22" s="31"/>
      <c r="DJ22" s="31"/>
      <c r="DK22" s="31"/>
      <c r="DL22" s="31"/>
      <c r="DM22" s="31"/>
      <c r="DN22" s="31"/>
      <c r="DO22" s="31"/>
      <c r="DP22" s="31"/>
      <c r="DQ22" s="31"/>
      <c r="DR22" s="31"/>
      <c r="DS22" s="31"/>
      <c r="DT22" s="31"/>
      <c r="DU22" s="31"/>
      <c r="DV22" s="31"/>
      <c r="DW22" s="31"/>
      <c r="DX22" s="31"/>
      <c r="DY22" s="31"/>
      <c r="DZ22" s="31"/>
      <c r="EA22" s="31"/>
      <c r="EB22" s="31"/>
      <c r="EC22" s="31"/>
      <c r="ED22" s="31"/>
      <c r="EE22" s="31"/>
      <c r="EF22" s="31"/>
      <c r="EG22" s="31"/>
      <c r="EH22" s="31"/>
      <c r="EI22" s="31"/>
      <c r="EJ22" s="31"/>
      <c r="EK22" s="31"/>
      <c r="EL22" s="31"/>
      <c r="EM22" s="31"/>
      <c r="EN22" s="31"/>
      <c r="EO22" s="31"/>
      <c r="EP22" s="31"/>
      <c r="EQ22" s="31"/>
      <c r="ER22" s="31"/>
      <c r="ES22" s="31"/>
      <c r="ET22" s="31"/>
      <c r="EU22" s="31"/>
      <c r="EV22" s="31"/>
      <c r="EW22" s="31"/>
      <c r="EX22" s="31"/>
      <c r="EY22" s="31"/>
      <c r="EZ22" s="31"/>
      <c r="FA22" s="31"/>
      <c r="FB22" s="31"/>
      <c r="FC22" s="31"/>
      <c r="FD22" s="31"/>
      <c r="FE22" s="31"/>
      <c r="FF22" s="31"/>
      <c r="FG22" s="31"/>
      <c r="FH22" s="31"/>
      <c r="FI22" s="31"/>
      <c r="FJ22" s="31"/>
      <c r="FK22" s="31"/>
      <c r="FL22" s="31"/>
      <c r="FM22" s="31"/>
      <c r="FN22" s="31"/>
      <c r="FO22" s="31"/>
      <c r="FP22" s="31"/>
      <c r="FQ22" s="31"/>
      <c r="FR22" s="31"/>
      <c r="FS22" s="31"/>
      <c r="FT22" s="31"/>
      <c r="FU22" s="31"/>
      <c r="FV22" s="31"/>
      <c r="FW22" s="31"/>
      <c r="FX22" s="31"/>
      <c r="FY22" s="31"/>
      <c r="FZ22" s="31"/>
      <c r="GA22" s="31"/>
      <c r="GB22" s="31"/>
      <c r="GC22" s="31"/>
      <c r="GD22" s="31"/>
      <c r="GE22" s="31"/>
      <c r="GF22" s="31"/>
      <c r="GG22" s="31"/>
      <c r="GH22" s="31"/>
      <c r="GI22" s="31"/>
      <c r="GJ22" s="31"/>
      <c r="GK22" s="31"/>
      <c r="GL22" s="31"/>
      <c r="GM22" s="31"/>
      <c r="GN22" s="31"/>
      <c r="GO22" s="31"/>
      <c r="GP22" s="31"/>
      <c r="GQ22" s="31"/>
      <c r="GR22" s="31"/>
      <c r="GS22" s="31"/>
      <c r="GT22" s="31"/>
      <c r="GU22" s="31"/>
      <c r="GV22" s="31"/>
      <c r="GW22" s="31"/>
      <c r="GX22" s="31"/>
      <c r="GY22" s="31"/>
      <c r="GZ22" s="31"/>
      <c r="HA22" s="31"/>
      <c r="HB22" s="31"/>
      <c r="HC22" s="31"/>
      <c r="HD22" s="31"/>
      <c r="HE22" s="31"/>
      <c r="HF22" s="31"/>
      <c r="HG22" s="31"/>
      <c r="HH22" s="31"/>
      <c r="HI22" s="31"/>
      <c r="HJ22" s="31"/>
      <c r="HK22" s="31"/>
      <c r="HL22" s="31"/>
      <c r="HM22" s="31"/>
      <c r="HN22" s="31"/>
      <c r="HO22" s="31"/>
      <c r="HP22" s="31"/>
      <c r="HQ22" s="31"/>
      <c r="HR22" s="31"/>
      <c r="HS22" s="31"/>
      <c r="HT22" s="31"/>
      <c r="HU22" s="31"/>
      <c r="HV22" s="31"/>
      <c r="HW22" s="31"/>
      <c r="HX22" s="31"/>
      <c r="HY22" s="31"/>
      <c r="HZ22" s="31"/>
      <c r="IA22" s="31"/>
      <c r="IB22" s="31"/>
      <c r="IC22" s="31"/>
      <c r="ID22" s="31"/>
      <c r="IE22" s="31"/>
      <c r="IF22" s="31"/>
      <c r="IG22" s="31"/>
      <c r="IH22" s="31"/>
      <c r="II22" s="31"/>
      <c r="IJ22" s="31"/>
      <c r="IK22" s="31"/>
      <c r="IL22" s="31"/>
      <c r="IM22" s="31"/>
      <c r="IN22" s="31"/>
      <c r="IO22" s="31"/>
      <c r="IP22" s="31"/>
      <c r="IQ22" s="31"/>
      <c r="IR22" s="31"/>
      <c r="IS22" s="31"/>
      <c r="IT22" s="31"/>
      <c r="IU22" s="31"/>
      <c r="IV22" s="31"/>
      <c r="IW22" s="31"/>
    </row>
    <row r="23" customFormat="false" ht="12.6" hidden="false" customHeight="true" outlineLevel="0" collapsed="false">
      <c r="A23" s="33"/>
      <c r="B23" s="33"/>
      <c r="C23" s="33"/>
      <c r="D23" s="33"/>
      <c r="E23" s="33"/>
      <c r="F23" s="33"/>
      <c r="G23" s="33"/>
      <c r="H23" s="33"/>
      <c r="I23" s="33"/>
      <c r="J23" s="33"/>
      <c r="K23" s="33"/>
      <c r="L23" s="33"/>
      <c r="M23" s="33"/>
      <c r="N23" s="33"/>
      <c r="O23" s="33"/>
      <c r="P23" s="33"/>
      <c r="Q23" s="33"/>
      <c r="R23" s="33"/>
      <c r="S23" s="33"/>
      <c r="T23" s="33"/>
      <c r="U23" s="33"/>
      <c r="V23" s="33"/>
      <c r="W23" s="33"/>
      <c r="X23" s="33"/>
      <c r="Y23" s="33"/>
      <c r="Z23" s="33"/>
      <c r="AA23" s="33"/>
      <c r="AB23" s="33"/>
      <c r="AC23" s="33"/>
      <c r="AD23" s="32"/>
      <c r="AE23" s="32"/>
      <c r="AF23" s="32"/>
      <c r="AG23" s="32"/>
      <c r="AH23" s="32"/>
      <c r="AI23" s="32"/>
      <c r="AJ23" s="32"/>
      <c r="AK23" s="32"/>
      <c r="AL23" s="32"/>
      <c r="AM23" s="32"/>
      <c r="AN23" s="32"/>
      <c r="AO23" s="32"/>
      <c r="AP23" s="32"/>
      <c r="AQ23" s="32"/>
      <c r="AR23" s="32"/>
      <c r="AS23" s="32"/>
      <c r="AT23" s="32"/>
      <c r="AU23" s="32"/>
      <c r="AV23" s="32"/>
      <c r="AW23" s="32"/>
      <c r="AX23" s="32"/>
      <c r="AY23" s="32"/>
      <c r="AZ23" s="32"/>
      <c r="BA23" s="32"/>
      <c r="BB23" s="32"/>
      <c r="BC23" s="32"/>
      <c r="BD23" s="32"/>
      <c r="BE23" s="32"/>
      <c r="BF23" s="32"/>
      <c r="BG23" s="32"/>
      <c r="BH23" s="32"/>
      <c r="BI23" s="32"/>
      <c r="BJ23" s="32"/>
      <c r="BK23" s="32"/>
      <c r="BL23" s="32"/>
      <c r="BM23" s="32"/>
      <c r="BN23" s="32"/>
      <c r="BO23" s="32"/>
      <c r="BP23" s="32"/>
      <c r="BQ23" s="32"/>
      <c r="BR23" s="32"/>
      <c r="BS23" s="32"/>
      <c r="BT23" s="32"/>
      <c r="BU23" s="32"/>
      <c r="BV23" s="32"/>
      <c r="BW23" s="32"/>
      <c r="BX23" s="32"/>
      <c r="BY23" s="32"/>
      <c r="BZ23" s="32"/>
      <c r="CA23" s="32"/>
      <c r="CB23" s="32"/>
      <c r="CC23" s="32"/>
      <c r="CD23" s="32"/>
      <c r="CE23" s="32"/>
      <c r="CF23" s="32"/>
      <c r="CG23" s="32"/>
      <c r="CH23" s="32"/>
      <c r="CI23" s="32"/>
      <c r="CJ23" s="32"/>
      <c r="CK23" s="32"/>
      <c r="CL23" s="32"/>
      <c r="CM23" s="32"/>
      <c r="CN23" s="32"/>
      <c r="CO23" s="32"/>
      <c r="CP23" s="32"/>
      <c r="CQ23" s="32"/>
      <c r="CR23" s="32"/>
      <c r="CS23" s="32"/>
      <c r="CT23" s="32"/>
      <c r="CU23" s="32"/>
      <c r="CV23" s="32"/>
      <c r="CW23" s="32"/>
      <c r="CX23" s="32"/>
      <c r="CY23" s="32"/>
      <c r="CZ23" s="32"/>
      <c r="DA23" s="32"/>
      <c r="DB23" s="32"/>
      <c r="DC23" s="32"/>
      <c r="DD23" s="32"/>
      <c r="DE23" s="32"/>
      <c r="DF23" s="32"/>
      <c r="DG23" s="32"/>
      <c r="DH23" s="32"/>
      <c r="DI23" s="32"/>
      <c r="DJ23" s="32"/>
      <c r="DK23" s="32"/>
      <c r="DL23" s="32"/>
      <c r="DM23" s="32"/>
      <c r="DN23" s="32"/>
      <c r="DO23" s="32"/>
      <c r="DP23" s="32"/>
      <c r="DQ23" s="32"/>
      <c r="DR23" s="32"/>
      <c r="DS23" s="32"/>
      <c r="DT23" s="32"/>
      <c r="DU23" s="32"/>
      <c r="DV23" s="32"/>
      <c r="DW23" s="32"/>
      <c r="DX23" s="32"/>
      <c r="DY23" s="32"/>
      <c r="DZ23" s="32"/>
      <c r="EA23" s="32"/>
      <c r="EB23" s="32"/>
      <c r="EC23" s="32"/>
      <c r="ED23" s="32"/>
      <c r="EE23" s="32"/>
      <c r="EF23" s="32"/>
      <c r="EG23" s="32"/>
      <c r="EH23" s="32"/>
      <c r="EI23" s="32"/>
      <c r="EJ23" s="32"/>
      <c r="EK23" s="32"/>
      <c r="EL23" s="32"/>
      <c r="EM23" s="32"/>
      <c r="EN23" s="32"/>
      <c r="EO23" s="32"/>
      <c r="EP23" s="32"/>
      <c r="EQ23" s="32"/>
      <c r="ER23" s="32"/>
      <c r="ES23" s="32"/>
      <c r="ET23" s="32"/>
      <c r="EU23" s="32"/>
      <c r="EV23" s="32"/>
      <c r="EW23" s="32"/>
      <c r="EX23" s="32"/>
      <c r="EY23" s="32"/>
      <c r="EZ23" s="32"/>
      <c r="FA23" s="32"/>
      <c r="FB23" s="32"/>
      <c r="FC23" s="32"/>
      <c r="FD23" s="32"/>
      <c r="FE23" s="32"/>
      <c r="FF23" s="32"/>
      <c r="FG23" s="32"/>
      <c r="FH23" s="32"/>
      <c r="FI23" s="32"/>
      <c r="FJ23" s="32"/>
      <c r="FK23" s="32"/>
      <c r="FL23" s="32"/>
      <c r="FM23" s="32"/>
      <c r="FN23" s="32"/>
      <c r="FO23" s="32"/>
      <c r="FP23" s="32"/>
      <c r="FQ23" s="32"/>
      <c r="FR23" s="32"/>
      <c r="FS23" s="32"/>
      <c r="FT23" s="32"/>
      <c r="FU23" s="32"/>
      <c r="FV23" s="32"/>
      <c r="FW23" s="32"/>
      <c r="FX23" s="32"/>
      <c r="FY23" s="32"/>
      <c r="FZ23" s="32"/>
      <c r="GA23" s="32"/>
      <c r="GB23" s="32"/>
      <c r="GC23" s="32"/>
      <c r="GD23" s="32"/>
      <c r="GE23" s="32"/>
      <c r="GF23" s="32"/>
      <c r="GG23" s="32"/>
      <c r="GH23" s="32"/>
      <c r="GI23" s="32"/>
      <c r="GJ23" s="32"/>
      <c r="GK23" s="32"/>
      <c r="GL23" s="32"/>
      <c r="GM23" s="32"/>
      <c r="GN23" s="32"/>
      <c r="GO23" s="32"/>
      <c r="GP23" s="32"/>
      <c r="GQ23" s="32"/>
      <c r="GR23" s="32"/>
      <c r="GS23" s="32"/>
      <c r="GT23" s="32"/>
      <c r="GU23" s="32"/>
      <c r="GV23" s="32"/>
      <c r="GW23" s="32"/>
      <c r="GX23" s="32"/>
      <c r="GY23" s="32"/>
      <c r="GZ23" s="32"/>
      <c r="HA23" s="32"/>
      <c r="HB23" s="32"/>
      <c r="HC23" s="32"/>
      <c r="HD23" s="32"/>
      <c r="HE23" s="32"/>
      <c r="HF23" s="32"/>
      <c r="HG23" s="32"/>
      <c r="HH23" s="32"/>
      <c r="HI23" s="32"/>
      <c r="HJ23" s="32"/>
      <c r="HK23" s="32"/>
      <c r="HL23" s="32"/>
      <c r="HM23" s="32"/>
      <c r="HN23" s="32"/>
      <c r="HO23" s="32"/>
      <c r="HP23" s="32"/>
      <c r="HQ23" s="32"/>
      <c r="HR23" s="32"/>
      <c r="HS23" s="32"/>
      <c r="HT23" s="32"/>
      <c r="HU23" s="32"/>
      <c r="HV23" s="32"/>
      <c r="HW23" s="32"/>
      <c r="HX23" s="32"/>
      <c r="HY23" s="32"/>
      <c r="HZ23" s="32"/>
      <c r="IA23" s="32"/>
      <c r="IB23" s="32"/>
      <c r="IC23" s="32"/>
      <c r="ID23" s="32"/>
      <c r="IE23" s="32"/>
      <c r="IF23" s="32"/>
      <c r="IG23" s="32"/>
      <c r="IH23" s="32"/>
      <c r="II23" s="32"/>
      <c r="IJ23" s="32"/>
      <c r="IK23" s="32"/>
      <c r="IL23" s="32"/>
      <c r="IM23" s="32"/>
      <c r="IN23" s="32"/>
      <c r="IO23" s="32"/>
      <c r="IP23" s="32"/>
      <c r="IQ23" s="32"/>
      <c r="IR23" s="32"/>
      <c r="IS23" s="32"/>
      <c r="IT23" s="32"/>
      <c r="IU23" s="32"/>
      <c r="IV23" s="32"/>
      <c r="IW23" s="32"/>
    </row>
    <row r="25" customFormat="false" ht="12.6" hidden="false" customHeight="true" outlineLevel="0" collapsed="false">
      <c r="A25" s="741" t="s">
        <v>271</v>
      </c>
      <c r="B25" s="381"/>
      <c r="C25" s="381"/>
      <c r="D25" s="742"/>
      <c r="E25" s="381"/>
      <c r="F25" s="381"/>
      <c r="G25" s="381"/>
      <c r="H25" s="381"/>
      <c r="I25" s="381"/>
      <c r="J25" s="381"/>
      <c r="K25" s="381"/>
      <c r="L25" s="381"/>
      <c r="M25" s="381"/>
      <c r="N25" s="381"/>
      <c r="O25" s="381"/>
      <c r="P25" s="381"/>
      <c r="Q25" s="381"/>
      <c r="R25" s="381"/>
      <c r="S25" s="381"/>
      <c r="T25" s="381"/>
      <c r="U25" s="381"/>
      <c r="V25" s="381"/>
      <c r="W25" s="381"/>
      <c r="X25" s="381"/>
      <c r="Y25" s="381"/>
      <c r="Z25" s="381"/>
      <c r="AA25" s="381"/>
      <c r="AB25" s="517"/>
    </row>
    <row r="26" customFormat="false" ht="12.6" hidden="false" customHeight="true" outlineLevel="0" collapsed="false">
      <c r="A26" s="410"/>
      <c r="B26" s="627"/>
      <c r="C26" s="385"/>
      <c r="D26" s="743"/>
      <c r="E26" s="385"/>
      <c r="F26" s="385"/>
      <c r="G26" s="385"/>
      <c r="H26" s="385"/>
      <c r="I26" s="385"/>
      <c r="J26" s="385"/>
      <c r="K26" s="385"/>
      <c r="L26" s="385"/>
      <c r="M26" s="385"/>
      <c r="N26" s="385"/>
      <c r="O26" s="385"/>
      <c r="P26" s="385"/>
      <c r="Q26" s="385"/>
      <c r="R26" s="385"/>
      <c r="S26" s="385"/>
      <c r="T26" s="385"/>
      <c r="U26" s="385"/>
      <c r="V26" s="385"/>
      <c r="W26" s="385"/>
      <c r="X26" s="385"/>
      <c r="Y26" s="385"/>
      <c r="Z26" s="385"/>
      <c r="AA26" s="385"/>
      <c r="AB26" s="415"/>
    </row>
    <row r="27" customFormat="false" ht="12.6" hidden="false" customHeight="true" outlineLevel="0" collapsed="false">
      <c r="A27" s="410" t="s">
        <v>552</v>
      </c>
      <c r="B27" s="627"/>
      <c r="C27" s="385"/>
      <c r="D27" s="402" t="n">
        <f aca="false">+IF(OR(AND(D3&gt;'Project Assumptions'!$I$51,D30=0),'Project Assumptions'!$I$51=0),0,IF(D22&gt;0,D22,0))</f>
        <v>0</v>
      </c>
      <c r="E27" s="402" t="n">
        <f aca="false">+IF(OR(AND(E3&gt;'Project Assumptions'!$I$51,E30=0),'Project Assumptions'!$I$51=0),0,IF(E22&gt;0,E22,0))</f>
        <v>0</v>
      </c>
      <c r="F27" s="402" t="n">
        <f aca="false">+IF(OR(AND(F3&gt;'Project Assumptions'!$I$51,F30=0),'Project Assumptions'!$I$51=0),0,IF(F22&gt;0,F22,0))</f>
        <v>0</v>
      </c>
      <c r="G27" s="402" t="n">
        <f aca="false">+IF(OR(AND(G3&gt;'Project Assumptions'!$I$51,G30=0),'Project Assumptions'!$I$51=0),0,IF(G22&gt;0,G22,0))</f>
        <v>0</v>
      </c>
      <c r="H27" s="402" t="n">
        <f aca="false">+IF(OR(AND(H3&gt;'Project Assumptions'!$I$51,H30=0),'Project Assumptions'!$I$51=0),0,IF(H22&gt;0,H22,0))</f>
        <v>0</v>
      </c>
      <c r="I27" s="402" t="n">
        <f aca="false">+IF(OR(AND(I3&gt;'Project Assumptions'!$I$51,I30=0),'Project Assumptions'!$I$51=0),0,IF(I22&gt;0,I22,0))</f>
        <v>0</v>
      </c>
      <c r="J27" s="402" t="n">
        <f aca="false">+IF(OR(AND(J3&gt;'Project Assumptions'!$I$51,J30=0),'Project Assumptions'!$I$51=0),0,IF(J22&gt;0,J22,0))</f>
        <v>0</v>
      </c>
      <c r="K27" s="402" t="n">
        <f aca="false">+IF(OR(AND(K3&gt;'Project Assumptions'!$I$51,K30=0),'Project Assumptions'!$I$51=0),0,IF(K22&gt;0,K22,0))</f>
        <v>0</v>
      </c>
      <c r="L27" s="402" t="n">
        <f aca="false">+IF(OR(AND(L3&gt;'Project Assumptions'!$I$51,L30=0),'Project Assumptions'!$I$51=0),0,IF(L22&gt;0,L22,0))</f>
        <v>0</v>
      </c>
      <c r="M27" s="402" t="n">
        <f aca="false">+IF(OR(AND(M3&gt;'Project Assumptions'!$I$51,M30=0),'Project Assumptions'!$I$51=0),0,IF(M22&gt;0,M22,0))</f>
        <v>0</v>
      </c>
      <c r="N27" s="402" t="n">
        <f aca="false">+IF(OR(AND(N3&gt;'Project Assumptions'!$I$51,N30=0),'Project Assumptions'!$I$51=0),0,IF(N22&gt;0,N22,0))</f>
        <v>0</v>
      </c>
      <c r="O27" s="402" t="n">
        <f aca="false">+IF(OR(AND(O3&gt;'Project Assumptions'!$I$51,O30=0),'Project Assumptions'!$I$51=0),0,IF(O22&gt;0,O22,0))</f>
        <v>0</v>
      </c>
      <c r="P27" s="402" t="n">
        <f aca="false">+IF(OR(AND(P3&gt;'Project Assumptions'!$I$51,P30=0),'Project Assumptions'!$I$51=0),0,IF(P22&gt;0,P22,0))</f>
        <v>0</v>
      </c>
      <c r="Q27" s="402" t="n">
        <f aca="false">+IF(OR(AND(Q3&gt;'Project Assumptions'!$I$51,Q30=0),'Project Assumptions'!$I$51=0),0,IF(Q22&gt;0,Q22,0))</f>
        <v>0</v>
      </c>
      <c r="R27" s="402" t="n">
        <f aca="false">+IF(OR(AND(R3&gt;'Project Assumptions'!$I$51,R30=0),'Project Assumptions'!$I$51=0),0,IF(R22&gt;0,R22,0))</f>
        <v>0</v>
      </c>
      <c r="S27" s="402" t="n">
        <f aca="false">+IF(OR(AND(S3&gt;'Project Assumptions'!$I$51,S30=0),'Project Assumptions'!$I$51=0),0,IF(S22&gt;0,S22,0))</f>
        <v>0</v>
      </c>
      <c r="T27" s="402" t="n">
        <f aca="false">+IF(OR(AND(T3&gt;'Project Assumptions'!$I$51,T30=0),'Project Assumptions'!$I$51=0),0,IF(T22&gt;0,T22,0))</f>
        <v>0</v>
      </c>
      <c r="U27" s="402" t="n">
        <f aca="false">+IF(OR(AND(U3&gt;'Project Assumptions'!$I$51,U30=0),'Project Assumptions'!$I$51=0),0,IF(U22&gt;0,U22,0))</f>
        <v>0</v>
      </c>
      <c r="V27" s="402" t="n">
        <f aca="false">+IF(OR(AND(V3&gt;'Project Assumptions'!$I$51,V30=0),'Project Assumptions'!$I$51=0),0,IF(V22&gt;0,V22,0))</f>
        <v>0</v>
      </c>
      <c r="W27" s="402" t="n">
        <f aca="false">+IF(OR(AND(W3&gt;'Project Assumptions'!$I$51,W30=0),'Project Assumptions'!$I$51=0),0,IF(W22&gt;0,W22,0))</f>
        <v>0</v>
      </c>
      <c r="X27" s="402" t="n">
        <f aca="false">+IF(OR(AND(X3&gt;'Project Assumptions'!$I$51,X30=0),'Project Assumptions'!$I$51=0),0,IF(X22&gt;0,X22,0))</f>
        <v>0</v>
      </c>
      <c r="Y27" s="402" t="n">
        <f aca="false">+IF(OR(AND(Y3&gt;'Project Assumptions'!$I$51,Y30=0),'Project Assumptions'!$I$51=0),0,IF(Y22&gt;0,Y22,0))</f>
        <v>0</v>
      </c>
      <c r="Z27" s="402" t="n">
        <f aca="false">+IF(OR(AND(Z3&gt;'Project Assumptions'!$I$51,Z30=0),'Project Assumptions'!$I$51=0),0,IF(Z22&gt;0,Z22,0))</f>
        <v>0</v>
      </c>
      <c r="AA27" s="402" t="n">
        <f aca="false">+IF(OR(AND(AA3&gt;'Project Assumptions'!$I$51,AA30=0),'Project Assumptions'!$I$51=0),0,IF(AA22&gt;0,AA22,0))</f>
        <v>0</v>
      </c>
      <c r="AB27" s="744" t="n">
        <f aca="false">+IF(OR(AND(AB3&gt;'Project Assumptions'!$I$51,AB30=0),'Project Assumptions'!$I$51=0),0,IF(AB22&gt;0,AB22,0))</f>
        <v>0</v>
      </c>
    </row>
    <row r="28" customFormat="false" ht="12.6" hidden="false" customHeight="true" outlineLevel="0" collapsed="false">
      <c r="A28" s="410" t="s">
        <v>445</v>
      </c>
      <c r="B28" s="745"/>
      <c r="C28" s="385"/>
      <c r="D28" s="746" t="n">
        <f aca="false">IF('Project Assumptions'!$I$51=0,0,+'Project Assumptions'!$I$53)</f>
        <v>0</v>
      </c>
      <c r="E28" s="385"/>
      <c r="F28" s="385"/>
      <c r="G28" s="385"/>
      <c r="H28" s="385"/>
      <c r="I28" s="385"/>
      <c r="J28" s="385"/>
      <c r="K28" s="385"/>
      <c r="L28" s="385"/>
      <c r="M28" s="385"/>
      <c r="N28" s="385"/>
      <c r="O28" s="385"/>
      <c r="P28" s="385"/>
      <c r="Q28" s="385"/>
      <c r="R28" s="385"/>
      <c r="S28" s="385"/>
      <c r="T28" s="385"/>
      <c r="U28" s="385"/>
      <c r="V28" s="385"/>
      <c r="W28" s="385"/>
      <c r="X28" s="385"/>
      <c r="Y28" s="385"/>
      <c r="Z28" s="385"/>
      <c r="AA28" s="385"/>
      <c r="AB28" s="415"/>
    </row>
    <row r="29" customFormat="false" ht="12.6" hidden="false" customHeight="true" outlineLevel="0" collapsed="false">
      <c r="A29" s="410" t="s">
        <v>553</v>
      </c>
      <c r="B29" s="627"/>
      <c r="C29" s="385"/>
      <c r="D29" s="721" t="n">
        <f aca="false">D28*'Project Assumptions'!$I$52</f>
        <v>0</v>
      </c>
      <c r="E29" s="721" t="n">
        <f aca="false">+D32*'Project Assumptions'!$I$52</f>
        <v>0</v>
      </c>
      <c r="F29" s="721" t="n">
        <f aca="false">+E32*'Project Assumptions'!$I$52</f>
        <v>0</v>
      </c>
      <c r="G29" s="721" t="n">
        <f aca="false">+F32*'Project Assumptions'!$I$52</f>
        <v>0</v>
      </c>
      <c r="H29" s="721" t="n">
        <f aca="false">+G32*'Project Assumptions'!$I$52</f>
        <v>0</v>
      </c>
      <c r="I29" s="721" t="n">
        <f aca="false">+H32*'Project Assumptions'!$I$52</f>
        <v>0</v>
      </c>
      <c r="J29" s="721" t="n">
        <f aca="false">+I32*'Project Assumptions'!$I$52</f>
        <v>0</v>
      </c>
      <c r="K29" s="721" t="n">
        <f aca="false">+J32*'Project Assumptions'!$I$52</f>
        <v>0</v>
      </c>
      <c r="L29" s="721" t="n">
        <f aca="false">+K32*'Project Assumptions'!$I$52</f>
        <v>0</v>
      </c>
      <c r="M29" s="721" t="n">
        <f aca="false">+L32*'Project Assumptions'!$I$52</f>
        <v>0</v>
      </c>
      <c r="N29" s="721" t="n">
        <f aca="false">+M32*'Project Assumptions'!$I$52</f>
        <v>0</v>
      </c>
      <c r="O29" s="721" t="n">
        <f aca="false">+N32*'Project Assumptions'!$I$52</f>
        <v>0</v>
      </c>
      <c r="P29" s="721" t="n">
        <f aca="false">+O32*'Project Assumptions'!$I$52</f>
        <v>0</v>
      </c>
      <c r="Q29" s="721" t="n">
        <f aca="false">+P32*'Project Assumptions'!$I$52</f>
        <v>0</v>
      </c>
      <c r="R29" s="721" t="n">
        <f aca="false">+Q32*'Project Assumptions'!$I$52</f>
        <v>0</v>
      </c>
      <c r="S29" s="721" t="n">
        <f aca="false">+R32*'Project Assumptions'!$I$52</f>
        <v>0</v>
      </c>
      <c r="T29" s="721" t="n">
        <f aca="false">+S32*'Project Assumptions'!$I$52</f>
        <v>0</v>
      </c>
      <c r="U29" s="721" t="n">
        <f aca="false">+T32*'Project Assumptions'!$I$52</f>
        <v>0</v>
      </c>
      <c r="V29" s="721" t="n">
        <f aca="false">+U32*'Project Assumptions'!$I$52</f>
        <v>0</v>
      </c>
      <c r="W29" s="721" t="n">
        <f aca="false">+V32*'Project Assumptions'!$I$52</f>
        <v>0</v>
      </c>
      <c r="X29" s="721" t="n">
        <f aca="false">+W32*'Project Assumptions'!$I$52</f>
        <v>0</v>
      </c>
      <c r="Y29" s="721" t="n">
        <f aca="false">+X32*'Project Assumptions'!$I$52</f>
        <v>0</v>
      </c>
      <c r="Z29" s="721" t="n">
        <f aca="false">+Y32*'Project Assumptions'!$I$52</f>
        <v>0</v>
      </c>
      <c r="AA29" s="721" t="n">
        <f aca="false">+Z32*'Project Assumptions'!$I$52</f>
        <v>0</v>
      </c>
      <c r="AB29" s="722" t="n">
        <f aca="false">+AA32*'Project Assumptions'!$I$52</f>
        <v>0</v>
      </c>
    </row>
    <row r="30" customFormat="false" ht="12.6" hidden="false" customHeight="true" outlineLevel="0" collapsed="false">
      <c r="A30" s="410" t="s">
        <v>554</v>
      </c>
      <c r="B30" s="627"/>
      <c r="C30" s="34" t="n">
        <v>0</v>
      </c>
      <c r="D30" s="746" t="n">
        <f aca="false">+C30+D29</f>
        <v>0</v>
      </c>
      <c r="E30" s="747" t="n">
        <f aca="false">+D30-D31+E29</f>
        <v>0</v>
      </c>
      <c r="F30" s="747" t="n">
        <f aca="false">+E30-E31+F29</f>
        <v>0</v>
      </c>
      <c r="G30" s="747" t="n">
        <f aca="false">+F30-F31+G29</f>
        <v>0</v>
      </c>
      <c r="H30" s="747" t="n">
        <f aca="false">+G30-G31+H29</f>
        <v>0</v>
      </c>
      <c r="I30" s="747" t="n">
        <f aca="false">+H30-H31+I29</f>
        <v>0</v>
      </c>
      <c r="J30" s="747" t="n">
        <f aca="false">+I30-I31+J29</f>
        <v>0</v>
      </c>
      <c r="K30" s="747" t="n">
        <f aca="false">+J30-J31+K29</f>
        <v>0</v>
      </c>
      <c r="L30" s="747" t="n">
        <f aca="false">+K30-K31+L29</f>
        <v>0</v>
      </c>
      <c r="M30" s="747" t="n">
        <f aca="false">+L30-L31+M29</f>
        <v>0</v>
      </c>
      <c r="N30" s="747" t="n">
        <f aca="false">+M30-M31+N29</f>
        <v>0</v>
      </c>
      <c r="O30" s="747" t="n">
        <f aca="false">+N30-N31+O29</f>
        <v>0</v>
      </c>
      <c r="P30" s="747" t="n">
        <f aca="false">+O30-O31+P29</f>
        <v>0</v>
      </c>
      <c r="Q30" s="747" t="n">
        <f aca="false">+P30-P31+Q29</f>
        <v>0</v>
      </c>
      <c r="R30" s="747" t="n">
        <f aca="false">+Q30-Q31+R29</f>
        <v>0</v>
      </c>
      <c r="S30" s="747" t="n">
        <f aca="false">+R30-R31+S29</f>
        <v>0</v>
      </c>
      <c r="T30" s="747" t="n">
        <f aca="false">+S30-S31+T29</f>
        <v>0</v>
      </c>
      <c r="U30" s="747" t="n">
        <f aca="false">+T30-T31+U29</f>
        <v>0</v>
      </c>
      <c r="V30" s="747" t="n">
        <f aca="false">+U30-U31+V29</f>
        <v>0</v>
      </c>
      <c r="W30" s="747" t="n">
        <f aca="false">+V30-V31+W29</f>
        <v>0</v>
      </c>
      <c r="X30" s="747" t="n">
        <f aca="false">+W30-W31+X29</f>
        <v>0</v>
      </c>
      <c r="Y30" s="747" t="n">
        <f aca="false">+X30-X31+Y29</f>
        <v>0</v>
      </c>
      <c r="Z30" s="747" t="n">
        <f aca="false">+Y30-Y31+Z29</f>
        <v>0</v>
      </c>
      <c r="AA30" s="747" t="n">
        <f aca="false">+Z30-Z31+AA29</f>
        <v>0</v>
      </c>
      <c r="AB30" s="748" t="n">
        <f aca="false">+AA30-AA31+AB29</f>
        <v>0</v>
      </c>
    </row>
    <row r="31" customFormat="false" ht="12.6" hidden="false" customHeight="true" outlineLevel="0" collapsed="false">
      <c r="A31" s="410" t="s">
        <v>555</v>
      </c>
      <c r="B31" s="385"/>
      <c r="C31" s="385"/>
      <c r="D31" s="33" t="n">
        <f aca="false">+IF(D27&gt;D30,D30,D27)</f>
        <v>0</v>
      </c>
      <c r="E31" s="33" t="n">
        <f aca="false">+IF(E27&gt;E30,E30,E27)</f>
        <v>0</v>
      </c>
      <c r="F31" s="33" t="n">
        <f aca="false">+IF(F27&gt;F30,F30,F27)</f>
        <v>0</v>
      </c>
      <c r="G31" s="33" t="n">
        <f aca="false">+IF(G27&gt;G30,G30,G27)</f>
        <v>0</v>
      </c>
      <c r="H31" s="33" t="n">
        <f aca="false">+IF(H27&gt;H30,H30,H27)</f>
        <v>0</v>
      </c>
      <c r="I31" s="33" t="n">
        <f aca="false">+IF(I27&gt;I30,I30,I27)</f>
        <v>0</v>
      </c>
      <c r="J31" s="33" t="n">
        <f aca="false">+IF(J27&gt;J30,J30,J27)</f>
        <v>0</v>
      </c>
      <c r="K31" s="33" t="n">
        <f aca="false">+IF(K27&gt;K30,K30,K27)</f>
        <v>0</v>
      </c>
      <c r="L31" s="33" t="n">
        <f aca="false">+IF(L27&gt;L30,L30,L27)</f>
        <v>0</v>
      </c>
      <c r="M31" s="33" t="n">
        <f aca="false">+IF(M27&gt;M30,M30,M27)</f>
        <v>0</v>
      </c>
      <c r="N31" s="33" t="n">
        <f aca="false">+IF(N27&gt;N30,N30,N27)</f>
        <v>0</v>
      </c>
      <c r="O31" s="33" t="n">
        <f aca="false">+IF(O27&gt;O30,O30,O27)</f>
        <v>0</v>
      </c>
      <c r="P31" s="33" t="n">
        <f aca="false">+IF(P27&gt;P30,P30,P27)</f>
        <v>0</v>
      </c>
      <c r="Q31" s="33" t="n">
        <f aca="false">+IF(Q27&gt;Q30,Q30,Q27)</f>
        <v>0</v>
      </c>
      <c r="R31" s="33" t="n">
        <f aca="false">+IF(R27&gt;R30,R30,R27)</f>
        <v>0</v>
      </c>
      <c r="S31" s="33" t="n">
        <f aca="false">+IF(S27&gt;S30,S30,S27)</f>
        <v>0</v>
      </c>
      <c r="T31" s="33" t="n">
        <f aca="false">+IF(T27&gt;T30,T30,T27)</f>
        <v>0</v>
      </c>
      <c r="U31" s="33" t="n">
        <f aca="false">+IF(U27&gt;U30,U30,U27)</f>
        <v>0</v>
      </c>
      <c r="V31" s="33" t="n">
        <f aca="false">+IF(V27&gt;V30,V30,V27)</f>
        <v>0</v>
      </c>
      <c r="W31" s="33" t="n">
        <f aca="false">+IF(W27&gt;W30,W30,W27)</f>
        <v>0</v>
      </c>
      <c r="X31" s="33" t="n">
        <f aca="false">+IF(X27&gt;X30,X30,X27)</f>
        <v>0</v>
      </c>
      <c r="Y31" s="33" t="n">
        <f aca="false">+IF(Y27&gt;Y30,Y30,Y27)</f>
        <v>0</v>
      </c>
      <c r="Z31" s="33" t="n">
        <f aca="false">+IF(Z27&gt;Z30,Z30,Z27)</f>
        <v>0</v>
      </c>
      <c r="AA31" s="33" t="n">
        <f aca="false">+IF(AA27&gt;AA30,AA30,AA27)</f>
        <v>0</v>
      </c>
      <c r="AB31" s="724" t="n">
        <f aca="false">+IF(AB27&gt;AB30,AB30,AB27)</f>
        <v>0</v>
      </c>
    </row>
    <row r="32" customFormat="false" ht="12.6" hidden="false" customHeight="true" outlineLevel="0" collapsed="false">
      <c r="A32" s="410" t="s">
        <v>556</v>
      </c>
      <c r="B32" s="385"/>
      <c r="C32" s="385"/>
      <c r="D32" s="747" t="n">
        <f aca="false">+IF(D3&lt;'Project Assumptions'!$I$51,'Project Assumptions'!$I$53,0)</f>
        <v>0</v>
      </c>
      <c r="E32" s="747" t="n">
        <f aca="false">+IF(E3&lt;'Project Assumptions'!$I$51,D32,0)</f>
        <v>0</v>
      </c>
      <c r="F32" s="747" t="n">
        <f aca="false">+IF(F3&lt;'Project Assumptions'!$I$51,E32,0)</f>
        <v>0</v>
      </c>
      <c r="G32" s="747" t="n">
        <f aca="false">+IF(G3&lt;'Project Assumptions'!$I$51,F32,0)</f>
        <v>0</v>
      </c>
      <c r="H32" s="747" t="n">
        <f aca="false">+IF(H3&lt;'Project Assumptions'!$I$51,G32,0)</f>
        <v>0</v>
      </c>
      <c r="I32" s="747" t="n">
        <f aca="false">+IF(I3&lt;'Project Assumptions'!$I$51,H32,0)</f>
        <v>0</v>
      </c>
      <c r="J32" s="747" t="n">
        <f aca="false">+IF(J3&lt;'Project Assumptions'!$I$51,I32,0)</f>
        <v>0</v>
      </c>
      <c r="K32" s="747" t="n">
        <f aca="false">+IF(K3&lt;'Project Assumptions'!$I$51,J32,0)</f>
        <v>0</v>
      </c>
      <c r="L32" s="747" t="n">
        <f aca="false">+IF(L3&lt;'Project Assumptions'!$I$51,K32,0)</f>
        <v>0</v>
      </c>
      <c r="M32" s="747" t="n">
        <f aca="false">+IF(M3&lt;'Project Assumptions'!$I$51,L32,0)</f>
        <v>0</v>
      </c>
      <c r="N32" s="747" t="n">
        <f aca="false">+IF(N3&lt;'Project Assumptions'!$I$51,M32,0)</f>
        <v>0</v>
      </c>
      <c r="O32" s="747" t="n">
        <f aca="false">+IF(O3&lt;'Project Assumptions'!$I$51,N32,0)</f>
        <v>0</v>
      </c>
      <c r="P32" s="747" t="n">
        <f aca="false">+IF(P3&lt;'Project Assumptions'!$I$51,O32,0)</f>
        <v>0</v>
      </c>
      <c r="Q32" s="747" t="n">
        <f aca="false">+IF(Q3&lt;'Project Assumptions'!$I$51,P32,0)</f>
        <v>0</v>
      </c>
      <c r="R32" s="747" t="n">
        <f aca="false">+IF(R3&lt;'Project Assumptions'!$I$51,Q32,0)</f>
        <v>0</v>
      </c>
      <c r="S32" s="747" t="n">
        <f aca="false">+IF(S3&lt;'Project Assumptions'!$I$51,R32,0)</f>
        <v>0</v>
      </c>
      <c r="T32" s="747" t="n">
        <f aca="false">+IF(T3&lt;'Project Assumptions'!$I$51,S32,0)</f>
        <v>0</v>
      </c>
      <c r="U32" s="747" t="n">
        <f aca="false">+IF(U3&lt;'Project Assumptions'!$I$51,T32,0)</f>
        <v>0</v>
      </c>
      <c r="V32" s="747" t="n">
        <f aca="false">+IF(V3&lt;'Project Assumptions'!$I$51,U32,0)</f>
        <v>0</v>
      </c>
      <c r="W32" s="747" t="n">
        <f aca="false">+IF(W3&lt;'Project Assumptions'!$I$51,V32,0)</f>
        <v>0</v>
      </c>
      <c r="X32" s="747" t="n">
        <f aca="false">+IF(X3&lt;'Project Assumptions'!$I$51,W32,0)</f>
        <v>0</v>
      </c>
      <c r="Y32" s="747" t="n">
        <f aca="false">+IF(Y3&lt;'Project Assumptions'!$I$51,X32,0)</f>
        <v>0</v>
      </c>
      <c r="Z32" s="747" t="n">
        <f aca="false">+IF(Z3&lt;'Project Assumptions'!$I$51,Y32,0)</f>
        <v>0</v>
      </c>
      <c r="AA32" s="747" t="n">
        <f aca="false">+IF(AA3&lt;'Project Assumptions'!$I$51,Z32,0)</f>
        <v>0</v>
      </c>
      <c r="AB32" s="748" t="n">
        <f aca="false">+IF(AB3&lt;'Project Assumptions'!$I$51,AA32,0)</f>
        <v>0</v>
      </c>
    </row>
    <row r="33" customFormat="false" ht="12.6" hidden="false" customHeight="true" outlineLevel="0" collapsed="false">
      <c r="A33" s="410"/>
      <c r="B33" s="385"/>
      <c r="C33" s="385"/>
      <c r="D33" s="385"/>
      <c r="E33" s="385"/>
      <c r="F33" s="385"/>
      <c r="G33" s="385"/>
      <c r="H33" s="385"/>
      <c r="I33" s="385"/>
      <c r="J33" s="385"/>
      <c r="K33" s="385"/>
      <c r="L33" s="385"/>
      <c r="M33" s="385"/>
      <c r="N33" s="385"/>
      <c r="O33" s="385"/>
      <c r="P33" s="385"/>
      <c r="Q33" s="385"/>
      <c r="R33" s="385"/>
      <c r="S33" s="385"/>
      <c r="T33" s="385"/>
      <c r="U33" s="385"/>
      <c r="V33" s="385"/>
      <c r="W33" s="385"/>
      <c r="X33" s="385"/>
      <c r="Y33" s="385"/>
      <c r="Z33" s="385"/>
      <c r="AA33" s="385"/>
      <c r="AB33" s="415"/>
    </row>
    <row r="34" customFormat="false" ht="12.6" hidden="false" customHeight="true" outlineLevel="0" collapsed="false">
      <c r="A34" s="433" t="s">
        <v>557</v>
      </c>
      <c r="B34" s="385"/>
      <c r="C34" s="385"/>
      <c r="D34" s="385"/>
      <c r="E34" s="385"/>
      <c r="F34" s="385"/>
      <c r="G34" s="385"/>
      <c r="H34" s="385"/>
      <c r="I34" s="385"/>
      <c r="J34" s="385"/>
      <c r="K34" s="385"/>
      <c r="L34" s="385"/>
      <c r="M34" s="385"/>
      <c r="N34" s="385"/>
      <c r="O34" s="385"/>
      <c r="P34" s="385"/>
      <c r="Q34" s="385"/>
      <c r="R34" s="385"/>
      <c r="S34" s="385"/>
      <c r="T34" s="385"/>
      <c r="U34" s="385"/>
      <c r="V34" s="385"/>
      <c r="W34" s="385"/>
      <c r="X34" s="385"/>
      <c r="Y34" s="385"/>
      <c r="Z34" s="385"/>
      <c r="AA34" s="385"/>
      <c r="AB34" s="415"/>
    </row>
    <row r="35" customFormat="false" ht="12.6" hidden="false" customHeight="true" outlineLevel="0" collapsed="false">
      <c r="A35" s="410"/>
      <c r="B35" s="385"/>
      <c r="C35" s="385"/>
      <c r="D35" s="385"/>
      <c r="E35" s="385"/>
      <c r="F35" s="385"/>
      <c r="G35" s="385"/>
      <c r="H35" s="385"/>
      <c r="I35" s="385"/>
      <c r="J35" s="385"/>
      <c r="K35" s="385"/>
      <c r="L35" s="385"/>
      <c r="M35" s="385"/>
      <c r="N35" s="385"/>
      <c r="O35" s="385"/>
      <c r="P35" s="385"/>
      <c r="Q35" s="385"/>
      <c r="R35" s="385"/>
      <c r="S35" s="385"/>
      <c r="T35" s="385"/>
      <c r="U35" s="385"/>
      <c r="V35" s="385"/>
      <c r="W35" s="385"/>
      <c r="X35" s="385"/>
      <c r="Y35" s="385"/>
      <c r="Z35" s="385"/>
      <c r="AA35" s="385"/>
      <c r="AB35" s="415"/>
    </row>
    <row r="36" customFormat="false" ht="12.6" hidden="false" customHeight="true" outlineLevel="0" collapsed="false">
      <c r="A36" s="453" t="s">
        <v>558</v>
      </c>
      <c r="B36" s="474"/>
      <c r="C36" s="474"/>
      <c r="D36" s="515" t="n">
        <f aca="false">+D22-D31+(D32-'Project Assumptions'!$I$53)</f>
        <v>-2251.19021568476</v>
      </c>
      <c r="E36" s="749" t="n">
        <f aca="false">+E22-E31+(E32-D32)</f>
        <v>7264.08962391495</v>
      </c>
      <c r="F36" s="749" t="n">
        <f aca="false">+F22-F31+(F32-E32)</f>
        <v>5587.01817491304</v>
      </c>
      <c r="G36" s="749" t="n">
        <f aca="false">+G22-G31+(G32-F32)</f>
        <v>9092.5142688509</v>
      </c>
      <c r="H36" s="749" t="n">
        <f aca="false">+H22-H31+(H32-G32)</f>
        <v>16500.3613463457</v>
      </c>
      <c r="I36" s="749" t="n">
        <f aca="false">+I22-I31+(I32-H32)</f>
        <v>13083.4316611033</v>
      </c>
      <c r="J36" s="749" t="n">
        <f aca="false">+J22-J31+(J32-I32)</f>
        <v>12498.5310905058</v>
      </c>
      <c r="K36" s="749" t="n">
        <f aca="false">+K22-K31+(K32-J32)</f>
        <v>13357.2995455148</v>
      </c>
      <c r="L36" s="749" t="n">
        <f aca="false">+L22-L31+(L32-K32)</f>
        <v>9878.82050538863</v>
      </c>
      <c r="M36" s="749" t="n">
        <f aca="false">+M22-M31+(M32-L32)</f>
        <v>8269.13404475165</v>
      </c>
      <c r="N36" s="749" t="n">
        <f aca="false">+N22-N31+(N32-M32)</f>
        <v>18819.9350092867</v>
      </c>
      <c r="O36" s="749" t="n">
        <f aca="false">+O22-O31+(O32-N32)</f>
        <v>18874.9910909059</v>
      </c>
      <c r="P36" s="749" t="n">
        <f aca="false">+P22-P31+(P32-O32)</f>
        <v>19205.7571172487</v>
      </c>
      <c r="Q36" s="749" t="n">
        <f aca="false">+Q22-Q31+(Q32-P32)</f>
        <v>19541.2797488852</v>
      </c>
      <c r="R36" s="749" t="n">
        <f aca="false">+R22-R31+(R32-Q32)</f>
        <v>19853.1034096647</v>
      </c>
      <c r="S36" s="749" t="n">
        <f aca="false">+S22-S31+(S32-R32)</f>
        <v>18114.0702976094</v>
      </c>
      <c r="T36" s="749" t="n">
        <f aca="false">+T22-T31+(T32-S32)</f>
        <v>12832.7384280361</v>
      </c>
      <c r="U36" s="749" t="n">
        <f aca="false">+U22-U31+(U32-T32)</f>
        <v>11877.3833383571</v>
      </c>
      <c r="V36" s="749" t="n">
        <f aca="false">+V22-V31+(V32-U32)</f>
        <v>10271.7784876726</v>
      </c>
      <c r="W36" s="749" t="n">
        <f aca="false">+W22-W31+(W32-V32)</f>
        <v>9461.88998746349</v>
      </c>
      <c r="X36" s="749" t="n">
        <f aca="false">+X22-X31+(X32-W32)</f>
        <v>8082.73430343176</v>
      </c>
      <c r="Y36" s="749" t="n">
        <f aca="false">+Y22-Y31+(Y32-X32)</f>
        <v>0</v>
      </c>
      <c r="Z36" s="749" t="n">
        <f aca="false">+Z22-Z31+(Z32-Y32)</f>
        <v>0</v>
      </c>
      <c r="AA36" s="749" t="n">
        <f aca="false">+AA22-AA31+(AA32-Z32)</f>
        <v>0</v>
      </c>
      <c r="AB36" s="750" t="n">
        <f aca="false">+AB22-AB31+(AB32-AA32)</f>
        <v>0</v>
      </c>
    </row>
    <row r="38" customFormat="false" ht="12.6" hidden="false" customHeight="true" outlineLevel="0" collapsed="false">
      <c r="D38" s="33" t="n">
        <f aca="false">D36+D13+D12</f>
        <v>13133.7027348822</v>
      </c>
      <c r="E38" s="33" t="n">
        <f aca="false">E36+E13+E12</f>
        <v>22297.191870167</v>
      </c>
      <c r="F38" s="33" t="n">
        <f aca="false">(F36+F13+F12)*0.2</f>
        <v>4445.99758387001</v>
      </c>
      <c r="G38" s="33"/>
      <c r="H38" s="33"/>
      <c r="I38" s="33"/>
      <c r="J38" s="33"/>
      <c r="K38" s="33"/>
      <c r="L38" s="33"/>
      <c r="M38" s="33"/>
      <c r="N38" s="33"/>
      <c r="O38" s="33"/>
      <c r="P38" s="33"/>
      <c r="Q38" s="33"/>
      <c r="R38" s="33"/>
      <c r="S38" s="33"/>
      <c r="T38" s="33"/>
      <c r="U38" s="33"/>
      <c r="V38" s="33"/>
      <c r="W38" s="33"/>
      <c r="X38" s="33"/>
      <c r="Y38" s="33"/>
      <c r="Z38" s="33"/>
      <c r="AA38" s="33"/>
      <c r="AB38" s="33"/>
    </row>
    <row r="39" customFormat="false" ht="12.6" hidden="false" customHeight="true" outlineLevel="0" collapsed="false">
      <c r="D39" s="39"/>
    </row>
    <row r="42" customFormat="false" ht="12.6" hidden="false" customHeight="true" outlineLevel="0" collapsed="false">
      <c r="AF42" s="723"/>
      <c r="AU42" s="723"/>
    </row>
    <row r="43" customFormat="false" ht="12.6" hidden="false" customHeight="true" outlineLevel="0" collapsed="false">
      <c r="A43" s="7"/>
      <c r="B43" s="7"/>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row>
    <row r="44" customFormat="false" ht="12.6" hidden="false" customHeight="true" outlineLevel="0" collapsed="false">
      <c r="A44" s="7"/>
      <c r="B44" s="7"/>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row>
    <row r="45" customFormat="false" ht="12.6" hidden="false" customHeight="true" outlineLevel="0" collapsed="false">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c r="IW45" s="0"/>
    </row>
    <row r="46" customFormat="false" ht="12.6" hidden="false" customHeight="true" outlineLevel="0" collapsed="false">
      <c r="A46" s="7"/>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c r="IW46" s="0"/>
    </row>
    <row r="47" customFormat="false" ht="12.6" hidden="false" customHeight="true" outlineLevel="0" collapsed="false">
      <c r="A47" s="7"/>
      <c r="B47" s="7"/>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row>
    <row r="48" customFormat="false" ht="12.6" hidden="false" customHeight="true" outlineLevel="0" collapsed="false">
      <c r="A48" s="7"/>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c r="IW48" s="0"/>
    </row>
    <row r="49" customFormat="false" ht="12.6" hidden="false" customHeight="true" outlineLevel="0" collapsed="false">
      <c r="A49" s="7"/>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row>
    <row r="50" customFormat="false" ht="12.6" hidden="false" customHeight="true" outlineLevel="0" collapsed="false">
      <c r="A50" s="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row>
    <row r="51" customFormat="false" ht="12.6" hidden="false" customHeight="true" outlineLevel="0" collapsed="false">
      <c r="A51" s="7"/>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row>
    <row r="52" customFormat="false" ht="12.6" hidden="false" customHeight="true" outlineLevel="0" collapsed="false">
      <c r="A52" s="7"/>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c r="IW52" s="0"/>
    </row>
  </sheetData>
  <printOptions headings="false" gridLines="false" gridLinesSet="true" horizontalCentered="false" verticalCentered="false"/>
  <pageMargins left="0.25" right="0.25" top="0.2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colBreaks count="1" manualBreakCount="1">
    <brk id="15" man="true" max="65535" min="0"/>
  </col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45"/>
  <sheetViews>
    <sheetView showFormulas="false" showGridLines="true" showRowColHeaders="true" showZeros="true" rightToLeft="false" tabSelected="false" showOutlineSymbols="true" defaultGridColor="true" view="normal" topLeftCell="D16" colorId="64" zoomScale="100" zoomScaleNormal="100" zoomScalePageLayoutView="100" workbookViewId="0">
      <selection pane="topLeft" activeCell="D45" activeCellId="0" sqref="D45:X45"/>
    </sheetView>
  </sheetViews>
  <sheetFormatPr defaultColWidth="9.0546875" defaultRowHeight="12.75" customHeight="true" zeroHeight="false" outlineLevelRow="0" outlineLevelCol="0"/>
  <cols>
    <col collapsed="false" customWidth="true" hidden="false" outlineLevel="0" max="32" min="1" style="7" width="9.14"/>
  </cols>
  <sheetData>
    <row r="1" customFormat="false" ht="20.25" hidden="false" customHeight="false" outlineLevel="0" collapsed="false">
      <c r="A1" s="374" t="str">
        <f aca="false">'Project Assumptions'!$A$2</f>
        <v>GLEASON, TN</v>
      </c>
      <c r="B1" s="751"/>
      <c r="C1" s="751"/>
      <c r="D1" s="375"/>
    </row>
    <row r="2" customFormat="false" ht="12.75" hidden="false" customHeight="false" outlineLevel="0" collapsed="false">
      <c r="A2" s="377" t="s">
        <v>559</v>
      </c>
      <c r="B2" s="752"/>
      <c r="C2" s="752"/>
      <c r="D2" s="378"/>
    </row>
    <row r="3" customFormat="false" ht="12.75" hidden="false" customHeight="false" outlineLevel="0" collapsed="false">
      <c r="D3" s="753" t="n">
        <f aca="false">'[4]PPA Assumptions &amp;Summary'!C3</f>
        <v>1</v>
      </c>
      <c r="E3" s="753" t="n">
        <f aca="false">'[4]PPA Assumptions &amp;Summary'!D3</f>
        <v>2</v>
      </c>
      <c r="F3" s="753" t="n">
        <f aca="false">'[4]PPA Assumptions &amp;Summary'!E3</f>
        <v>3</v>
      </c>
      <c r="G3" s="753" t="n">
        <f aca="false">'[4]PPA Assumptions &amp;Summary'!F3</f>
        <v>4</v>
      </c>
      <c r="H3" s="753" t="n">
        <f aca="false">'[4]PPA Assumptions &amp;Summary'!G3</f>
        <v>5</v>
      </c>
      <c r="I3" s="753" t="n">
        <f aca="false">'[4]PPA Assumptions &amp;Summary'!H3</f>
        <v>6</v>
      </c>
      <c r="J3" s="753" t="n">
        <f aca="false">'[4]PPA Assumptions &amp;Summary'!I3</f>
        <v>7</v>
      </c>
      <c r="K3" s="753" t="n">
        <f aca="false">'[4]PPA Assumptions &amp;Summary'!J3</f>
        <v>8</v>
      </c>
      <c r="L3" s="753" t="n">
        <f aca="false">'[4]PPA Assumptions &amp;Summary'!K3</f>
        <v>9</v>
      </c>
      <c r="M3" s="753" t="n">
        <f aca="false">'[4]PPA Assumptions &amp;Summary'!L3</f>
        <v>10</v>
      </c>
      <c r="N3" s="753" t="n">
        <f aca="false">'[4]PPA Assumptions &amp;Summary'!M3</f>
        <v>11</v>
      </c>
      <c r="O3" s="753" t="n">
        <f aca="false">'[4]PPA Assumptions &amp;Summary'!N3</f>
        <v>12</v>
      </c>
      <c r="P3" s="753" t="n">
        <f aca="false">'[4]PPA Assumptions &amp;Summary'!O3</f>
        <v>13</v>
      </c>
      <c r="Q3" s="753" t="n">
        <f aca="false">'[4]PPA Assumptions &amp;Summary'!P3</f>
        <v>14</v>
      </c>
      <c r="R3" s="753" t="n">
        <f aca="false">'[4]PPA Assumptions &amp;Summary'!Q3</f>
        <v>15</v>
      </c>
      <c r="S3" s="753" t="n">
        <f aca="false">'[4]PPA Assumptions &amp;Summary'!R3</f>
        <v>16</v>
      </c>
      <c r="T3" s="753" t="n">
        <f aca="false">'[4]PPA Assumptions &amp;Summary'!S3</f>
        <v>17</v>
      </c>
      <c r="U3" s="753" t="n">
        <f aca="false">'[4]PPA Assumptions &amp;Summary'!T3</f>
        <v>18</v>
      </c>
      <c r="V3" s="753" t="n">
        <f aca="false">'[4]PPA Assumptions &amp;Summary'!U3</f>
        <v>19</v>
      </c>
      <c r="W3" s="753" t="n">
        <f aca="false">'[4]PPA Assumptions &amp;Summary'!V3</f>
        <v>20</v>
      </c>
      <c r="X3" s="753" t="n">
        <f aca="false">'[4]PPA Assumptions &amp;Summary'!W3</f>
        <v>21</v>
      </c>
    </row>
    <row r="4" customFormat="false" ht="12.75" hidden="false" customHeight="false" outlineLevel="0" collapsed="false">
      <c r="A4" s="380"/>
      <c r="B4" s="459"/>
      <c r="C4" s="459"/>
      <c r="D4" s="754" t="n">
        <f aca="false">'PPA Assumptions &amp;Summary'!C4</f>
        <v>2000</v>
      </c>
      <c r="E4" s="754" t="n">
        <f aca="false">'PPA Assumptions &amp;Summary'!D4</f>
        <v>2001</v>
      </c>
      <c r="F4" s="754" t="n">
        <f aca="false">'PPA Assumptions &amp;Summary'!E4</f>
        <v>2002</v>
      </c>
      <c r="G4" s="754" t="n">
        <f aca="false">'PPA Assumptions &amp;Summary'!F4</f>
        <v>2003</v>
      </c>
      <c r="H4" s="754" t="n">
        <f aca="false">'PPA Assumptions &amp;Summary'!G4</f>
        <v>2004</v>
      </c>
      <c r="I4" s="754" t="n">
        <f aca="false">'PPA Assumptions &amp;Summary'!H4</f>
        <v>2005</v>
      </c>
      <c r="J4" s="754" t="n">
        <f aca="false">'PPA Assumptions &amp;Summary'!I4</f>
        <v>2006</v>
      </c>
      <c r="K4" s="754" t="n">
        <f aca="false">'PPA Assumptions &amp;Summary'!J4</f>
        <v>2007</v>
      </c>
      <c r="L4" s="754" t="n">
        <f aca="false">'PPA Assumptions &amp;Summary'!K4</f>
        <v>2008</v>
      </c>
      <c r="M4" s="754" t="n">
        <f aca="false">'PPA Assumptions &amp;Summary'!L4</f>
        <v>2009</v>
      </c>
      <c r="N4" s="754" t="n">
        <f aca="false">'PPA Assumptions &amp;Summary'!M4</f>
        <v>2010</v>
      </c>
      <c r="O4" s="754" t="n">
        <f aca="false">'PPA Assumptions &amp;Summary'!N4</f>
        <v>2011</v>
      </c>
      <c r="P4" s="754" t="n">
        <f aca="false">'PPA Assumptions &amp;Summary'!O4</f>
        <v>2012</v>
      </c>
      <c r="Q4" s="754" t="n">
        <f aca="false">'PPA Assumptions &amp;Summary'!P4</f>
        <v>2013</v>
      </c>
      <c r="R4" s="754" t="n">
        <f aca="false">'PPA Assumptions &amp;Summary'!Q4</f>
        <v>2014</v>
      </c>
      <c r="S4" s="754" t="n">
        <f aca="false">'PPA Assumptions &amp;Summary'!R4</f>
        <v>2015</v>
      </c>
      <c r="T4" s="754" t="n">
        <f aca="false">'PPA Assumptions &amp;Summary'!S4</f>
        <v>2016</v>
      </c>
      <c r="U4" s="754" t="n">
        <f aca="false">'PPA Assumptions &amp;Summary'!T4</f>
        <v>2017</v>
      </c>
      <c r="V4" s="754" t="n">
        <f aca="false">'PPA Assumptions &amp;Summary'!U4</f>
        <v>2018</v>
      </c>
      <c r="W4" s="754" t="n">
        <f aca="false">'PPA Assumptions &amp;Summary'!V4</f>
        <v>2019</v>
      </c>
      <c r="X4" s="755" t="n">
        <f aca="false">'PPA Assumptions &amp;Summary'!W4</f>
        <v>2020</v>
      </c>
    </row>
    <row r="5" customFormat="false" ht="12.75" hidden="false" customHeight="false" outlineLevel="0" collapsed="false">
      <c r="A5" s="756" t="s">
        <v>560</v>
      </c>
      <c r="B5" s="265"/>
      <c r="C5" s="265"/>
      <c r="D5" s="265"/>
      <c r="E5" s="265"/>
      <c r="F5" s="265"/>
      <c r="G5" s="265"/>
      <c r="H5" s="265"/>
      <c r="I5" s="265"/>
      <c r="J5" s="265"/>
      <c r="K5" s="265"/>
      <c r="L5" s="265"/>
      <c r="M5" s="265"/>
      <c r="N5" s="265"/>
      <c r="O5" s="265"/>
      <c r="P5" s="265"/>
      <c r="Q5" s="265"/>
      <c r="R5" s="265"/>
      <c r="S5" s="265"/>
      <c r="T5" s="265"/>
      <c r="U5" s="265"/>
      <c r="V5" s="265"/>
      <c r="W5" s="265"/>
      <c r="X5" s="462"/>
    </row>
    <row r="6" customFormat="false" ht="12.75" hidden="false" customHeight="false" outlineLevel="0" collapsed="false">
      <c r="A6" s="400"/>
      <c r="B6" s="33" t="s">
        <v>561</v>
      </c>
      <c r="C6" s="265"/>
      <c r="D6" s="265"/>
      <c r="E6" s="265"/>
      <c r="F6" s="265"/>
      <c r="G6" s="265"/>
      <c r="H6" s="265"/>
      <c r="I6" s="265"/>
      <c r="J6" s="265"/>
      <c r="K6" s="265"/>
      <c r="L6" s="265"/>
      <c r="M6" s="265"/>
      <c r="N6" s="265"/>
      <c r="O6" s="265"/>
      <c r="P6" s="265"/>
      <c r="Q6" s="265"/>
      <c r="R6" s="265"/>
      <c r="S6" s="265"/>
      <c r="T6" s="265"/>
      <c r="U6" s="265"/>
      <c r="V6" s="265"/>
      <c r="W6" s="265"/>
      <c r="X6" s="462"/>
    </row>
    <row r="7" customFormat="false" ht="12.75" hidden="false" customHeight="false" outlineLevel="0" collapsed="false">
      <c r="A7" s="400"/>
      <c r="B7" s="33" t="s">
        <v>562</v>
      </c>
      <c r="C7" s="265"/>
      <c r="D7" s="265"/>
      <c r="E7" s="265"/>
      <c r="F7" s="265"/>
      <c r="G7" s="265"/>
      <c r="H7" s="265"/>
      <c r="I7" s="265"/>
      <c r="J7" s="265"/>
      <c r="K7" s="265"/>
      <c r="L7" s="265"/>
      <c r="M7" s="265"/>
      <c r="N7" s="265"/>
      <c r="O7" s="265"/>
      <c r="P7" s="265"/>
      <c r="Q7" s="265"/>
      <c r="R7" s="265"/>
      <c r="S7" s="265"/>
      <c r="T7" s="265"/>
      <c r="U7" s="265"/>
      <c r="V7" s="265"/>
      <c r="W7" s="265"/>
      <c r="X7" s="462"/>
    </row>
    <row r="8" customFormat="false" ht="12.75" hidden="false" customHeight="false" outlineLevel="0" collapsed="false">
      <c r="A8" s="400"/>
      <c r="B8" s="33" t="s">
        <v>563</v>
      </c>
      <c r="C8" s="265"/>
      <c r="D8" s="265"/>
      <c r="E8" s="265"/>
      <c r="F8" s="265"/>
      <c r="G8" s="265"/>
      <c r="H8" s="265"/>
      <c r="I8" s="265"/>
      <c r="J8" s="265"/>
      <c r="K8" s="265"/>
      <c r="L8" s="265"/>
      <c r="M8" s="265"/>
      <c r="N8" s="265"/>
      <c r="O8" s="265"/>
      <c r="P8" s="265"/>
      <c r="Q8" s="265"/>
      <c r="R8" s="265"/>
      <c r="S8" s="265"/>
      <c r="T8" s="265"/>
      <c r="U8" s="265"/>
      <c r="V8" s="265"/>
      <c r="W8" s="265"/>
      <c r="X8" s="462"/>
    </row>
    <row r="9" customFormat="false" ht="12.75" hidden="false" customHeight="false" outlineLevel="0" collapsed="false">
      <c r="A9" s="400"/>
      <c r="B9" s="33" t="s">
        <v>564</v>
      </c>
      <c r="C9" s="265"/>
      <c r="D9" s="265"/>
      <c r="E9" s="265"/>
      <c r="F9" s="265"/>
      <c r="G9" s="265"/>
      <c r="H9" s="265"/>
      <c r="I9" s="265"/>
      <c r="J9" s="265"/>
      <c r="K9" s="265"/>
      <c r="L9" s="265"/>
      <c r="M9" s="265"/>
      <c r="N9" s="265"/>
      <c r="O9" s="265"/>
      <c r="P9" s="265"/>
      <c r="Q9" s="265"/>
      <c r="R9" s="265"/>
      <c r="S9" s="265"/>
      <c r="T9" s="265"/>
      <c r="U9" s="265"/>
      <c r="V9" s="265"/>
      <c r="W9" s="265"/>
      <c r="X9" s="462"/>
    </row>
    <row r="10" customFormat="false" ht="12.75" hidden="false" customHeight="false" outlineLevel="0" collapsed="false">
      <c r="A10" s="400"/>
      <c r="B10" s="33" t="s">
        <v>565</v>
      </c>
      <c r="C10" s="265"/>
      <c r="D10" s="757" t="n">
        <f aca="false">IF(D3&gt;ProjectLife,0,'Project Assumptions'!$C$50+'Cash Flow Statement'!D17-'Cash Flow Statement'!D16)</f>
        <v>0</v>
      </c>
      <c r="E10" s="757" t="n">
        <f aca="false">IF(E3&gt;ProjectLife,0,'Project Assumptions'!$C$50+'Cash Flow Statement'!E17-'Cash Flow Statement'!E16)</f>
        <v>0</v>
      </c>
      <c r="F10" s="757" t="n">
        <f aca="false">IF(F3&gt;ProjectLife,0,'Project Assumptions'!$C$50+'Cash Flow Statement'!F17-'Cash Flow Statement'!F16)</f>
        <v>0</v>
      </c>
      <c r="G10" s="757" t="n">
        <f aca="false">IF(G3&gt;ProjectLife,0,'Project Assumptions'!$C$50+'Cash Flow Statement'!G17-'Cash Flow Statement'!G16)</f>
        <v>0</v>
      </c>
      <c r="H10" s="757" t="n">
        <f aca="false">IF(H3&gt;ProjectLife,0,'Project Assumptions'!$C$50+'Cash Flow Statement'!H17-'Cash Flow Statement'!H16)</f>
        <v>0</v>
      </c>
      <c r="I10" s="757" t="n">
        <f aca="false">IF(I3&gt;ProjectLife,0,'Project Assumptions'!$C$50+'Cash Flow Statement'!I17-'Cash Flow Statement'!I16)</f>
        <v>0</v>
      </c>
      <c r="J10" s="757" t="n">
        <f aca="false">IF(J3&gt;ProjectLife,0,'Project Assumptions'!$C$50+'Cash Flow Statement'!J17-'Cash Flow Statement'!J16)</f>
        <v>0</v>
      </c>
      <c r="K10" s="757" t="n">
        <f aca="false">IF(K3&gt;ProjectLife,0,'Project Assumptions'!$C$50+'Cash Flow Statement'!K17-'Cash Flow Statement'!K16)</f>
        <v>0</v>
      </c>
      <c r="L10" s="757" t="n">
        <f aca="false">IF(L3&gt;ProjectLife,0,'Project Assumptions'!$C$50+'Cash Flow Statement'!L17-'Cash Flow Statement'!L16)</f>
        <v>0</v>
      </c>
      <c r="M10" s="757" t="n">
        <f aca="false">IF(M3&gt;ProjectLife,0,'Project Assumptions'!$C$50+'Cash Flow Statement'!M17-'Cash Flow Statement'!M16)</f>
        <v>0</v>
      </c>
      <c r="N10" s="757" t="n">
        <f aca="false">IF(N3&gt;ProjectLife,0,'Project Assumptions'!$C$50+'Cash Flow Statement'!N17-'Cash Flow Statement'!N16)</f>
        <v>0</v>
      </c>
      <c r="O10" s="757" t="n">
        <f aca="false">IF(O3&gt;ProjectLife,0,'Project Assumptions'!$C$50+'Cash Flow Statement'!O17-'Cash Flow Statement'!O16)</f>
        <v>0</v>
      </c>
      <c r="P10" s="757" t="n">
        <f aca="false">IF(P3&gt;ProjectLife,0,'Project Assumptions'!$C$50+'Cash Flow Statement'!P17-'Cash Flow Statement'!P16)</f>
        <v>0</v>
      </c>
      <c r="Q10" s="757" t="n">
        <f aca="false">IF(Q3&gt;ProjectLife,0,'Project Assumptions'!$C$50+'Cash Flow Statement'!Q17-'Cash Flow Statement'!Q16)</f>
        <v>0</v>
      </c>
      <c r="R10" s="757" t="n">
        <f aca="false">IF(R3&gt;ProjectLife,0,'Project Assumptions'!$C$50+'Cash Flow Statement'!R17-'Cash Flow Statement'!R16)</f>
        <v>0</v>
      </c>
      <c r="S10" s="757" t="n">
        <f aca="false">IF(S3&gt;ProjectLife,0,'Project Assumptions'!$C$50+'Cash Flow Statement'!S17-'Cash Flow Statement'!S16)</f>
        <v>0</v>
      </c>
      <c r="T10" s="757" t="n">
        <f aca="false">IF(T3&gt;ProjectLife,0,'Project Assumptions'!$C$50+'Cash Flow Statement'!T17-'Cash Flow Statement'!T16)</f>
        <v>0</v>
      </c>
      <c r="U10" s="757" t="n">
        <f aca="false">IF(U3&gt;ProjectLife,0,'Project Assumptions'!$C$50+'Cash Flow Statement'!U17-'Cash Flow Statement'!U16)</f>
        <v>0</v>
      </c>
      <c r="V10" s="757" t="n">
        <f aca="false">IF(V3&gt;ProjectLife,0,'Project Assumptions'!$C$50+'Cash Flow Statement'!V17-'Cash Flow Statement'!V16)</f>
        <v>0</v>
      </c>
      <c r="W10" s="757" t="n">
        <f aca="false">IF(W3&gt;ProjectLife,0,'Project Assumptions'!$C$50+'Cash Flow Statement'!W17-'Cash Flow Statement'!W16)</f>
        <v>0</v>
      </c>
      <c r="X10" s="758" t="n">
        <f aca="false">IF(X3&gt;ProjectLife,0,'Project Assumptions'!$C$50+'Cash Flow Statement'!X17-'Cash Flow Statement'!X16)</f>
        <v>0</v>
      </c>
    </row>
    <row r="11" customFormat="false" ht="12.75" hidden="false" customHeight="false" outlineLevel="0" collapsed="false">
      <c r="A11" s="400"/>
      <c r="B11" s="33" t="s">
        <v>566</v>
      </c>
      <c r="C11" s="265"/>
      <c r="D11" s="759" t="n">
        <f aca="false">'Maintenance Reserves'!D13</f>
        <v>2365.3332</v>
      </c>
      <c r="E11" s="759" t="n">
        <f aca="false">'Maintenance Reserves'!E13</f>
        <v>4801.626396</v>
      </c>
      <c r="F11" s="759" t="n">
        <f aca="false">'Maintenance Reserves'!F13</f>
        <v>7311.00838788</v>
      </c>
      <c r="G11" s="759" t="n">
        <f aca="false">'Maintenance Reserves'!G13</f>
        <v>7535.60141989788</v>
      </c>
      <c r="H11" s="759" t="n">
        <f aca="false">'Maintenance Reserves'!H13</f>
        <v>10197.8047750834</v>
      </c>
      <c r="I11" s="759" t="n">
        <f aca="false">'Maintenance Reserves'!I13</f>
        <v>12939.8742309244</v>
      </c>
      <c r="J11" s="759" t="n">
        <f aca="false">'Maintenance Reserves'!J13</f>
        <v>7842.38896367293</v>
      </c>
      <c r="K11" s="759" t="n">
        <f aca="false">'Maintenance Reserves'!K13</f>
        <v>10751.4504493747</v>
      </c>
      <c r="L11" s="759" t="n">
        <f aca="false">'Maintenance Reserves'!L13</f>
        <v>13747.7837796475</v>
      </c>
      <c r="M11" s="759" t="n">
        <f aca="false">'Maintenance Reserves'!M13</f>
        <v>9665.37974544494</v>
      </c>
      <c r="N11" s="759" t="n">
        <f aca="false">'Maintenance Reserves'!N13</f>
        <v>12844.1897755314</v>
      </c>
      <c r="O11" s="759" t="n">
        <f aca="false">'Maintenance Reserves'!O13</f>
        <v>16118.3641065204</v>
      </c>
      <c r="P11" s="759" t="n">
        <f aca="false">'Maintenance Reserves'!P13</f>
        <v>19490.7636674391</v>
      </c>
      <c r="Q11" s="759" t="n">
        <f aca="false">'Maintenance Reserves'!Q13</f>
        <v>-7555.63841495429</v>
      </c>
      <c r="R11" s="759" t="n">
        <f aca="false">'Maintenance Reserves'!R13</f>
        <v>-3977.85972077563</v>
      </c>
      <c r="S11" s="759" t="n">
        <f aca="false">'Maintenance Reserves'!S13</f>
        <v>-292.747665771612</v>
      </c>
      <c r="T11" s="759" t="n">
        <f aca="false">'Maintenance Reserves'!T13</f>
        <v>37.0747735529599</v>
      </c>
      <c r="U11" s="759" t="n">
        <f aca="false">'Maintenance Reserves'!U13</f>
        <v>3946.61015270673</v>
      </c>
      <c r="V11" s="759" t="n">
        <f aca="false">'Maintenance Reserves'!V13</f>
        <v>7973.43159323511</v>
      </c>
      <c r="W11" s="759" t="n">
        <f aca="false">'Maintenance Reserves'!W13</f>
        <v>-20740.1284277616</v>
      </c>
      <c r="X11" s="760" t="n">
        <f aca="false">'Maintenance Reserves'!X13</f>
        <v>-16468.073561505</v>
      </c>
    </row>
    <row r="12" customFormat="false" ht="12.75" hidden="false" customHeight="false" outlineLevel="0" collapsed="false">
      <c r="A12" s="400"/>
      <c r="B12" s="33" t="s">
        <v>567</v>
      </c>
      <c r="C12" s="265"/>
      <c r="D12" s="22" t="n">
        <f aca="false">SUM(D6:D11)</f>
        <v>2365.3332</v>
      </c>
      <c r="E12" s="22" t="n">
        <f aca="false">SUM(E6:E11)</f>
        <v>4801.626396</v>
      </c>
      <c r="F12" s="22" t="n">
        <f aca="false">SUM(F6:F11)</f>
        <v>7311.00838788</v>
      </c>
      <c r="G12" s="22" t="n">
        <f aca="false">SUM(G6:G11)</f>
        <v>7535.60141989788</v>
      </c>
      <c r="H12" s="22" t="n">
        <f aca="false">SUM(H6:H11)</f>
        <v>10197.8047750834</v>
      </c>
      <c r="I12" s="22" t="n">
        <f aca="false">SUM(I6:I11)</f>
        <v>12939.8742309244</v>
      </c>
      <c r="J12" s="22" t="n">
        <f aca="false">SUM(J6:J11)</f>
        <v>7842.38896367293</v>
      </c>
      <c r="K12" s="22" t="n">
        <f aca="false">SUM(K6:K11)</f>
        <v>10751.4504493747</v>
      </c>
      <c r="L12" s="22" t="n">
        <f aca="false">SUM(L6:L11)</f>
        <v>13747.7837796475</v>
      </c>
      <c r="M12" s="22" t="n">
        <f aca="false">SUM(M6:M11)</f>
        <v>9665.37974544494</v>
      </c>
      <c r="N12" s="22" t="n">
        <f aca="false">SUM(N6:N11)</f>
        <v>12844.1897755314</v>
      </c>
      <c r="O12" s="22" t="n">
        <f aca="false">SUM(O6:O11)</f>
        <v>16118.3641065204</v>
      </c>
      <c r="P12" s="22" t="n">
        <f aca="false">SUM(P6:P11)</f>
        <v>19490.7636674391</v>
      </c>
      <c r="Q12" s="22" t="n">
        <f aca="false">SUM(Q6:Q11)</f>
        <v>-7555.63841495429</v>
      </c>
      <c r="R12" s="22" t="n">
        <f aca="false">SUM(R6:R11)</f>
        <v>-3977.85972077563</v>
      </c>
      <c r="S12" s="22" t="n">
        <f aca="false">SUM(S6:S11)</f>
        <v>-292.747665771612</v>
      </c>
      <c r="T12" s="22" t="n">
        <f aca="false">SUM(T6:T11)</f>
        <v>37.0747735529599</v>
      </c>
      <c r="U12" s="22" t="n">
        <f aca="false">SUM(U6:U11)</f>
        <v>3946.61015270673</v>
      </c>
      <c r="V12" s="22" t="n">
        <f aca="false">SUM(V6:V11)</f>
        <v>7973.43159323511</v>
      </c>
      <c r="W12" s="22" t="n">
        <f aca="false">SUM(W6:W11)</f>
        <v>-20740.1284277616</v>
      </c>
      <c r="X12" s="23" t="n">
        <f aca="false">SUM(X6:X11)</f>
        <v>-16468.073561505</v>
      </c>
    </row>
    <row r="13" customFormat="false" ht="12.75" hidden="false" customHeight="false" outlineLevel="0" collapsed="false">
      <c r="A13" s="761"/>
      <c r="B13" s="265"/>
      <c r="C13" s="265"/>
      <c r="D13" s="265"/>
      <c r="E13" s="265"/>
      <c r="F13" s="265"/>
      <c r="G13" s="265"/>
      <c r="H13" s="265"/>
      <c r="I13" s="265"/>
      <c r="J13" s="265"/>
      <c r="K13" s="265"/>
      <c r="L13" s="265"/>
      <c r="M13" s="265"/>
      <c r="N13" s="265"/>
      <c r="O13" s="265"/>
      <c r="P13" s="265"/>
      <c r="Q13" s="265"/>
      <c r="R13" s="265"/>
      <c r="S13" s="265"/>
      <c r="T13" s="265"/>
      <c r="U13" s="265"/>
      <c r="V13" s="265"/>
      <c r="W13" s="265"/>
      <c r="X13" s="462"/>
    </row>
    <row r="14" customFormat="false" ht="12.75" hidden="false" customHeight="false" outlineLevel="0" collapsed="false">
      <c r="A14" s="761"/>
      <c r="B14" s="265"/>
      <c r="C14" s="265"/>
      <c r="D14" s="265"/>
      <c r="E14" s="265"/>
      <c r="F14" s="265"/>
      <c r="G14" s="265"/>
      <c r="H14" s="265"/>
      <c r="I14" s="265"/>
      <c r="J14" s="265"/>
      <c r="K14" s="265"/>
      <c r="L14" s="265"/>
      <c r="M14" s="265"/>
      <c r="N14" s="265"/>
      <c r="O14" s="265"/>
      <c r="P14" s="265"/>
      <c r="Q14" s="265"/>
      <c r="R14" s="265"/>
      <c r="S14" s="265"/>
      <c r="T14" s="265"/>
      <c r="U14" s="265"/>
      <c r="V14" s="265"/>
      <c r="W14" s="265"/>
      <c r="X14" s="462"/>
    </row>
    <row r="15" customFormat="false" ht="12.75" hidden="false" customHeight="false" outlineLevel="0" collapsed="false">
      <c r="A15" s="400"/>
      <c r="B15" s="33" t="s">
        <v>568</v>
      </c>
      <c r="C15" s="265"/>
      <c r="D15" s="22" t="n">
        <f aca="false">Depreciation!$B$40</f>
        <v>173977.95</v>
      </c>
      <c r="E15" s="22" t="n">
        <f aca="false">Depreciation!$B$40</f>
        <v>173977.95</v>
      </c>
      <c r="F15" s="22" t="n">
        <f aca="false">Depreciation!$B$40</f>
        <v>173977.95</v>
      </c>
      <c r="G15" s="22" t="n">
        <f aca="false">Depreciation!$B$40</f>
        <v>173977.95</v>
      </c>
      <c r="H15" s="22" t="n">
        <f aca="false">Depreciation!$B$40</f>
        <v>173977.95</v>
      </c>
      <c r="I15" s="22" t="n">
        <f aca="false">Depreciation!$B$40</f>
        <v>173977.95</v>
      </c>
      <c r="J15" s="22" t="n">
        <f aca="false">Depreciation!$B$40</f>
        <v>173977.95</v>
      </c>
      <c r="K15" s="22" t="n">
        <f aca="false">Depreciation!$B$40</f>
        <v>173977.95</v>
      </c>
      <c r="L15" s="22" t="n">
        <f aca="false">Depreciation!$B$40</f>
        <v>173977.95</v>
      </c>
      <c r="M15" s="22" t="n">
        <f aca="false">Depreciation!$B$40</f>
        <v>173977.95</v>
      </c>
      <c r="N15" s="22" t="n">
        <f aca="false">Depreciation!$B$40</f>
        <v>173977.95</v>
      </c>
      <c r="O15" s="22" t="n">
        <f aca="false">Depreciation!$B$40</f>
        <v>173977.95</v>
      </c>
      <c r="P15" s="22" t="n">
        <f aca="false">Depreciation!$B$40</f>
        <v>173977.95</v>
      </c>
      <c r="Q15" s="22" t="n">
        <f aca="false">Depreciation!$B$40</f>
        <v>173977.95</v>
      </c>
      <c r="R15" s="22" t="n">
        <f aca="false">Depreciation!$B$40</f>
        <v>173977.95</v>
      </c>
      <c r="S15" s="22" t="n">
        <f aca="false">Depreciation!$B$40</f>
        <v>173977.95</v>
      </c>
      <c r="T15" s="22" t="n">
        <f aca="false">Depreciation!$B$40</f>
        <v>173977.95</v>
      </c>
      <c r="U15" s="22" t="n">
        <f aca="false">Depreciation!$B$40</f>
        <v>173977.95</v>
      </c>
      <c r="V15" s="22" t="n">
        <f aca="false">Depreciation!$B$40</f>
        <v>173977.95</v>
      </c>
      <c r="W15" s="22" t="n">
        <f aca="false">Depreciation!$B$40</f>
        <v>173977.95</v>
      </c>
      <c r="X15" s="23" t="n">
        <f aca="false">Depreciation!$B$40</f>
        <v>173977.95</v>
      </c>
    </row>
    <row r="16" customFormat="false" ht="12.75" hidden="false" customHeight="false" outlineLevel="0" collapsed="false">
      <c r="A16" s="400"/>
      <c r="B16" s="33" t="s">
        <v>569</v>
      </c>
      <c r="C16" s="265"/>
      <c r="D16" s="762" t="n">
        <f aca="false">SUM(Depreciation!$D$40:D40)</f>
        <v>3246.97253416667</v>
      </c>
      <c r="E16" s="762" t="n">
        <f aca="false">SUM(Depreciation!$D$40:E40)</f>
        <v>8813.21116416667</v>
      </c>
      <c r="F16" s="762" t="n">
        <f aca="false">SUM(Depreciation!$D$40:F40)</f>
        <v>14379.4497941667</v>
      </c>
      <c r="G16" s="762" t="n">
        <f aca="false">SUM(Depreciation!$D$40:G40)</f>
        <v>19945.6884241667</v>
      </c>
      <c r="H16" s="762" t="n">
        <f aca="false">SUM(Depreciation!$D$40:H40)</f>
        <v>25511.9270541667</v>
      </c>
      <c r="I16" s="762" t="n">
        <f aca="false">SUM(Depreciation!$D$40:I40)</f>
        <v>30840.0969675</v>
      </c>
      <c r="J16" s="762" t="n">
        <f aca="false">SUM(Depreciation!$D$40:J40)</f>
        <v>35998.2177975</v>
      </c>
      <c r="K16" s="762" t="n">
        <f aca="false">SUM(Depreciation!$D$40:K40)</f>
        <v>41156.3386275</v>
      </c>
      <c r="L16" s="762" t="n">
        <f aca="false">SUM(Depreciation!$D$40:L40)</f>
        <v>46314.4594575</v>
      </c>
      <c r="M16" s="762" t="n">
        <f aca="false">SUM(Depreciation!$D$40:M40)</f>
        <v>51472.5802875</v>
      </c>
      <c r="N16" s="762" t="n">
        <f aca="false">SUM(Depreciation!$D$40:N40)</f>
        <v>56630.7011175</v>
      </c>
      <c r="O16" s="762" t="n">
        <f aca="false">SUM(Depreciation!$D$40:O40)</f>
        <v>61788.8219475</v>
      </c>
      <c r="P16" s="762" t="n">
        <f aca="false">SUM(Depreciation!$D$40:P40)</f>
        <v>66946.9427775</v>
      </c>
      <c r="Q16" s="762" t="n">
        <f aca="false">SUM(Depreciation!$D$40:Q40)</f>
        <v>72105.0636075</v>
      </c>
      <c r="R16" s="762" t="n">
        <f aca="false">SUM(Depreciation!$D$40:R40)</f>
        <v>77263.1844375</v>
      </c>
      <c r="S16" s="762" t="n">
        <f aca="false">SUM(Depreciation!$D$40:S40)</f>
        <v>82421.3052675</v>
      </c>
      <c r="T16" s="762" t="n">
        <f aca="false">SUM(Depreciation!$D$40:T40)</f>
        <v>87579.4260975</v>
      </c>
      <c r="U16" s="762" t="n">
        <f aca="false">SUM(Depreciation!$D$40:U40)</f>
        <v>92737.5469275</v>
      </c>
      <c r="V16" s="762" t="n">
        <f aca="false">SUM(Depreciation!$D$40:V40)</f>
        <v>97895.6677575</v>
      </c>
      <c r="W16" s="762" t="n">
        <f aca="false">SUM(Depreciation!$D$40:W40)</f>
        <v>103053.7885875</v>
      </c>
      <c r="X16" s="763" t="n">
        <f aca="false">SUM(Depreciation!$D$40:X40)</f>
        <v>108211.9094175</v>
      </c>
    </row>
    <row r="17" customFormat="false" ht="12.75" hidden="false" customHeight="false" outlineLevel="0" collapsed="false">
      <c r="A17" s="400"/>
      <c r="B17" s="33" t="s">
        <v>570</v>
      </c>
      <c r="C17" s="265"/>
      <c r="D17" s="22" t="n">
        <f aca="false">D15-D16</f>
        <v>170730.977465833</v>
      </c>
      <c r="E17" s="22" t="n">
        <f aca="false">E15-E16</f>
        <v>165164.738835833</v>
      </c>
      <c r="F17" s="22" t="n">
        <f aca="false">F15-F16</f>
        <v>159598.500205833</v>
      </c>
      <c r="G17" s="22" t="n">
        <f aca="false">G15-G16</f>
        <v>154032.261575833</v>
      </c>
      <c r="H17" s="22" t="n">
        <f aca="false">H15-H16</f>
        <v>148466.022945833</v>
      </c>
      <c r="I17" s="22" t="n">
        <f aca="false">I15-I16</f>
        <v>143137.8530325</v>
      </c>
      <c r="J17" s="22" t="n">
        <f aca="false">J15-J16</f>
        <v>137979.7322025</v>
      </c>
      <c r="K17" s="22" t="n">
        <f aca="false">K15-K16</f>
        <v>132821.6113725</v>
      </c>
      <c r="L17" s="22" t="n">
        <f aca="false">L15-L16</f>
        <v>127663.4905425</v>
      </c>
      <c r="M17" s="22" t="n">
        <f aca="false">M15-M16</f>
        <v>122505.3697125</v>
      </c>
      <c r="N17" s="22" t="n">
        <f aca="false">N15-N16</f>
        <v>117347.2488825</v>
      </c>
      <c r="O17" s="22" t="n">
        <f aca="false">O15-O16</f>
        <v>112189.1280525</v>
      </c>
      <c r="P17" s="22" t="n">
        <f aca="false">P15-P16</f>
        <v>107031.0072225</v>
      </c>
      <c r="Q17" s="22" t="n">
        <f aca="false">Q15-Q16</f>
        <v>101872.8863925</v>
      </c>
      <c r="R17" s="22" t="n">
        <f aca="false">R15-R16</f>
        <v>96714.7655625</v>
      </c>
      <c r="S17" s="22" t="n">
        <f aca="false">S15-S16</f>
        <v>91556.6447325</v>
      </c>
      <c r="T17" s="22" t="n">
        <f aca="false">T15-T16</f>
        <v>86398.5239025</v>
      </c>
      <c r="U17" s="22" t="n">
        <f aca="false">U15-U16</f>
        <v>81240.4030725</v>
      </c>
      <c r="V17" s="22" t="n">
        <f aca="false">V15-V16</f>
        <v>76082.2822425</v>
      </c>
      <c r="W17" s="22" t="n">
        <f aca="false">W15-W16</f>
        <v>70924.1614125</v>
      </c>
      <c r="X17" s="23" t="n">
        <f aca="false">X15-X16</f>
        <v>65766.0405825</v>
      </c>
    </row>
    <row r="18" customFormat="false" ht="12.75" hidden="false" customHeight="false" outlineLevel="0" collapsed="false">
      <c r="A18" s="400"/>
      <c r="B18" s="33" t="s">
        <v>571</v>
      </c>
      <c r="C18" s="265"/>
      <c r="D18" s="265" t="n">
        <f aca="false">'Project Assumptions'!$C$25</f>
        <v>369.041</v>
      </c>
      <c r="E18" s="265" t="n">
        <f aca="false">'Project Assumptions'!$C$25</f>
        <v>369.041</v>
      </c>
      <c r="F18" s="265" t="n">
        <f aca="false">'Project Assumptions'!$C$25</f>
        <v>369.041</v>
      </c>
      <c r="G18" s="265" t="n">
        <f aca="false">'Project Assumptions'!$C$25</f>
        <v>369.041</v>
      </c>
      <c r="H18" s="265" t="n">
        <f aca="false">'Project Assumptions'!$C$25</f>
        <v>369.041</v>
      </c>
      <c r="I18" s="265" t="n">
        <f aca="false">'Project Assumptions'!$C$25</f>
        <v>369.041</v>
      </c>
      <c r="J18" s="265" t="n">
        <f aca="false">'Project Assumptions'!$C$25</f>
        <v>369.041</v>
      </c>
      <c r="K18" s="265" t="n">
        <f aca="false">'Project Assumptions'!$C$25</f>
        <v>369.041</v>
      </c>
      <c r="L18" s="265" t="n">
        <f aca="false">'Project Assumptions'!$C$25</f>
        <v>369.041</v>
      </c>
      <c r="M18" s="265" t="n">
        <f aca="false">'Project Assumptions'!$C$25</f>
        <v>369.041</v>
      </c>
      <c r="N18" s="265" t="n">
        <f aca="false">'Project Assumptions'!$C$25</f>
        <v>369.041</v>
      </c>
      <c r="O18" s="265" t="n">
        <f aca="false">'Project Assumptions'!$C$25</f>
        <v>369.041</v>
      </c>
      <c r="P18" s="265" t="n">
        <f aca="false">'Project Assumptions'!$C$25</f>
        <v>369.041</v>
      </c>
      <c r="Q18" s="265" t="n">
        <f aca="false">'Project Assumptions'!$C$25</f>
        <v>369.041</v>
      </c>
      <c r="R18" s="265" t="n">
        <f aca="false">'Project Assumptions'!$C$25</f>
        <v>369.041</v>
      </c>
      <c r="S18" s="265" t="n">
        <f aca="false">'Project Assumptions'!$C$25</f>
        <v>369.041</v>
      </c>
      <c r="T18" s="265" t="n">
        <f aca="false">'Project Assumptions'!$C$25</f>
        <v>369.041</v>
      </c>
      <c r="U18" s="265" t="n">
        <f aca="false">'Project Assumptions'!$C$25</f>
        <v>369.041</v>
      </c>
      <c r="V18" s="265" t="n">
        <f aca="false">'Project Assumptions'!$C$25</f>
        <v>369.041</v>
      </c>
      <c r="W18" s="265" t="n">
        <f aca="false">'Project Assumptions'!$C$25</f>
        <v>369.041</v>
      </c>
      <c r="X18" s="462" t="n">
        <f aca="false">'Project Assumptions'!$C$25</f>
        <v>369.041</v>
      </c>
    </row>
    <row r="19" customFormat="false" ht="12.75" hidden="false" customHeight="false" outlineLevel="0" collapsed="false">
      <c r="A19" s="400"/>
      <c r="B19" s="33" t="s">
        <v>572</v>
      </c>
      <c r="C19" s="265"/>
      <c r="D19" s="759" t="n">
        <v>0</v>
      </c>
      <c r="E19" s="759" t="n">
        <v>0</v>
      </c>
      <c r="F19" s="759" t="n">
        <v>0</v>
      </c>
      <c r="G19" s="759" t="n">
        <v>0</v>
      </c>
      <c r="H19" s="759" t="n">
        <v>0</v>
      </c>
      <c r="I19" s="759" t="n">
        <v>0</v>
      </c>
      <c r="J19" s="759" t="n">
        <v>0</v>
      </c>
      <c r="K19" s="759" t="n">
        <v>0</v>
      </c>
      <c r="L19" s="759" t="n">
        <v>0</v>
      </c>
      <c r="M19" s="759" t="n">
        <v>0</v>
      </c>
      <c r="N19" s="759" t="n">
        <v>0</v>
      </c>
      <c r="O19" s="759" t="n">
        <v>0</v>
      </c>
      <c r="P19" s="759" t="n">
        <v>0</v>
      </c>
      <c r="Q19" s="759" t="n">
        <v>0</v>
      </c>
      <c r="R19" s="759" t="n">
        <v>0</v>
      </c>
      <c r="S19" s="759" t="n">
        <v>0</v>
      </c>
      <c r="T19" s="759" t="n">
        <v>0</v>
      </c>
      <c r="U19" s="759" t="n">
        <v>0</v>
      </c>
      <c r="V19" s="759" t="n">
        <v>0</v>
      </c>
      <c r="W19" s="759" t="n">
        <v>0</v>
      </c>
      <c r="X19" s="760" t="n">
        <v>0</v>
      </c>
    </row>
    <row r="20" customFormat="false" ht="12.75" hidden="false" customHeight="false" outlineLevel="0" collapsed="false">
      <c r="A20" s="761"/>
      <c r="B20" s="265"/>
      <c r="C20" s="265"/>
      <c r="D20" s="265"/>
      <c r="E20" s="265"/>
      <c r="F20" s="265"/>
      <c r="G20" s="265"/>
      <c r="H20" s="265"/>
      <c r="I20" s="265"/>
      <c r="J20" s="265"/>
      <c r="K20" s="265"/>
      <c r="L20" s="265"/>
      <c r="M20" s="265"/>
      <c r="N20" s="265"/>
      <c r="O20" s="265"/>
      <c r="P20" s="265"/>
      <c r="Q20" s="265"/>
      <c r="R20" s="265"/>
      <c r="S20" s="265"/>
      <c r="T20" s="265"/>
      <c r="U20" s="265"/>
      <c r="V20" s="265"/>
      <c r="W20" s="265"/>
      <c r="X20" s="462"/>
    </row>
    <row r="21" customFormat="false" ht="12.75" hidden="false" customHeight="false" outlineLevel="0" collapsed="false">
      <c r="A21" s="764" t="s">
        <v>573</v>
      </c>
      <c r="B21" s="476"/>
      <c r="C21" s="476"/>
      <c r="D21" s="765" t="n">
        <f aca="false">D12+SUM(D17:D19)</f>
        <v>173465.351665833</v>
      </c>
      <c r="E21" s="765" t="n">
        <f aca="false">E12+SUM(E17:E19)</f>
        <v>170335.406231833</v>
      </c>
      <c r="F21" s="765" t="n">
        <f aca="false">F12+SUM(F17:F19)</f>
        <v>167278.549593713</v>
      </c>
      <c r="G21" s="765" t="n">
        <f aca="false">G12+SUM(G17:G19)</f>
        <v>161936.903995731</v>
      </c>
      <c r="H21" s="765" t="n">
        <f aca="false">H12+SUM(H17:H19)</f>
        <v>159032.868720917</v>
      </c>
      <c r="I21" s="765" t="n">
        <f aca="false">I12+SUM(I17:I19)</f>
        <v>156446.768263424</v>
      </c>
      <c r="J21" s="765" t="n">
        <f aca="false">J12+SUM(J17:J19)</f>
        <v>146191.162166173</v>
      </c>
      <c r="K21" s="765" t="n">
        <f aca="false">K12+SUM(K17:K19)</f>
        <v>143942.102821875</v>
      </c>
      <c r="L21" s="765" t="n">
        <f aca="false">L12+SUM(L17:L19)</f>
        <v>141780.315322148</v>
      </c>
      <c r="M21" s="765" t="n">
        <f aca="false">M12+SUM(M17:M19)</f>
        <v>132539.790457945</v>
      </c>
      <c r="N21" s="765" t="n">
        <f aca="false">N12+SUM(N17:N19)</f>
        <v>130560.479658031</v>
      </c>
      <c r="O21" s="765" t="n">
        <f aca="false">O12+SUM(O17:O19)</f>
        <v>128676.53315902</v>
      </c>
      <c r="P21" s="765" t="n">
        <f aca="false">P12+SUM(P17:P19)</f>
        <v>126890.811889939</v>
      </c>
      <c r="Q21" s="765" t="n">
        <f aca="false">Q12+SUM(Q17:Q19)</f>
        <v>94686.2889775457</v>
      </c>
      <c r="R21" s="765" t="n">
        <f aca="false">R12+SUM(R17:R19)</f>
        <v>93105.9468417244</v>
      </c>
      <c r="S21" s="765" t="n">
        <f aca="false">S12+SUM(S17:S19)</f>
        <v>91632.9380667284</v>
      </c>
      <c r="T21" s="765" t="n">
        <f aca="false">T12+SUM(T17:T19)</f>
        <v>86804.639676053</v>
      </c>
      <c r="U21" s="765" t="n">
        <f aca="false">U12+SUM(U17:U19)</f>
        <v>85556.0542252067</v>
      </c>
      <c r="V21" s="765" t="n">
        <f aca="false">V12+SUM(V17:V19)</f>
        <v>84424.7548357351</v>
      </c>
      <c r="W21" s="765" t="n">
        <f aca="false">W12+SUM(W17:W19)</f>
        <v>50553.0739847384</v>
      </c>
      <c r="X21" s="766" t="n">
        <f aca="false">X12+SUM(X17:X19)</f>
        <v>49667.008020995</v>
      </c>
    </row>
    <row r="22" customFormat="false" ht="12.75" hidden="false" customHeight="false" outlineLevel="0" collapsed="false">
      <c r="A22" s="33"/>
    </row>
    <row r="23" customFormat="false" ht="12.75" hidden="false" customHeight="false" outlineLevel="0" collapsed="false">
      <c r="A23" s="767" t="s">
        <v>574</v>
      </c>
      <c r="B23" s="459"/>
      <c r="C23" s="459"/>
      <c r="D23" s="459"/>
      <c r="E23" s="459"/>
      <c r="F23" s="459"/>
      <c r="G23" s="459"/>
      <c r="H23" s="459"/>
      <c r="I23" s="459"/>
      <c r="J23" s="459"/>
      <c r="K23" s="459"/>
      <c r="L23" s="459"/>
      <c r="M23" s="459"/>
      <c r="N23" s="459"/>
      <c r="O23" s="459"/>
      <c r="P23" s="459"/>
      <c r="Q23" s="459"/>
      <c r="R23" s="459"/>
      <c r="S23" s="459"/>
      <c r="T23" s="459"/>
      <c r="U23" s="459"/>
      <c r="V23" s="459"/>
      <c r="W23" s="459"/>
      <c r="X23" s="460"/>
    </row>
    <row r="24" customFormat="false" ht="12.75" hidden="false" customHeight="false" outlineLevel="0" collapsed="false">
      <c r="A24" s="400"/>
      <c r="B24" s="33" t="s">
        <v>575</v>
      </c>
      <c r="C24" s="265"/>
      <c r="D24" s="768" t="n">
        <f aca="false">'Maintenance Reserves'!D13</f>
        <v>2365.3332</v>
      </c>
      <c r="E24" s="768" t="n">
        <f aca="false">'Maintenance Reserves'!E13</f>
        <v>4801.626396</v>
      </c>
      <c r="F24" s="768" t="n">
        <f aca="false">'Maintenance Reserves'!F13</f>
        <v>7311.00838788</v>
      </c>
      <c r="G24" s="768" t="n">
        <f aca="false">'Maintenance Reserves'!G13</f>
        <v>7535.60141989788</v>
      </c>
      <c r="H24" s="768" t="n">
        <f aca="false">'Maintenance Reserves'!H13</f>
        <v>10197.8047750834</v>
      </c>
      <c r="I24" s="768" t="n">
        <f aca="false">'Maintenance Reserves'!I13</f>
        <v>12939.8742309244</v>
      </c>
      <c r="J24" s="768" t="n">
        <f aca="false">'Maintenance Reserves'!J13</f>
        <v>7842.38896367293</v>
      </c>
      <c r="K24" s="768" t="n">
        <f aca="false">'Maintenance Reserves'!K13</f>
        <v>10751.4504493747</v>
      </c>
      <c r="L24" s="768" t="n">
        <f aca="false">'Maintenance Reserves'!L13</f>
        <v>13747.7837796475</v>
      </c>
      <c r="M24" s="768" t="n">
        <f aca="false">'Maintenance Reserves'!M13</f>
        <v>9665.37974544494</v>
      </c>
      <c r="N24" s="768" t="n">
        <f aca="false">'Maintenance Reserves'!N13</f>
        <v>12844.1897755314</v>
      </c>
      <c r="O24" s="768" t="n">
        <f aca="false">'Maintenance Reserves'!O13</f>
        <v>16118.3641065204</v>
      </c>
      <c r="P24" s="768" t="n">
        <f aca="false">'Maintenance Reserves'!P13</f>
        <v>19490.7636674391</v>
      </c>
      <c r="Q24" s="768" t="n">
        <f aca="false">'Maintenance Reserves'!Q13</f>
        <v>-7555.63841495429</v>
      </c>
      <c r="R24" s="768" t="n">
        <f aca="false">'Maintenance Reserves'!R13</f>
        <v>-3977.85972077563</v>
      </c>
      <c r="S24" s="768" t="n">
        <f aca="false">'Maintenance Reserves'!S13</f>
        <v>-292.747665771612</v>
      </c>
      <c r="T24" s="768" t="n">
        <f aca="false">'Maintenance Reserves'!T13</f>
        <v>37.0747735529599</v>
      </c>
      <c r="U24" s="768" t="n">
        <f aca="false">'Maintenance Reserves'!U13</f>
        <v>3946.61015270673</v>
      </c>
      <c r="V24" s="768" t="n">
        <f aca="false">'Maintenance Reserves'!V13</f>
        <v>7973.43159323511</v>
      </c>
      <c r="W24" s="768" t="n">
        <f aca="false">'Maintenance Reserves'!W13</f>
        <v>-20740.1284277616</v>
      </c>
      <c r="X24" s="769" t="n">
        <f aca="false">'Maintenance Reserves'!X13</f>
        <v>-16468.073561505</v>
      </c>
    </row>
    <row r="25" customFormat="false" ht="12.75" hidden="false" customHeight="false" outlineLevel="0" collapsed="false">
      <c r="A25" s="400"/>
      <c r="B25" s="33" t="s">
        <v>576</v>
      </c>
      <c r="C25" s="265"/>
      <c r="D25" s="265"/>
      <c r="E25" s="265"/>
      <c r="F25" s="265"/>
      <c r="G25" s="265"/>
      <c r="H25" s="265"/>
      <c r="I25" s="265"/>
      <c r="J25" s="265"/>
      <c r="K25" s="265"/>
      <c r="L25" s="265"/>
      <c r="M25" s="265"/>
      <c r="N25" s="265"/>
      <c r="O25" s="265"/>
      <c r="P25" s="265"/>
      <c r="Q25" s="265"/>
      <c r="R25" s="265"/>
      <c r="S25" s="265"/>
      <c r="T25" s="265"/>
      <c r="U25" s="265"/>
      <c r="V25" s="265"/>
      <c r="W25" s="265"/>
      <c r="X25" s="462"/>
    </row>
    <row r="26" customFormat="false" ht="12.75" hidden="false" customHeight="false" outlineLevel="0" collapsed="false">
      <c r="A26" s="400"/>
      <c r="B26" s="33" t="s">
        <v>577</v>
      </c>
      <c r="C26" s="265"/>
      <c r="D26" s="22" t="n">
        <f aca="false">'Tax Calculations'!D59</f>
        <v>38.6756628944766</v>
      </c>
      <c r="E26" s="22" t="n">
        <f aca="false">'Tax Calculations'!E59</f>
        <v>2835.3688822709</v>
      </c>
      <c r="F26" s="22" t="n">
        <f aca="false">'Tax Calculations'!F59</f>
        <v>5746.92843002799</v>
      </c>
      <c r="G26" s="22" t="n">
        <f aca="false">'Tax Calculations'!G59</f>
        <v>10865.1681306848</v>
      </c>
      <c r="H26" s="22" t="n">
        <f aca="false">'Tax Calculations'!H59</f>
        <v>16852.5997644165</v>
      </c>
      <c r="I26" s="22" t="n">
        <f aca="false">'Tax Calculations'!I59</f>
        <v>19094.1621842926</v>
      </c>
      <c r="J26" s="22" t="n">
        <f aca="false">'Tax Calculations'!J59</f>
        <v>21106.7104869677</v>
      </c>
      <c r="K26" s="22" t="n">
        <f aca="false">'Tax Calculations'!K59</f>
        <v>23126.1986113762</v>
      </c>
      <c r="L26" s="22" t="n">
        <f aca="false">'Tax Calculations'!L59</f>
        <v>25138.7469140513</v>
      </c>
      <c r="M26" s="22" t="n">
        <f aca="false">'Tax Calculations'!M59</f>
        <v>27158.2350384598</v>
      </c>
      <c r="N26" s="22" t="n">
        <f aca="false">'Tax Calculations'!N59</f>
        <v>29170.7833411349</v>
      </c>
      <c r="O26" s="22" t="n">
        <f aca="false">'Tax Calculations'!O59</f>
        <v>31190.2714655434</v>
      </c>
      <c r="P26" s="22" t="n">
        <f aca="false">'Tax Calculations'!P59</f>
        <v>33202.8197682185</v>
      </c>
      <c r="Q26" s="22" t="n">
        <f aca="false">'Tax Calculations'!Q59</f>
        <v>35222.307892627</v>
      </c>
      <c r="R26" s="22" t="n">
        <f aca="false">'Tax Calculations'!R59</f>
        <v>37234.8561953021</v>
      </c>
      <c r="S26" s="22" t="n">
        <f aca="false">'Tax Calculations'!S59</f>
        <v>37200.1570866353</v>
      </c>
      <c r="T26" s="22" t="n">
        <f aca="false">'Tax Calculations'!T59</f>
        <v>35118.2105666266</v>
      </c>
      <c r="U26" s="22" t="n">
        <f aca="false">'Tax Calculations'!U59</f>
        <v>33036.2640466178</v>
      </c>
      <c r="V26" s="22" t="n">
        <f aca="false">'Tax Calculations'!V59</f>
        <v>30954.3175266091</v>
      </c>
      <c r="W26" s="22" t="n">
        <f aca="false">'Tax Calculations'!W59</f>
        <v>28872.3710066003</v>
      </c>
      <c r="X26" s="23" t="n">
        <f aca="false">'Tax Calculations'!X59</f>
        <v>26790.4244865916</v>
      </c>
    </row>
    <row r="27" customFormat="false" ht="12.75" hidden="false" customHeight="false" outlineLevel="0" collapsed="false">
      <c r="A27" s="400"/>
      <c r="B27" s="33" t="s">
        <v>578</v>
      </c>
      <c r="C27" s="265"/>
      <c r="D27" s="265"/>
      <c r="E27" s="265"/>
      <c r="F27" s="265"/>
      <c r="G27" s="265"/>
      <c r="H27" s="265"/>
      <c r="I27" s="265"/>
      <c r="J27" s="265"/>
      <c r="K27" s="265"/>
      <c r="L27" s="265"/>
      <c r="M27" s="265"/>
      <c r="N27" s="265"/>
      <c r="O27" s="265"/>
      <c r="P27" s="265"/>
      <c r="Q27" s="265"/>
      <c r="R27" s="265"/>
      <c r="S27" s="265"/>
      <c r="T27" s="265"/>
      <c r="U27" s="265"/>
      <c r="V27" s="265"/>
      <c r="W27" s="265"/>
      <c r="X27" s="462"/>
    </row>
    <row r="28" customFormat="false" ht="12.75" hidden="false" customHeight="false" outlineLevel="0" collapsed="false">
      <c r="A28" s="400"/>
      <c r="B28" s="33" t="s">
        <v>579</v>
      </c>
      <c r="C28" s="265"/>
      <c r="D28" s="22" t="n">
        <f aca="false">'Debt Amortization'!E55</f>
        <v>125546.12496</v>
      </c>
      <c r="E28" s="22" t="n">
        <f aca="false">'Debt Amortization'!F55</f>
        <v>120315.03642</v>
      </c>
      <c r="F28" s="22" t="n">
        <f aca="false">'Debt Amortization'!G55</f>
        <v>113122.2896775</v>
      </c>
      <c r="G28" s="22" t="n">
        <f aca="false">'Debt Amortization'!H55</f>
        <v>103967.8847325</v>
      </c>
      <c r="H28" s="22" t="n">
        <f aca="false">'Debt Amortization'!I55</f>
        <v>98632.1744217</v>
      </c>
      <c r="I28" s="22" t="n">
        <f aca="false">'Debt Amortization'!J55</f>
        <v>93296.4641109</v>
      </c>
      <c r="J28" s="22" t="n">
        <f aca="false">'Debt Amortization'!K55</f>
        <v>87254.5568472</v>
      </c>
      <c r="K28" s="22" t="n">
        <f aca="false">'Debt Amortization'!L55</f>
        <v>81212.6495835</v>
      </c>
      <c r="L28" s="22" t="n">
        <f aca="false">'Debt Amortization'!M55</f>
        <v>71247.4259148</v>
      </c>
      <c r="M28" s="22" t="n">
        <f aca="false">'Debt Amortization'!N55</f>
        <v>58614.3470907</v>
      </c>
      <c r="N28" s="22" t="n">
        <f aca="false">'Debt Amortization'!O55</f>
        <v>55789.5592791</v>
      </c>
      <c r="O28" s="22" t="n">
        <f aca="false">'Debt Amortization'!P55</f>
        <v>52258.5745146</v>
      </c>
      <c r="P28" s="22" t="n">
        <f aca="false">'Debt Amortization'!Q55</f>
        <v>48727.5897501</v>
      </c>
      <c r="Q28" s="22" t="n">
        <f aca="false">'Debt Amortization'!R55</f>
        <v>45196.6049856</v>
      </c>
      <c r="R28" s="22" t="n">
        <f aca="false">'Debt Amortization'!S55</f>
        <v>41665.6202211</v>
      </c>
      <c r="S28" s="22" t="n">
        <f aca="false">'Debt Amortization'!T55</f>
        <v>38134.6354566</v>
      </c>
      <c r="T28" s="22" t="n">
        <f aca="false">'Debt Amortization'!U55</f>
        <v>31072.6659276</v>
      </c>
      <c r="U28" s="22" t="n">
        <f aca="false">'Debt Amortization'!V55</f>
        <v>22598.3024928</v>
      </c>
      <c r="V28" s="22" t="n">
        <f aca="false">'Debt Amortization'!W55</f>
        <v>12005.3481993</v>
      </c>
      <c r="W28" s="22" t="n">
        <f aca="false">'Debt Amortization'!X55</f>
        <v>0</v>
      </c>
      <c r="X28" s="23" t="n">
        <f aca="false">'Debt Amortization'!Y55</f>
        <v>0</v>
      </c>
    </row>
    <row r="29" customFormat="false" ht="12.75" hidden="false" customHeight="false" outlineLevel="0" collapsed="false">
      <c r="A29" s="400"/>
      <c r="B29" s="33" t="s">
        <v>580</v>
      </c>
      <c r="C29" s="265"/>
      <c r="D29" s="759" t="n">
        <v>0</v>
      </c>
      <c r="E29" s="759" t="n">
        <v>0</v>
      </c>
      <c r="F29" s="759" t="n">
        <v>0</v>
      </c>
      <c r="G29" s="759" t="n">
        <v>0</v>
      </c>
      <c r="H29" s="759" t="n">
        <v>0</v>
      </c>
      <c r="I29" s="759" t="n">
        <v>0</v>
      </c>
      <c r="J29" s="759" t="n">
        <v>0</v>
      </c>
      <c r="K29" s="759" t="n">
        <v>0</v>
      </c>
      <c r="L29" s="759" t="n">
        <v>0</v>
      </c>
      <c r="M29" s="759" t="n">
        <v>0</v>
      </c>
      <c r="N29" s="759" t="n">
        <v>0</v>
      </c>
      <c r="O29" s="759" t="n">
        <v>0</v>
      </c>
      <c r="P29" s="759" t="n">
        <v>0</v>
      </c>
      <c r="Q29" s="759" t="n">
        <v>0</v>
      </c>
      <c r="R29" s="759" t="n">
        <v>0</v>
      </c>
      <c r="S29" s="759" t="n">
        <v>0</v>
      </c>
      <c r="T29" s="759" t="n">
        <v>0</v>
      </c>
      <c r="U29" s="759" t="n">
        <v>0</v>
      </c>
      <c r="V29" s="759" t="n">
        <v>0</v>
      </c>
      <c r="W29" s="759" t="n">
        <v>0</v>
      </c>
      <c r="X29" s="760" t="n">
        <v>0</v>
      </c>
    </row>
    <row r="30" customFormat="false" ht="12.75" hidden="false" customHeight="false" outlineLevel="0" collapsed="false">
      <c r="A30" s="770" t="s">
        <v>581</v>
      </c>
      <c r="B30" s="265"/>
      <c r="C30" s="265"/>
      <c r="D30" s="22" t="n">
        <f aca="false">SUM(D24:D29)</f>
        <v>127950.133822894</v>
      </c>
      <c r="E30" s="22" t="n">
        <f aca="false">SUM(E24:E29)</f>
        <v>127952.031698271</v>
      </c>
      <c r="F30" s="22" t="n">
        <f aca="false">SUM(F24:F29)</f>
        <v>126180.226495408</v>
      </c>
      <c r="G30" s="22" t="n">
        <f aca="false">SUM(G24:G29)</f>
        <v>122368.654283083</v>
      </c>
      <c r="H30" s="22" t="n">
        <f aca="false">SUM(H24:H29)</f>
        <v>125682.5789612</v>
      </c>
      <c r="I30" s="22" t="n">
        <f aca="false">SUM(I24:I29)</f>
        <v>125330.500526117</v>
      </c>
      <c r="J30" s="22" t="n">
        <f aca="false">SUM(J24:J29)</f>
        <v>116203.656297841</v>
      </c>
      <c r="K30" s="22" t="n">
        <f aca="false">SUM(K24:K29)</f>
        <v>115090.298644251</v>
      </c>
      <c r="L30" s="22" t="n">
        <f aca="false">SUM(L24:L29)</f>
        <v>110133.956608499</v>
      </c>
      <c r="M30" s="22" t="n">
        <f aca="false">SUM(M24:M29)</f>
        <v>95437.9618746047</v>
      </c>
      <c r="N30" s="22" t="n">
        <f aca="false">SUM(N24:N29)</f>
        <v>97804.5323957663</v>
      </c>
      <c r="O30" s="22" t="n">
        <f aca="false">SUM(O24:O29)</f>
        <v>99567.2100866638</v>
      </c>
      <c r="P30" s="22" t="n">
        <f aca="false">SUM(P24:P29)</f>
        <v>101421.173185758</v>
      </c>
      <c r="Q30" s="22" t="n">
        <f aca="false">SUM(Q24:Q29)</f>
        <v>72863.2744632727</v>
      </c>
      <c r="R30" s="22" t="n">
        <f aca="false">SUM(R24:R29)</f>
        <v>74922.6166956265</v>
      </c>
      <c r="S30" s="22" t="n">
        <f aca="false">SUM(S24:S29)</f>
        <v>75042.0448774637</v>
      </c>
      <c r="T30" s="22" t="n">
        <f aca="false">SUM(T24:T29)</f>
        <v>66227.9512677795</v>
      </c>
      <c r="U30" s="22" t="n">
        <f aca="false">SUM(U24:U29)</f>
        <v>59581.1766921245</v>
      </c>
      <c r="V30" s="22" t="n">
        <f aca="false">SUM(V24:V29)</f>
        <v>50933.0973191442</v>
      </c>
      <c r="W30" s="22" t="n">
        <f aca="false">SUM(W24:W29)</f>
        <v>8132.24257883875</v>
      </c>
      <c r="X30" s="23" t="n">
        <f aca="false">SUM(X24:X29)</f>
        <v>10322.3509250866</v>
      </c>
    </row>
    <row r="31" customFormat="false" ht="12.75" hidden="false" customHeight="false" outlineLevel="0" collapsed="false">
      <c r="A31" s="761"/>
      <c r="B31" s="265"/>
      <c r="C31" s="265"/>
      <c r="D31" s="265"/>
      <c r="E31" s="265"/>
      <c r="F31" s="265"/>
      <c r="G31" s="265"/>
      <c r="H31" s="265"/>
      <c r="I31" s="265"/>
      <c r="J31" s="265"/>
      <c r="K31" s="265"/>
      <c r="L31" s="265"/>
      <c r="M31" s="265"/>
      <c r="N31" s="265"/>
      <c r="O31" s="265"/>
      <c r="P31" s="265"/>
      <c r="Q31" s="265"/>
      <c r="R31" s="265"/>
      <c r="S31" s="265"/>
      <c r="T31" s="265"/>
      <c r="U31" s="265"/>
      <c r="V31" s="265"/>
      <c r="W31" s="265"/>
      <c r="X31" s="462"/>
    </row>
    <row r="32" customFormat="false" ht="12.75" hidden="false" customHeight="false" outlineLevel="0" collapsed="false">
      <c r="A32" s="756" t="s">
        <v>582</v>
      </c>
      <c r="B32" s="265"/>
      <c r="C32" s="265"/>
      <c r="D32" s="265"/>
      <c r="E32" s="265"/>
      <c r="F32" s="265"/>
      <c r="G32" s="265"/>
      <c r="H32" s="265"/>
      <c r="I32" s="265"/>
      <c r="J32" s="265"/>
      <c r="K32" s="265"/>
      <c r="L32" s="265"/>
      <c r="M32" s="265"/>
      <c r="N32" s="265"/>
      <c r="O32" s="265"/>
      <c r="P32" s="265"/>
      <c r="Q32" s="265"/>
      <c r="R32" s="265"/>
      <c r="S32" s="265"/>
      <c r="T32" s="265"/>
      <c r="U32" s="265"/>
      <c r="V32" s="265"/>
      <c r="W32" s="265"/>
      <c r="X32" s="462"/>
    </row>
    <row r="33" customFormat="false" ht="12.75" hidden="false" customHeight="false" outlineLevel="0" collapsed="false">
      <c r="A33" s="400"/>
      <c r="B33" s="385" t="s">
        <v>583</v>
      </c>
      <c r="C33" s="265"/>
      <c r="D33" s="22" t="n">
        <f aca="false">'Project Assumptions'!$C$8-SUM('Book Income Statement'!$D$66:D66)</f>
        <v>43569.7775</v>
      </c>
      <c r="E33" s="22" t="n">
        <f aca="false">'Project Assumptions'!$C$8-SUM('Book Income Statement'!$D$66:E66)</f>
        <v>43569.7775</v>
      </c>
      <c r="F33" s="22" t="n">
        <f aca="false">'Project Assumptions'!$C$8-SUM('Book Income Statement'!$D$66:F66)</f>
        <v>43569.7775</v>
      </c>
      <c r="G33" s="22" t="n">
        <f aca="false">'Project Assumptions'!$C$8-SUM('Book Income Statement'!$D$66:G66)</f>
        <v>43569.7775</v>
      </c>
      <c r="H33" s="22" t="n">
        <f aca="false">'Project Assumptions'!$C$8-SUM('Book Income Statement'!$D$66:H66)</f>
        <v>43569.7775</v>
      </c>
      <c r="I33" s="22" t="n">
        <f aca="false">'Project Assumptions'!$C$8-SUM('Book Income Statement'!$D$66:I66)</f>
        <v>43569.7775</v>
      </c>
      <c r="J33" s="22" t="n">
        <f aca="false">'Project Assumptions'!$C$8-SUM('Book Income Statement'!$D$66:J66)</f>
        <v>43569.7775</v>
      </c>
      <c r="K33" s="22" t="n">
        <f aca="false">'Project Assumptions'!$C$8-SUM('Book Income Statement'!$D$66:K66)</f>
        <v>43569.7775</v>
      </c>
      <c r="L33" s="22" t="n">
        <f aca="false">'Project Assumptions'!$C$8-SUM('Book Income Statement'!$D$66:L66)</f>
        <v>43569.7775</v>
      </c>
      <c r="M33" s="22" t="n">
        <f aca="false">'Project Assumptions'!$C$8-SUM('Book Income Statement'!$D$66:M66)</f>
        <v>43569.7775</v>
      </c>
      <c r="N33" s="22" t="n">
        <f aca="false">'Project Assumptions'!$C$8-SUM('Book Income Statement'!$D$66:N66)</f>
        <v>43569.7775</v>
      </c>
      <c r="O33" s="22" t="n">
        <f aca="false">'Project Assumptions'!$C$8-SUM('Book Income Statement'!$D$66:O66)</f>
        <v>43569.7775</v>
      </c>
      <c r="P33" s="22" t="n">
        <f aca="false">'Project Assumptions'!$C$8-SUM('Book Income Statement'!$D$66:P66)</f>
        <v>43569.7775</v>
      </c>
      <c r="Q33" s="22" t="n">
        <f aca="false">'Project Assumptions'!$C$8-SUM('Book Income Statement'!$D$66:Q66)</f>
        <v>43569.7775</v>
      </c>
      <c r="R33" s="22" t="n">
        <f aca="false">'Project Assumptions'!$C$8-SUM('Book Income Statement'!$D$66:R66)</f>
        <v>43569.7775</v>
      </c>
      <c r="S33" s="22" t="n">
        <f aca="false">'Project Assumptions'!$C$8-SUM('Book Income Statement'!$D$66:S66)</f>
        <v>43569.7775</v>
      </c>
      <c r="T33" s="22" t="n">
        <f aca="false">'Project Assumptions'!$C$8-SUM('Book Income Statement'!$D$66:T66)</f>
        <v>43569.7775</v>
      </c>
      <c r="U33" s="22" t="n">
        <f aca="false">'Project Assumptions'!$C$8-SUM('Book Income Statement'!$D$66:U66)</f>
        <v>43569.7775</v>
      </c>
      <c r="V33" s="22" t="n">
        <f aca="false">'Project Assumptions'!$C$8-SUM('Book Income Statement'!$D$66:V66)</f>
        <v>43569.7775</v>
      </c>
      <c r="W33" s="22" t="n">
        <f aca="false">'Project Assumptions'!$C$8-SUM('Book Income Statement'!$D$66:W66)</f>
        <v>43569.7775</v>
      </c>
      <c r="X33" s="22" t="n">
        <f aca="false">'Project Assumptions'!$C$8-SUM('Book Income Statement'!$D$66:X66)</f>
        <v>43569.7775</v>
      </c>
    </row>
    <row r="34" customFormat="false" ht="12.75" hidden="false" customHeight="false" outlineLevel="0" collapsed="false">
      <c r="A34" s="400"/>
      <c r="B34" s="385" t="s">
        <v>584</v>
      </c>
      <c r="C34" s="265"/>
      <c r="D34" s="629" t="n">
        <f aca="false">'Book Income Statement'!D75-'Cash Flow Statement'!D36</f>
        <v>1945.44034293886</v>
      </c>
      <c r="E34" s="629" t="n">
        <f aca="false">'Book Income Statement'!E75-'Cash Flow Statement'!E36+D34</f>
        <v>-1186.40296643757</v>
      </c>
      <c r="F34" s="629" t="n">
        <f aca="false">'Book Income Statement'!F75-'Cash Flow Statement'!F36+E34</f>
        <v>-2471.45440169466</v>
      </c>
      <c r="G34" s="629" t="n">
        <f aca="false">'Book Income Statement'!G75-'Cash Flow Statement'!G36+F34</f>
        <v>-4001.52778735148</v>
      </c>
      <c r="H34" s="629" t="n">
        <f aca="false">'Book Income Statement'!H75-'Cash Flow Statement'!H36+G34</f>
        <v>-10219.4877402831</v>
      </c>
      <c r="I34" s="629" t="n">
        <f aca="false">'Book Income Statement'!I75-'Cash Flow Statement'!I36+H34</f>
        <v>-12453.5097626925</v>
      </c>
      <c r="J34" s="629" t="n">
        <f aca="false">'Book Income Statement'!J75-'Cash Flow Statement'!J36+I34</f>
        <v>-13582.2716316677</v>
      </c>
      <c r="K34" s="629" t="n">
        <f aca="false">'Book Income Statement'!K75-'Cash Flow Statement'!K36+J34</f>
        <v>-14717.9733223762</v>
      </c>
      <c r="L34" s="629" t="n">
        <f aca="false">'Book Income Statement'!L75-'Cash Flow Statement'!L36+K34</f>
        <v>-11923.4187863513</v>
      </c>
      <c r="M34" s="629" t="n">
        <f aca="false">'Book Income Statement'!M75-'Cash Flow Statement'!M36+L34</f>
        <v>-6467.94891665978</v>
      </c>
      <c r="N34" s="629" t="n">
        <f aca="false">'Book Income Statement'!N75-'Cash Flow Statement'!N36+M34</f>
        <v>-10813.8302377349</v>
      </c>
      <c r="O34" s="629" t="n">
        <f aca="false">'Book Income Statement'!O75-'Cash Flow Statement'!O36+N34</f>
        <v>-14460.4544276434</v>
      </c>
      <c r="P34" s="629" t="n">
        <f aca="false">'Book Income Statement'!P75-'Cash Flow Statement'!P36+O34</f>
        <v>-18100.1387958185</v>
      </c>
      <c r="Q34" s="629" t="n">
        <f aca="false">'Book Income Statement'!Q75-'Cash Flow Statement'!Q36+P34</f>
        <v>-21746.762985727</v>
      </c>
      <c r="R34" s="629" t="n">
        <f aca="false">'Book Income Statement'!R75-'Cash Flow Statement'!R36+Q34</f>
        <v>-25386.4473539021</v>
      </c>
      <c r="S34" s="629" t="n">
        <f aca="false">'Book Income Statement'!S75-'Cash Flow Statement'!S36+R34</f>
        <v>-26978.8843107353</v>
      </c>
      <c r="T34" s="629" t="n">
        <f aca="false">'Book Income Statement'!T75-'Cash Flow Statement'!T36+S34</f>
        <v>-22993.0890917266</v>
      </c>
      <c r="U34" s="629" t="n">
        <f aca="false">'Book Income Statement'!U75-'Cash Flow Statement'!U36+T34</f>
        <v>-17594.8999669178</v>
      </c>
      <c r="V34" s="629" t="n">
        <f aca="false">'Book Income Statement'!V75-'Cash Flow Statement'!V36+U34</f>
        <v>-10078.1199834091</v>
      </c>
      <c r="W34" s="629" t="n">
        <f aca="false">'Book Income Statement'!W75-'Cash Flow Statement'!W36+V34</f>
        <v>-1148.94609410033</v>
      </c>
      <c r="X34" s="771" t="n">
        <f aca="false">'Book Income Statement'!X75-'Cash Flow Statement'!X36+W34</f>
        <v>-4225.12040409158</v>
      </c>
    </row>
    <row r="35" customFormat="false" ht="12.75" hidden="false" customHeight="false" outlineLevel="0" collapsed="false">
      <c r="A35" s="400"/>
      <c r="B35" s="385" t="s">
        <v>585</v>
      </c>
      <c r="C35" s="265"/>
      <c r="D35" s="762" t="n">
        <f aca="false">SUM(D33:D34)</f>
        <v>45515.2178429389</v>
      </c>
      <c r="E35" s="762" t="n">
        <f aca="false">SUM(E33:E34)</f>
        <v>42383.3745335624</v>
      </c>
      <c r="F35" s="762" t="n">
        <f aca="false">SUM(F33:F34)</f>
        <v>41098.3230983054</v>
      </c>
      <c r="G35" s="762" t="n">
        <f aca="false">SUM(G33:G34)</f>
        <v>39568.2497126485</v>
      </c>
      <c r="H35" s="762" t="n">
        <f aca="false">SUM(H33:H34)</f>
        <v>33350.2897597169</v>
      </c>
      <c r="I35" s="762" t="n">
        <f aca="false">SUM(I33:I34)</f>
        <v>31116.2677373075</v>
      </c>
      <c r="J35" s="762" t="n">
        <f aca="false">SUM(J33:J34)</f>
        <v>29987.5058683323</v>
      </c>
      <c r="K35" s="762" t="n">
        <f aca="false">SUM(K33:K34)</f>
        <v>28851.8041776238</v>
      </c>
      <c r="L35" s="762" t="n">
        <f aca="false">SUM(L33:L34)</f>
        <v>31646.3587136487</v>
      </c>
      <c r="M35" s="762" t="n">
        <f aca="false">SUM(M33:M34)</f>
        <v>37101.8285833402</v>
      </c>
      <c r="N35" s="762" t="n">
        <f aca="false">SUM(N33:N34)</f>
        <v>32755.9472622651</v>
      </c>
      <c r="O35" s="762" t="n">
        <f aca="false">SUM(O33:O34)</f>
        <v>29109.3230723566</v>
      </c>
      <c r="P35" s="762" t="n">
        <f aca="false">SUM(P33:P34)</f>
        <v>25469.6387041815</v>
      </c>
      <c r="Q35" s="762" t="n">
        <f aca="false">SUM(Q33:Q34)</f>
        <v>21823.014514273</v>
      </c>
      <c r="R35" s="762" t="n">
        <f aca="false">SUM(R33:R34)</f>
        <v>18183.3301460979</v>
      </c>
      <c r="S35" s="762" t="n">
        <f aca="false">SUM(S33:S34)</f>
        <v>16590.8931892647</v>
      </c>
      <c r="T35" s="762" t="n">
        <f aca="false">SUM(T33:T34)</f>
        <v>20576.6884082734</v>
      </c>
      <c r="U35" s="762" t="n">
        <f aca="false">SUM(U33:U34)</f>
        <v>25974.8775330822</v>
      </c>
      <c r="V35" s="762" t="n">
        <f aca="false">SUM(V33:V34)</f>
        <v>33491.6575165909</v>
      </c>
      <c r="W35" s="762" t="n">
        <f aca="false">SUM(W33:W34)</f>
        <v>42420.8314058997</v>
      </c>
      <c r="X35" s="763" t="n">
        <f aca="false">SUM(X33:X34)</f>
        <v>39344.6570959084</v>
      </c>
    </row>
    <row r="36" customFormat="false" ht="12.75" hidden="false" customHeight="false" outlineLevel="0" collapsed="false">
      <c r="A36" s="770" t="s">
        <v>586</v>
      </c>
      <c r="B36" s="265"/>
      <c r="C36" s="265"/>
      <c r="D36" s="772" t="n">
        <f aca="false">D30+D35</f>
        <v>173465.351665833</v>
      </c>
      <c r="E36" s="772" t="n">
        <f aca="false">E30+E35</f>
        <v>170335.406231833</v>
      </c>
      <c r="F36" s="772" t="n">
        <f aca="false">F30+F35</f>
        <v>167278.549593713</v>
      </c>
      <c r="G36" s="772" t="n">
        <f aca="false">G30+G35</f>
        <v>161936.903995731</v>
      </c>
      <c r="H36" s="772" t="n">
        <f aca="false">H30+H35</f>
        <v>159032.868720917</v>
      </c>
      <c r="I36" s="772" t="n">
        <f aca="false">I30+I35</f>
        <v>156446.768263424</v>
      </c>
      <c r="J36" s="772" t="n">
        <f aca="false">J30+J35</f>
        <v>146191.162166173</v>
      </c>
      <c r="K36" s="772" t="n">
        <f aca="false">K30+K35</f>
        <v>143942.102821875</v>
      </c>
      <c r="L36" s="772" t="n">
        <f aca="false">L30+L35</f>
        <v>141780.315322148</v>
      </c>
      <c r="M36" s="772" t="n">
        <f aca="false">M30+M35</f>
        <v>132539.790457945</v>
      </c>
      <c r="N36" s="772" t="n">
        <f aca="false">N30+N35</f>
        <v>130560.479658031</v>
      </c>
      <c r="O36" s="772" t="n">
        <f aca="false">O30+O35</f>
        <v>128676.53315902</v>
      </c>
      <c r="P36" s="772" t="n">
        <f aca="false">P30+P35</f>
        <v>126890.811889939</v>
      </c>
      <c r="Q36" s="772" t="n">
        <f aca="false">Q30+Q35</f>
        <v>94686.2889775457</v>
      </c>
      <c r="R36" s="772" t="n">
        <f aca="false">R30+R35</f>
        <v>93105.9468417244</v>
      </c>
      <c r="S36" s="772" t="n">
        <f aca="false">S30+S35</f>
        <v>91632.9380667284</v>
      </c>
      <c r="T36" s="772" t="n">
        <f aca="false">T30+T35</f>
        <v>86804.639676053</v>
      </c>
      <c r="U36" s="772" t="n">
        <f aca="false">U30+U35</f>
        <v>85556.0542252067</v>
      </c>
      <c r="V36" s="772" t="n">
        <f aca="false">V30+V35</f>
        <v>84424.7548357351</v>
      </c>
      <c r="W36" s="772" t="n">
        <f aca="false">W30+W35</f>
        <v>50553.0739847384</v>
      </c>
      <c r="X36" s="773" t="n">
        <f aca="false">X30+X35</f>
        <v>49667.008020995</v>
      </c>
    </row>
    <row r="37" customFormat="false" ht="12.75" hidden="false" customHeight="false" outlineLevel="0" collapsed="false">
      <c r="A37" s="761"/>
      <c r="B37" s="265"/>
      <c r="C37" s="265"/>
      <c r="D37" s="265"/>
      <c r="E37" s="265"/>
      <c r="F37" s="265"/>
      <c r="G37" s="265"/>
      <c r="H37" s="265"/>
      <c r="I37" s="265"/>
      <c r="J37" s="265"/>
      <c r="K37" s="265"/>
      <c r="L37" s="265"/>
      <c r="M37" s="265"/>
      <c r="N37" s="265"/>
      <c r="O37" s="265"/>
      <c r="P37" s="265"/>
      <c r="Q37" s="265"/>
      <c r="R37" s="265"/>
      <c r="S37" s="265"/>
      <c r="T37" s="265"/>
      <c r="U37" s="265"/>
      <c r="V37" s="265"/>
      <c r="W37" s="265"/>
      <c r="X37" s="462"/>
    </row>
    <row r="38" customFormat="false" ht="12.75" hidden="false" customHeight="false" outlineLevel="0" collapsed="false">
      <c r="A38" s="774" t="s">
        <v>587</v>
      </c>
      <c r="B38" s="775"/>
      <c r="C38" s="775"/>
      <c r="D38" s="776" t="n">
        <f aca="false">IF(D3&gt;ProjectLife,0,D21-D36)</f>
        <v>0</v>
      </c>
      <c r="E38" s="776" t="n">
        <f aca="false">IF(E3&gt;ProjectLife,0,E21-E36)</f>
        <v>0</v>
      </c>
      <c r="F38" s="776" t="n">
        <f aca="false">IF(F3&gt;ProjectLife,0,F21-F36)</f>
        <v>0</v>
      </c>
      <c r="G38" s="776" t="n">
        <f aca="false">IF(G3&gt;ProjectLife,0,G21-G36)</f>
        <v>0</v>
      </c>
      <c r="H38" s="776" t="n">
        <f aca="false">IF(H3&gt;ProjectLife,0,H21-H36)</f>
        <v>0</v>
      </c>
      <c r="I38" s="776" t="n">
        <f aca="false">IF(I3&gt;ProjectLife,0,I21-I36)</f>
        <v>0</v>
      </c>
      <c r="J38" s="776" t="n">
        <f aca="false">IF(J3&gt;ProjectLife,0,J21-J36)</f>
        <v>0</v>
      </c>
      <c r="K38" s="776" t="n">
        <f aca="false">IF(K3&gt;ProjectLife,0,K21-K36)</f>
        <v>0</v>
      </c>
      <c r="L38" s="776" t="n">
        <f aca="false">IF(L3&gt;ProjectLife,0,L21-L36)</f>
        <v>0</v>
      </c>
      <c r="M38" s="776" t="n">
        <f aca="false">IF(M3&gt;ProjectLife,0,M21-M36)</f>
        <v>0</v>
      </c>
      <c r="N38" s="776" t="n">
        <f aca="false">IF(N3&gt;ProjectLife,0,N21-N36)</f>
        <v>0</v>
      </c>
      <c r="O38" s="776" t="n">
        <f aca="false">IF(O3&gt;ProjectLife,0,O21-O36)</f>
        <v>0</v>
      </c>
      <c r="P38" s="776" t="n">
        <f aca="false">IF(P3&gt;ProjectLife,0,P21-P36)</f>
        <v>0</v>
      </c>
      <c r="Q38" s="776" t="n">
        <f aca="false">IF(Q3&gt;ProjectLife,0,Q21-Q36)</f>
        <v>0</v>
      </c>
      <c r="R38" s="776" t="n">
        <f aca="false">IF(R3&gt;ProjectLife,0,R21-R36)</f>
        <v>0</v>
      </c>
      <c r="S38" s="776" t="n">
        <f aca="false">IF(S3&gt;ProjectLife,0,S21-S36)</f>
        <v>0</v>
      </c>
      <c r="T38" s="776" t="n">
        <f aca="false">IF(T3&gt;ProjectLife,0,T21-T36)</f>
        <v>0</v>
      </c>
      <c r="U38" s="776" t="n">
        <f aca="false">IF(U3&gt;ProjectLife,0,U21-U36)</f>
        <v>0</v>
      </c>
      <c r="V38" s="776" t="n">
        <f aca="false">IF(V3&gt;ProjectLife,0,V21-V36)</f>
        <v>0</v>
      </c>
      <c r="W38" s="776" t="n">
        <f aca="false">IF(W3&gt;ProjectLife,0,W21-W36)</f>
        <v>0</v>
      </c>
      <c r="X38" s="777" t="n">
        <f aca="false">IF(X3&gt;ProjectLife,0,X21-X36)</f>
        <v>0</v>
      </c>
    </row>
    <row r="42" customFormat="false" ht="12.75" hidden="false" customHeight="false" outlineLevel="0" collapsed="false">
      <c r="A42" s="778" t="s">
        <v>588</v>
      </c>
      <c r="B42" s="779"/>
      <c r="C42" s="779"/>
      <c r="D42" s="780" t="s">
        <v>589</v>
      </c>
      <c r="E42" s="779"/>
      <c r="F42" s="779"/>
      <c r="G42" s="779"/>
      <c r="H42" s="779"/>
      <c r="I42" s="779"/>
      <c r="J42" s="779"/>
      <c r="K42" s="779"/>
      <c r="L42" s="779"/>
      <c r="M42" s="779"/>
      <c r="N42" s="779"/>
      <c r="O42" s="779"/>
      <c r="P42" s="779"/>
      <c r="Q42" s="779"/>
      <c r="R42" s="779"/>
      <c r="S42" s="779"/>
      <c r="T42" s="779"/>
      <c r="U42" s="779"/>
      <c r="V42" s="779"/>
      <c r="W42" s="779"/>
      <c r="X42" s="781"/>
    </row>
    <row r="43" customFormat="false" ht="12.75" hidden="false" customHeight="false" outlineLevel="0" collapsed="false">
      <c r="A43" s="782" t="n">
        <f aca="false">(SUM(D28:X28)-SUM(D44:X44))+(SUM(D35:X35)-SUM(D45:X45))</f>
        <v>0</v>
      </c>
      <c r="B43" s="783"/>
      <c r="C43" s="783"/>
      <c r="D43" s="783"/>
      <c r="E43" s="783"/>
      <c r="F43" s="783"/>
      <c r="G43" s="783"/>
      <c r="H43" s="783"/>
      <c r="I43" s="783"/>
      <c r="J43" s="783"/>
      <c r="K43" s="783"/>
      <c r="L43" s="783"/>
      <c r="M43" s="783"/>
      <c r="N43" s="783"/>
      <c r="O43" s="783"/>
      <c r="P43" s="783"/>
      <c r="Q43" s="783"/>
      <c r="R43" s="783"/>
      <c r="S43" s="783"/>
      <c r="T43" s="783"/>
      <c r="U43" s="783"/>
      <c r="V43" s="783"/>
      <c r="W43" s="783"/>
      <c r="X43" s="784"/>
    </row>
    <row r="44" customFormat="false" ht="12.75" hidden="false" customHeight="false" outlineLevel="0" collapsed="false">
      <c r="A44" s="785"/>
      <c r="B44" s="783" t="s">
        <v>579</v>
      </c>
      <c r="C44" s="783"/>
      <c r="D44" s="786" t="n">
        <v>125546.12496</v>
      </c>
      <c r="E44" s="786" t="n">
        <v>120315.03642</v>
      </c>
      <c r="F44" s="786" t="n">
        <v>113122.2896775</v>
      </c>
      <c r="G44" s="786" t="n">
        <v>103967.8847325</v>
      </c>
      <c r="H44" s="786" t="n">
        <v>98632.1744217</v>
      </c>
      <c r="I44" s="786" t="n">
        <v>93296.4641109</v>
      </c>
      <c r="J44" s="786" t="n">
        <v>87254.5568472</v>
      </c>
      <c r="K44" s="786" t="n">
        <v>81212.6495835</v>
      </c>
      <c r="L44" s="786" t="n">
        <v>71247.4259148</v>
      </c>
      <c r="M44" s="786" t="n">
        <v>58614.3470907</v>
      </c>
      <c r="N44" s="786" t="n">
        <v>55789.5592791</v>
      </c>
      <c r="O44" s="786" t="n">
        <v>52258.5745146</v>
      </c>
      <c r="P44" s="786" t="n">
        <v>48727.5897501</v>
      </c>
      <c r="Q44" s="786" t="n">
        <v>45196.6049856</v>
      </c>
      <c r="R44" s="786" t="n">
        <v>41665.6202211</v>
      </c>
      <c r="S44" s="786" t="n">
        <v>38134.6354566</v>
      </c>
      <c r="T44" s="786" t="n">
        <v>31072.6659276</v>
      </c>
      <c r="U44" s="786" t="n">
        <v>22598.3024928</v>
      </c>
      <c r="V44" s="786" t="n">
        <v>12005.3481993</v>
      </c>
      <c r="W44" s="786" t="n">
        <v>1.63709046319127E-011</v>
      </c>
      <c r="X44" s="787" t="n">
        <v>1.63709046319127E-011</v>
      </c>
    </row>
    <row r="45" customFormat="false" ht="12.75" hidden="false" customHeight="false" outlineLevel="0" collapsed="false">
      <c r="A45" s="788"/>
      <c r="B45" s="789" t="s">
        <v>590</v>
      </c>
      <c r="C45" s="789"/>
      <c r="D45" s="790" t="n">
        <v>45515.2178429389</v>
      </c>
      <c r="E45" s="790" t="n">
        <v>42383.3745335624</v>
      </c>
      <c r="F45" s="790" t="n">
        <v>41098.3230983054</v>
      </c>
      <c r="G45" s="790" t="n">
        <v>39568.2497126485</v>
      </c>
      <c r="H45" s="790" t="n">
        <v>33350.2897597169</v>
      </c>
      <c r="I45" s="790" t="n">
        <v>31116.2677373075</v>
      </c>
      <c r="J45" s="790" t="n">
        <v>29987.5058683323</v>
      </c>
      <c r="K45" s="790" t="n">
        <v>28851.8041776238</v>
      </c>
      <c r="L45" s="790" t="n">
        <v>31646.3587136487</v>
      </c>
      <c r="M45" s="790" t="n">
        <v>37101.8285833402</v>
      </c>
      <c r="N45" s="790" t="n">
        <v>32755.9472622651</v>
      </c>
      <c r="O45" s="790" t="n">
        <v>29109.3230723566</v>
      </c>
      <c r="P45" s="790" t="n">
        <v>25469.6387041815</v>
      </c>
      <c r="Q45" s="790" t="n">
        <v>21823.014514273</v>
      </c>
      <c r="R45" s="790" t="n">
        <v>18183.3301460979</v>
      </c>
      <c r="S45" s="790" t="n">
        <v>16590.8931892647</v>
      </c>
      <c r="T45" s="790" t="n">
        <v>20576.6884082734</v>
      </c>
      <c r="U45" s="790" t="n">
        <v>25974.8775330822</v>
      </c>
      <c r="V45" s="790" t="n">
        <v>33491.6575165909</v>
      </c>
      <c r="W45" s="790" t="n">
        <v>42420.8314058997</v>
      </c>
      <c r="X45" s="791" t="n">
        <v>39344.6570959084</v>
      </c>
    </row>
  </sheetData>
  <printOptions headings="false" gridLines="false" gridLinesSet="true" horizontalCentered="false" verticalCentered="false"/>
  <pageMargins left="0.747916666666667" right="0.747916666666667" top="0.984027777777778"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66"/>
  <sheetViews>
    <sheetView showFormulas="false" showGridLines="true" showRowColHeaders="true" showZeros="true" rightToLeft="false" tabSelected="false" showOutlineSymbols="true" defaultGridColor="true" view="normal" topLeftCell="A31" colorId="64" zoomScale="75" zoomScaleNormal="75" zoomScalePageLayoutView="85" workbookViewId="0">
      <selection pane="topLeft" activeCell="A10" activeCellId="0" sqref="A10"/>
    </sheetView>
  </sheetViews>
  <sheetFormatPr defaultColWidth="9.28125" defaultRowHeight="11.25" customHeight="true" zeroHeight="false" outlineLevelRow="0" outlineLevelCol="0"/>
  <cols>
    <col collapsed="false" customWidth="true" hidden="false" outlineLevel="0" max="1" min="1" style="1" width="15.85"/>
    <col collapsed="false" customWidth="true" hidden="false" outlineLevel="0" max="2" min="2" style="1" width="14.99"/>
    <col collapsed="false" customWidth="false" hidden="false" outlineLevel="0" max="32" min="3" style="1" width="9.28"/>
    <col collapsed="false" customWidth="false" hidden="false" outlineLevel="0" max="257" min="33" style="4" width="9.28"/>
  </cols>
  <sheetData>
    <row r="1" customFormat="false" ht="21.75" hidden="false" customHeight="true" outlineLevel="0" collapsed="false">
      <c r="A1" s="374" t="str">
        <f aca="false">'Project Assumptions'!$A$2</f>
        <v>GLEASON, TN</v>
      </c>
      <c r="B1" s="792"/>
      <c r="C1" s="709"/>
      <c r="AB1" s="481"/>
      <c r="AC1" s="385"/>
    </row>
    <row r="2" customFormat="false" ht="15.6" hidden="false" customHeight="true" outlineLevel="0" collapsed="false">
      <c r="A2" s="377" t="s">
        <v>591</v>
      </c>
      <c r="B2" s="793"/>
      <c r="C2" s="794"/>
      <c r="D2" s="480"/>
      <c r="E2" s="480"/>
      <c r="F2" s="480"/>
      <c r="G2" s="480"/>
      <c r="H2" s="480"/>
      <c r="I2" s="480"/>
      <c r="J2" s="481"/>
      <c r="K2" s="480"/>
      <c r="L2" s="480"/>
      <c r="M2" s="480"/>
      <c r="N2" s="480"/>
      <c r="O2" s="480"/>
      <c r="P2" s="481"/>
      <c r="Q2" s="480"/>
      <c r="R2" s="480"/>
      <c r="S2" s="480"/>
      <c r="T2" s="480"/>
      <c r="U2" s="480"/>
      <c r="V2" s="481"/>
      <c r="W2" s="480"/>
      <c r="X2" s="480"/>
      <c r="Y2" s="480"/>
      <c r="Z2" s="480"/>
      <c r="AA2" s="480"/>
      <c r="AB2" s="481"/>
      <c r="AC2" s="385"/>
    </row>
    <row r="3" customFormat="false" ht="12.6" hidden="false" customHeight="true" outlineLevel="0" collapsed="false">
      <c r="A3" s="479"/>
      <c r="B3" s="7"/>
      <c r="C3" s="642"/>
      <c r="D3" s="480" t="n">
        <v>1</v>
      </c>
      <c r="E3" s="480" t="n">
        <f aca="false">D3+1</f>
        <v>2</v>
      </c>
      <c r="F3" s="480" t="n">
        <f aca="false">E3+1</f>
        <v>3</v>
      </c>
      <c r="G3" s="480" t="n">
        <f aca="false">F3+1</f>
        <v>4</v>
      </c>
      <c r="H3" s="480" t="n">
        <f aca="false">G3+1</f>
        <v>5</v>
      </c>
      <c r="I3" s="481" t="n">
        <f aca="false">H3+1</f>
        <v>6</v>
      </c>
      <c r="J3" s="480" t="n">
        <f aca="false">I3+1</f>
        <v>7</v>
      </c>
      <c r="K3" s="480" t="n">
        <f aca="false">J3+1</f>
        <v>8</v>
      </c>
      <c r="L3" s="480" t="n">
        <f aca="false">K3+1</f>
        <v>9</v>
      </c>
      <c r="M3" s="480" t="n">
        <f aca="false">L3+1</f>
        <v>10</v>
      </c>
      <c r="N3" s="480" t="n">
        <f aca="false">M3+1</f>
        <v>11</v>
      </c>
      <c r="O3" s="481" t="n">
        <f aca="false">N3+1</f>
        <v>12</v>
      </c>
      <c r="P3" s="480" t="n">
        <f aca="false">O3+1</f>
        <v>13</v>
      </c>
      <c r="Q3" s="480" t="n">
        <f aca="false">P3+1</f>
        <v>14</v>
      </c>
      <c r="R3" s="480" t="n">
        <f aca="false">Q3+1</f>
        <v>15</v>
      </c>
      <c r="S3" s="480" t="n">
        <f aca="false">R3+1</f>
        <v>16</v>
      </c>
      <c r="T3" s="480" t="n">
        <f aca="false">S3+1</f>
        <v>17</v>
      </c>
      <c r="U3" s="481" t="n">
        <f aca="false">T3+1</f>
        <v>18</v>
      </c>
      <c r="V3" s="480" t="n">
        <f aca="false">U3+1</f>
        <v>19</v>
      </c>
      <c r="W3" s="480" t="n">
        <f aca="false">V3+1</f>
        <v>20</v>
      </c>
      <c r="X3" s="480" t="n">
        <f aca="false">W3+1</f>
        <v>21</v>
      </c>
      <c r="Y3" s="480" t="n">
        <f aca="false">X3+1</f>
        <v>22</v>
      </c>
      <c r="Z3" s="480" t="n">
        <f aca="false">Y3+1</f>
        <v>23</v>
      </c>
      <c r="AA3" s="481" t="n">
        <f aca="false">Z3+1</f>
        <v>24</v>
      </c>
      <c r="AB3" s="480" t="n">
        <f aca="false">AA3+1</f>
        <v>25</v>
      </c>
      <c r="AC3" s="482"/>
      <c r="AD3" s="7"/>
      <c r="AE3" s="480"/>
      <c r="AF3" s="480"/>
      <c r="AG3" s="642"/>
      <c r="AH3" s="642"/>
      <c r="AI3" s="642"/>
      <c r="AJ3" s="642"/>
      <c r="AK3" s="642"/>
      <c r="AL3" s="642"/>
      <c r="AM3" s="642"/>
      <c r="AN3" s="642"/>
      <c r="AO3" s="642"/>
      <c r="AP3" s="642"/>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2"/>
      <c r="CC3" s="642"/>
      <c r="CD3" s="642"/>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2"/>
      <c r="ED3" s="642"/>
      <c r="EE3" s="642"/>
      <c r="EF3" s="642"/>
      <c r="EG3" s="642"/>
      <c r="EH3" s="642"/>
      <c r="EI3" s="642"/>
      <c r="EJ3" s="642"/>
      <c r="EK3" s="642"/>
      <c r="EL3" s="642"/>
      <c r="EM3" s="642"/>
      <c r="EN3" s="642"/>
      <c r="EO3" s="642"/>
      <c r="EP3" s="642"/>
      <c r="EQ3" s="642"/>
      <c r="ER3" s="642"/>
      <c r="ES3" s="642"/>
      <c r="ET3" s="642"/>
      <c r="EU3" s="642"/>
      <c r="EV3" s="642"/>
      <c r="EW3" s="642"/>
      <c r="EX3" s="642"/>
      <c r="EY3" s="642"/>
      <c r="EZ3" s="642"/>
      <c r="FA3" s="642"/>
      <c r="FB3" s="642"/>
      <c r="FC3" s="642"/>
      <c r="FD3" s="642"/>
      <c r="FE3" s="642"/>
      <c r="FF3" s="642"/>
      <c r="FG3" s="642"/>
      <c r="FH3" s="642"/>
      <c r="FI3" s="642"/>
      <c r="FJ3" s="642"/>
      <c r="FK3" s="642"/>
      <c r="FL3" s="642"/>
      <c r="FM3" s="642"/>
      <c r="FN3" s="642"/>
      <c r="FO3" s="642"/>
      <c r="FP3" s="642"/>
      <c r="FQ3" s="642"/>
      <c r="FR3" s="642"/>
      <c r="FS3" s="642"/>
      <c r="FT3" s="642"/>
      <c r="FU3" s="642"/>
      <c r="FV3" s="642"/>
      <c r="FW3" s="642"/>
      <c r="FX3" s="642"/>
      <c r="FY3" s="642"/>
      <c r="FZ3" s="642"/>
      <c r="GA3" s="642"/>
      <c r="GB3" s="642"/>
      <c r="GC3" s="642"/>
      <c r="GD3" s="642"/>
      <c r="GE3" s="642"/>
      <c r="GF3" s="642"/>
      <c r="GG3" s="642"/>
      <c r="GH3" s="642"/>
      <c r="GI3" s="642"/>
      <c r="GJ3" s="642"/>
      <c r="GK3" s="642"/>
      <c r="GL3" s="642"/>
      <c r="GM3" s="642"/>
      <c r="GN3" s="642"/>
      <c r="GO3" s="642"/>
      <c r="GP3" s="642"/>
      <c r="GQ3" s="642"/>
      <c r="GR3" s="642"/>
      <c r="GS3" s="642"/>
      <c r="GT3" s="642"/>
      <c r="GU3" s="642"/>
      <c r="GV3" s="642"/>
      <c r="GW3" s="642"/>
      <c r="GX3" s="642"/>
      <c r="GY3" s="642"/>
      <c r="GZ3" s="642"/>
      <c r="HA3" s="642"/>
      <c r="HB3" s="642"/>
      <c r="HC3" s="642"/>
      <c r="HD3" s="642"/>
      <c r="HE3" s="642"/>
      <c r="HF3" s="642"/>
      <c r="HG3" s="642"/>
      <c r="HH3" s="642"/>
      <c r="HI3" s="642"/>
      <c r="HJ3" s="642"/>
      <c r="HK3" s="642"/>
      <c r="HL3" s="642"/>
      <c r="HM3" s="642"/>
      <c r="HN3" s="642"/>
      <c r="HO3" s="642"/>
      <c r="HP3" s="642"/>
      <c r="HQ3" s="642"/>
      <c r="HR3" s="642"/>
      <c r="HS3" s="642"/>
      <c r="HT3" s="642"/>
      <c r="HU3" s="642"/>
      <c r="HV3" s="642"/>
      <c r="HW3" s="642"/>
      <c r="HX3" s="642"/>
      <c r="HY3" s="642"/>
      <c r="HZ3" s="642"/>
      <c r="IA3" s="642"/>
      <c r="IB3" s="642"/>
      <c r="IC3" s="642"/>
      <c r="ID3" s="642"/>
      <c r="IE3" s="642"/>
      <c r="IF3" s="642"/>
      <c r="IG3" s="642"/>
      <c r="IH3" s="642"/>
      <c r="II3" s="642"/>
      <c r="IJ3" s="642"/>
      <c r="IK3" s="642"/>
      <c r="IL3" s="642"/>
      <c r="IM3" s="642"/>
      <c r="IN3" s="642"/>
      <c r="IO3" s="642"/>
      <c r="IP3" s="642"/>
      <c r="IQ3" s="642"/>
      <c r="IR3" s="642"/>
      <c r="IS3" s="642"/>
      <c r="IT3" s="642"/>
      <c r="IU3" s="642"/>
      <c r="IV3" s="642"/>
      <c r="IW3" s="642"/>
    </row>
    <row r="4" customFormat="false" ht="12.6" hidden="false" customHeight="true" outlineLevel="0" collapsed="false">
      <c r="A4" s="483"/>
      <c r="B4" s="484"/>
      <c r="C4" s="795"/>
      <c r="D4" s="382" t="n">
        <f aca="false">YEAR('Project Assumptions'!G16)</f>
        <v>2000</v>
      </c>
      <c r="E4" s="382" t="n">
        <f aca="false">D4+1</f>
        <v>2001</v>
      </c>
      <c r="F4" s="382" t="n">
        <f aca="false">E4+1</f>
        <v>2002</v>
      </c>
      <c r="G4" s="382" t="n">
        <f aca="false">F4+1</f>
        <v>2003</v>
      </c>
      <c r="H4" s="382" t="n">
        <f aca="false">G4+1</f>
        <v>2004</v>
      </c>
      <c r="I4" s="382" t="n">
        <f aca="false">H4+1</f>
        <v>2005</v>
      </c>
      <c r="J4" s="382" t="n">
        <f aca="false">I4+1</f>
        <v>2006</v>
      </c>
      <c r="K4" s="382" t="n">
        <f aca="false">J4+1</f>
        <v>2007</v>
      </c>
      <c r="L4" s="382" t="n">
        <f aca="false">K4+1</f>
        <v>2008</v>
      </c>
      <c r="M4" s="382" t="n">
        <f aca="false">L4+1</f>
        <v>2009</v>
      </c>
      <c r="N4" s="382" t="n">
        <f aca="false">M4+1</f>
        <v>2010</v>
      </c>
      <c r="O4" s="382" t="n">
        <f aca="false">N4+1</f>
        <v>2011</v>
      </c>
      <c r="P4" s="382" t="n">
        <f aca="false">O4+1</f>
        <v>2012</v>
      </c>
      <c r="Q4" s="382" t="n">
        <f aca="false">P4+1</f>
        <v>2013</v>
      </c>
      <c r="R4" s="382" t="n">
        <f aca="false">Q4+1</f>
        <v>2014</v>
      </c>
      <c r="S4" s="382" t="n">
        <f aca="false">R4+1</f>
        <v>2015</v>
      </c>
      <c r="T4" s="382" t="n">
        <f aca="false">S4+1</f>
        <v>2016</v>
      </c>
      <c r="U4" s="382" t="n">
        <f aca="false">T4+1</f>
        <v>2017</v>
      </c>
      <c r="V4" s="382" t="n">
        <f aca="false">U4+1</f>
        <v>2018</v>
      </c>
      <c r="W4" s="382" t="n">
        <f aca="false">V4+1</f>
        <v>2019</v>
      </c>
      <c r="X4" s="382" t="n">
        <f aca="false">W4+1</f>
        <v>2020</v>
      </c>
      <c r="Y4" s="382" t="n">
        <f aca="false">X4+1</f>
        <v>2021</v>
      </c>
      <c r="Z4" s="382" t="n">
        <f aca="false">Y4+1</f>
        <v>2022</v>
      </c>
      <c r="AA4" s="382" t="n">
        <f aca="false">Z4+1</f>
        <v>2023</v>
      </c>
      <c r="AB4" s="383" t="n">
        <f aca="false">AA4+1</f>
        <v>2024</v>
      </c>
      <c r="AC4" s="397"/>
      <c r="AD4" s="7"/>
      <c r="AE4" s="397"/>
      <c r="AF4" s="397"/>
      <c r="AG4" s="485"/>
      <c r="AH4" s="485"/>
      <c r="AI4" s="485"/>
      <c r="AJ4" s="485"/>
      <c r="AK4" s="485"/>
      <c r="AL4" s="485"/>
      <c r="AM4" s="485"/>
      <c r="AN4" s="485"/>
      <c r="AO4" s="485"/>
      <c r="AP4" s="485"/>
      <c r="AQ4" s="485"/>
      <c r="AR4" s="485"/>
      <c r="AS4" s="485"/>
      <c r="AT4" s="485"/>
      <c r="AU4" s="485"/>
      <c r="AV4" s="485"/>
      <c r="AW4" s="485"/>
      <c r="AX4" s="485"/>
      <c r="AY4" s="485"/>
      <c r="AZ4" s="642"/>
      <c r="BA4" s="642"/>
      <c r="BB4" s="642"/>
      <c r="BC4" s="642"/>
      <c r="BD4" s="642"/>
      <c r="BE4" s="642"/>
      <c r="BF4" s="642"/>
      <c r="BG4" s="642"/>
      <c r="BH4" s="642"/>
      <c r="BI4" s="642"/>
      <c r="BJ4" s="642"/>
      <c r="BK4" s="642"/>
      <c r="BL4" s="642"/>
      <c r="BM4" s="642"/>
      <c r="BN4" s="642"/>
      <c r="BO4" s="642"/>
      <c r="BP4" s="642"/>
      <c r="BQ4" s="642"/>
      <c r="BR4" s="642"/>
      <c r="BS4" s="642"/>
      <c r="BT4" s="642"/>
      <c r="BU4" s="642"/>
      <c r="BV4" s="642"/>
      <c r="BW4" s="642"/>
      <c r="BX4" s="642"/>
      <c r="BY4" s="642"/>
      <c r="BZ4" s="642"/>
      <c r="CA4" s="642"/>
      <c r="CB4" s="642"/>
      <c r="CC4" s="642"/>
      <c r="CD4" s="642"/>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2"/>
      <c r="ED4" s="642"/>
      <c r="EE4" s="642"/>
      <c r="EF4" s="642"/>
      <c r="EG4" s="642"/>
      <c r="EH4" s="642"/>
      <c r="EI4" s="642"/>
      <c r="EJ4" s="642"/>
      <c r="EK4" s="642"/>
      <c r="EL4" s="642"/>
      <c r="EM4" s="642"/>
      <c r="EN4" s="642"/>
      <c r="EO4" s="642"/>
      <c r="EP4" s="642"/>
      <c r="EQ4" s="642"/>
      <c r="ER4" s="642"/>
      <c r="ES4" s="642"/>
      <c r="ET4" s="642"/>
      <c r="EU4" s="642"/>
      <c r="EV4" s="642"/>
      <c r="EW4" s="642"/>
      <c r="EX4" s="642"/>
      <c r="EY4" s="642"/>
      <c r="EZ4" s="642"/>
      <c r="FA4" s="642"/>
      <c r="FB4" s="642"/>
      <c r="FC4" s="642"/>
      <c r="FD4" s="642"/>
      <c r="FE4" s="642"/>
      <c r="FF4" s="642"/>
      <c r="FG4" s="642"/>
      <c r="FH4" s="642"/>
      <c r="FI4" s="642"/>
      <c r="FJ4" s="642"/>
      <c r="FK4" s="642"/>
      <c r="FL4" s="642"/>
      <c r="FM4" s="642"/>
      <c r="FN4" s="642"/>
      <c r="FO4" s="642"/>
      <c r="FP4" s="642"/>
      <c r="FQ4" s="642"/>
      <c r="FR4" s="642"/>
      <c r="FS4" s="642"/>
      <c r="FT4" s="642"/>
      <c r="FU4" s="642"/>
      <c r="FV4" s="642"/>
      <c r="FW4" s="642"/>
      <c r="FX4" s="642"/>
      <c r="FY4" s="642"/>
      <c r="FZ4" s="642"/>
      <c r="GA4" s="642"/>
      <c r="GB4" s="642"/>
      <c r="GC4" s="642"/>
      <c r="GD4" s="642"/>
      <c r="GE4" s="642"/>
      <c r="GF4" s="642"/>
      <c r="GG4" s="642"/>
      <c r="GH4" s="642"/>
      <c r="GI4" s="642"/>
      <c r="GJ4" s="642"/>
      <c r="GK4" s="642"/>
      <c r="GL4" s="642"/>
      <c r="GM4" s="642"/>
      <c r="GN4" s="642"/>
      <c r="GO4" s="642"/>
      <c r="GP4" s="642"/>
      <c r="GQ4" s="642"/>
      <c r="GR4" s="642"/>
      <c r="GS4" s="642"/>
      <c r="GT4" s="642"/>
      <c r="GU4" s="642"/>
      <c r="GV4" s="642"/>
      <c r="GW4" s="642"/>
      <c r="GX4" s="642"/>
      <c r="GY4" s="642"/>
      <c r="GZ4" s="642"/>
      <c r="HA4" s="642"/>
      <c r="HB4" s="642"/>
      <c r="HC4" s="642"/>
      <c r="HD4" s="642"/>
      <c r="HE4" s="642"/>
      <c r="HF4" s="642"/>
      <c r="HG4" s="642"/>
      <c r="HH4" s="642"/>
      <c r="HI4" s="642"/>
      <c r="HJ4" s="642"/>
      <c r="HK4" s="642"/>
      <c r="HL4" s="642"/>
      <c r="HM4" s="642"/>
      <c r="HN4" s="642"/>
      <c r="HO4" s="642"/>
      <c r="HP4" s="642"/>
      <c r="HQ4" s="642"/>
      <c r="HR4" s="642"/>
      <c r="HS4" s="642"/>
      <c r="HT4" s="642"/>
      <c r="HU4" s="642"/>
      <c r="HV4" s="642"/>
      <c r="HW4" s="642"/>
      <c r="HX4" s="642"/>
      <c r="HY4" s="642"/>
      <c r="HZ4" s="642"/>
      <c r="IA4" s="642"/>
      <c r="IB4" s="642"/>
      <c r="IC4" s="642"/>
      <c r="ID4" s="642"/>
      <c r="IE4" s="642"/>
      <c r="IF4" s="642"/>
      <c r="IG4" s="642"/>
      <c r="IH4" s="642"/>
      <c r="II4" s="642"/>
      <c r="IJ4" s="642"/>
      <c r="IK4" s="642"/>
      <c r="IL4" s="642"/>
      <c r="IM4" s="642"/>
      <c r="IN4" s="642"/>
      <c r="IO4" s="642"/>
      <c r="IP4" s="642"/>
      <c r="IQ4" s="642"/>
      <c r="IR4" s="642"/>
      <c r="IS4" s="642"/>
      <c r="IT4" s="642"/>
      <c r="IU4" s="642"/>
      <c r="IV4" s="642"/>
      <c r="IW4" s="642"/>
    </row>
    <row r="5" customFormat="false" ht="12" hidden="false" customHeight="true" outlineLevel="0" collapsed="false">
      <c r="A5" s="796" t="s">
        <v>592</v>
      </c>
      <c r="B5" s="385"/>
      <c r="C5" s="385"/>
      <c r="D5" s="385"/>
      <c r="E5" s="385"/>
      <c r="F5" s="385"/>
      <c r="G5" s="385"/>
      <c r="H5" s="385"/>
      <c r="I5" s="385"/>
      <c r="J5" s="385"/>
      <c r="K5" s="385"/>
      <c r="L5" s="385"/>
      <c r="M5" s="385"/>
      <c r="N5" s="385"/>
      <c r="O5" s="385"/>
      <c r="P5" s="385"/>
      <c r="Q5" s="385"/>
      <c r="R5" s="385"/>
      <c r="S5" s="385"/>
      <c r="T5" s="385"/>
      <c r="U5" s="385"/>
      <c r="V5" s="385"/>
      <c r="W5" s="385"/>
      <c r="X5" s="385"/>
      <c r="Y5" s="385"/>
      <c r="Z5" s="385"/>
      <c r="AA5" s="385"/>
      <c r="AB5" s="415"/>
      <c r="AC5" s="385"/>
      <c r="AD5" s="385"/>
    </row>
    <row r="6" customFormat="false" ht="12" hidden="false" customHeight="true" outlineLevel="0" collapsed="false">
      <c r="A6" s="796"/>
      <c r="B6" s="385"/>
      <c r="C6" s="385"/>
      <c r="D6" s="385"/>
      <c r="E6" s="385"/>
      <c r="F6" s="385"/>
      <c r="G6" s="385"/>
      <c r="H6" s="385"/>
      <c r="I6" s="385"/>
      <c r="J6" s="385"/>
      <c r="K6" s="385"/>
      <c r="L6" s="385"/>
      <c r="M6" s="385"/>
      <c r="N6" s="385"/>
      <c r="O6" s="385"/>
      <c r="P6" s="385"/>
      <c r="Q6" s="385"/>
      <c r="R6" s="385"/>
      <c r="S6" s="385"/>
      <c r="T6" s="385"/>
      <c r="U6" s="385"/>
      <c r="V6" s="385"/>
      <c r="W6" s="385"/>
      <c r="X6" s="385"/>
      <c r="Y6" s="385"/>
      <c r="Z6" s="385"/>
      <c r="AA6" s="385"/>
      <c r="AB6" s="415"/>
      <c r="AC6" s="385"/>
      <c r="AD6" s="385"/>
    </row>
    <row r="7" customFormat="false" ht="12" hidden="false" customHeight="true" outlineLevel="0" collapsed="false">
      <c r="A7" s="797" t="s">
        <v>593</v>
      </c>
      <c r="B7" s="385"/>
      <c r="C7" s="32"/>
      <c r="D7" s="30"/>
      <c r="E7" s="30"/>
      <c r="F7" s="30"/>
      <c r="G7" s="30"/>
      <c r="H7" s="30"/>
      <c r="I7" s="30"/>
      <c r="J7" s="30"/>
      <c r="K7" s="30"/>
      <c r="L7" s="30"/>
      <c r="M7" s="30"/>
      <c r="N7" s="30"/>
      <c r="O7" s="30"/>
      <c r="P7" s="30"/>
      <c r="Q7" s="30"/>
      <c r="R7" s="30"/>
      <c r="S7" s="30"/>
      <c r="T7" s="30"/>
      <c r="U7" s="30"/>
      <c r="V7" s="30"/>
      <c r="W7" s="30"/>
      <c r="X7" s="30"/>
      <c r="Y7" s="30"/>
      <c r="Z7" s="30"/>
      <c r="AA7" s="30"/>
      <c r="AB7" s="437"/>
      <c r="AC7" s="385"/>
      <c r="AD7" s="385"/>
      <c r="AE7" s="798"/>
      <c r="AF7" s="798"/>
      <c r="AG7" s="799"/>
      <c r="AH7" s="799"/>
      <c r="AI7" s="799"/>
      <c r="AJ7" s="799"/>
      <c r="AK7" s="799"/>
      <c r="AL7" s="799"/>
      <c r="AM7" s="799"/>
      <c r="AN7" s="799"/>
      <c r="AO7" s="799"/>
      <c r="AP7" s="799"/>
      <c r="AQ7" s="799"/>
      <c r="AR7" s="799"/>
      <c r="AS7" s="799"/>
      <c r="AT7" s="799"/>
      <c r="AU7" s="799"/>
      <c r="AV7" s="799"/>
      <c r="AW7" s="799"/>
      <c r="AX7" s="799"/>
      <c r="AY7" s="799"/>
      <c r="AZ7" s="799"/>
      <c r="BA7" s="799"/>
      <c r="BB7" s="799"/>
      <c r="BC7" s="799"/>
      <c r="BD7" s="799"/>
      <c r="BE7" s="799"/>
      <c r="BF7" s="799"/>
      <c r="BG7" s="799"/>
      <c r="BH7" s="799"/>
      <c r="BI7" s="799"/>
      <c r="BJ7" s="799"/>
      <c r="BK7" s="799"/>
      <c r="BL7" s="799"/>
      <c r="BM7" s="799"/>
      <c r="BN7" s="799"/>
      <c r="BO7" s="799"/>
      <c r="BP7" s="799"/>
      <c r="BQ7" s="799"/>
      <c r="BR7" s="799"/>
      <c r="BS7" s="799"/>
      <c r="BT7" s="799"/>
      <c r="BU7" s="799"/>
      <c r="BV7" s="799"/>
      <c r="BW7" s="799"/>
      <c r="BX7" s="799"/>
      <c r="BY7" s="799"/>
      <c r="BZ7" s="799"/>
      <c r="CA7" s="799"/>
      <c r="CB7" s="799"/>
      <c r="CC7" s="799"/>
      <c r="CD7" s="799"/>
      <c r="CE7" s="799"/>
      <c r="CF7" s="799"/>
      <c r="CG7" s="799"/>
      <c r="CH7" s="799"/>
      <c r="CI7" s="799"/>
      <c r="CJ7" s="799"/>
      <c r="CK7" s="799"/>
      <c r="CL7" s="799"/>
      <c r="CM7" s="799"/>
      <c r="CN7" s="799"/>
      <c r="CO7" s="799"/>
      <c r="CP7" s="799"/>
      <c r="CQ7" s="799"/>
      <c r="CR7" s="799"/>
      <c r="CS7" s="799"/>
      <c r="CT7" s="799"/>
      <c r="CU7" s="799"/>
      <c r="CV7" s="799"/>
      <c r="CW7" s="799"/>
      <c r="CX7" s="799"/>
      <c r="CY7" s="799"/>
      <c r="CZ7" s="799"/>
      <c r="DA7" s="799"/>
      <c r="DB7" s="799"/>
      <c r="DC7" s="799"/>
      <c r="DD7" s="799"/>
      <c r="DE7" s="799"/>
      <c r="DF7" s="799"/>
      <c r="DG7" s="799"/>
      <c r="DH7" s="799"/>
      <c r="DI7" s="799"/>
      <c r="DJ7" s="799"/>
      <c r="DK7" s="799"/>
      <c r="DL7" s="799"/>
      <c r="DM7" s="799"/>
      <c r="DN7" s="799"/>
      <c r="DO7" s="799"/>
      <c r="DP7" s="799"/>
      <c r="DQ7" s="799"/>
      <c r="DR7" s="799"/>
      <c r="DS7" s="799"/>
      <c r="DT7" s="799"/>
      <c r="DU7" s="799"/>
      <c r="DV7" s="799"/>
      <c r="DW7" s="799"/>
      <c r="DX7" s="799"/>
      <c r="DY7" s="799"/>
      <c r="DZ7" s="799"/>
      <c r="EA7" s="799"/>
      <c r="EB7" s="799"/>
      <c r="EC7" s="799"/>
      <c r="ED7" s="799"/>
      <c r="EE7" s="799"/>
      <c r="EF7" s="799"/>
      <c r="EG7" s="799"/>
      <c r="EH7" s="799"/>
      <c r="EI7" s="799"/>
      <c r="EJ7" s="799"/>
      <c r="EK7" s="799"/>
      <c r="EL7" s="799"/>
      <c r="EM7" s="799"/>
      <c r="EN7" s="799"/>
      <c r="EO7" s="799"/>
      <c r="EP7" s="799"/>
      <c r="EQ7" s="799"/>
      <c r="ER7" s="799"/>
      <c r="ES7" s="799"/>
      <c r="ET7" s="799"/>
      <c r="EU7" s="799"/>
      <c r="EV7" s="799"/>
      <c r="EW7" s="799"/>
      <c r="EX7" s="799"/>
      <c r="EY7" s="799"/>
      <c r="EZ7" s="799"/>
      <c r="FA7" s="799"/>
      <c r="FB7" s="799"/>
      <c r="FC7" s="799"/>
      <c r="FD7" s="799"/>
      <c r="FE7" s="799"/>
      <c r="FF7" s="799"/>
      <c r="FG7" s="799"/>
      <c r="FH7" s="799"/>
      <c r="FI7" s="799"/>
      <c r="FJ7" s="799"/>
      <c r="FK7" s="799"/>
      <c r="FL7" s="799"/>
      <c r="FM7" s="799"/>
      <c r="FN7" s="799"/>
      <c r="FO7" s="799"/>
      <c r="FP7" s="799"/>
      <c r="FQ7" s="799"/>
      <c r="FR7" s="799"/>
      <c r="FS7" s="799"/>
      <c r="FT7" s="799"/>
      <c r="FU7" s="799"/>
      <c r="FV7" s="799"/>
      <c r="FW7" s="799"/>
      <c r="FX7" s="799"/>
      <c r="FY7" s="799"/>
      <c r="FZ7" s="799"/>
      <c r="GA7" s="799"/>
      <c r="GB7" s="799"/>
      <c r="GC7" s="799"/>
      <c r="GD7" s="799"/>
      <c r="GE7" s="799"/>
      <c r="GF7" s="799"/>
      <c r="GG7" s="799"/>
      <c r="GH7" s="799"/>
      <c r="GI7" s="799"/>
      <c r="GJ7" s="799"/>
      <c r="GK7" s="799"/>
      <c r="GL7" s="799"/>
      <c r="GM7" s="799"/>
      <c r="GN7" s="799"/>
      <c r="GO7" s="799"/>
      <c r="GP7" s="799"/>
      <c r="GQ7" s="799"/>
      <c r="GR7" s="799"/>
      <c r="GS7" s="799"/>
      <c r="GT7" s="799"/>
      <c r="GU7" s="799"/>
      <c r="GV7" s="799"/>
      <c r="GW7" s="799"/>
      <c r="GX7" s="799"/>
      <c r="GY7" s="799"/>
      <c r="GZ7" s="799"/>
      <c r="HA7" s="799"/>
      <c r="HB7" s="799"/>
      <c r="HC7" s="799"/>
      <c r="HD7" s="799"/>
      <c r="HE7" s="799"/>
      <c r="HF7" s="799"/>
      <c r="HG7" s="799"/>
      <c r="HH7" s="799"/>
      <c r="HI7" s="799"/>
      <c r="HJ7" s="799"/>
      <c r="HK7" s="799"/>
      <c r="HL7" s="799"/>
      <c r="HM7" s="799"/>
      <c r="HN7" s="799"/>
      <c r="HO7" s="799"/>
      <c r="HP7" s="799"/>
      <c r="HQ7" s="799"/>
      <c r="HR7" s="799"/>
      <c r="HS7" s="799"/>
      <c r="HT7" s="799"/>
      <c r="HU7" s="799"/>
      <c r="HV7" s="799"/>
      <c r="HW7" s="799"/>
      <c r="HX7" s="799"/>
      <c r="HY7" s="799"/>
      <c r="HZ7" s="799"/>
      <c r="IA7" s="799"/>
      <c r="IB7" s="799"/>
      <c r="IC7" s="799"/>
      <c r="ID7" s="799"/>
      <c r="IE7" s="799"/>
      <c r="IF7" s="799"/>
      <c r="IG7" s="799"/>
      <c r="IH7" s="799"/>
      <c r="II7" s="799"/>
      <c r="IJ7" s="799"/>
      <c r="IK7" s="799"/>
      <c r="IL7" s="799"/>
      <c r="IM7" s="799"/>
      <c r="IN7" s="799"/>
      <c r="IO7" s="799"/>
      <c r="IP7" s="799"/>
      <c r="IQ7" s="799"/>
      <c r="IR7" s="799"/>
      <c r="IS7" s="799"/>
      <c r="IT7" s="799"/>
      <c r="IU7" s="799"/>
      <c r="IV7" s="32"/>
      <c r="IW7" s="32"/>
    </row>
    <row r="8" customFormat="false" ht="12" hidden="false" customHeight="true" outlineLevel="0" collapsed="false">
      <c r="A8" s="720" t="s">
        <v>594</v>
      </c>
      <c r="B8" s="385"/>
      <c r="C8" s="32"/>
      <c r="D8" s="30" t="n">
        <f aca="false">BS!D44+BS!D45</f>
        <v>171061.342802939</v>
      </c>
      <c r="E8" s="30" t="n">
        <f aca="false">BS!E44+BS!E45</f>
        <v>162698.410953562</v>
      </c>
      <c r="F8" s="30" t="n">
        <f aca="false">BS!F44+BS!F45</f>
        <v>154220.612775805</v>
      </c>
      <c r="G8" s="30" t="n">
        <f aca="false">BS!G44+BS!G45</f>
        <v>143536.134445149</v>
      </c>
      <c r="H8" s="30" t="n">
        <f aca="false">BS!H44+BS!H45</f>
        <v>131982.464181417</v>
      </c>
      <c r="I8" s="30" t="n">
        <f aca="false">BS!I44+BS!I45</f>
        <v>124412.731848207</v>
      </c>
      <c r="J8" s="30" t="n">
        <f aca="false">BS!J44+BS!J45</f>
        <v>117242.062715532</v>
      </c>
      <c r="K8" s="30" t="n">
        <f aca="false">BS!K44+BS!K45</f>
        <v>110064.453761124</v>
      </c>
      <c r="L8" s="30" t="n">
        <f aca="false">BS!L44+BS!L45</f>
        <v>102893.784628449</v>
      </c>
      <c r="M8" s="30" t="n">
        <f aca="false">BS!M44+BS!M45</f>
        <v>95716.1756740402</v>
      </c>
      <c r="N8" s="30" t="n">
        <f aca="false">BS!N44+BS!N45</f>
        <v>88545.5065413651</v>
      </c>
      <c r="O8" s="30" t="n">
        <f aca="false">BS!O44+BS!O45</f>
        <v>81367.8975869566</v>
      </c>
      <c r="P8" s="30" t="n">
        <f aca="false">BS!P44+BS!P45</f>
        <v>74197.2284542815</v>
      </c>
      <c r="Q8" s="30" t="n">
        <f aca="false">BS!Q44+BS!Q45</f>
        <v>67019.619499873</v>
      </c>
      <c r="R8" s="30" t="n">
        <f aca="false">BS!R44+BS!R45</f>
        <v>59848.9503671979</v>
      </c>
      <c r="S8" s="30" t="n">
        <f aca="false">BS!S44+BS!S45</f>
        <v>54725.5286458647</v>
      </c>
      <c r="T8" s="30" t="n">
        <f aca="false">BS!T44+BS!T45</f>
        <v>51649.3543358734</v>
      </c>
      <c r="U8" s="30" t="n">
        <f aca="false">BS!U44+BS!U45</f>
        <v>48573.1800258822</v>
      </c>
      <c r="V8" s="30" t="n">
        <f aca="false">BS!V44+BS!V45</f>
        <v>45497.005715891</v>
      </c>
      <c r="W8" s="30" t="n">
        <f aca="false">BS!W44+BS!W45</f>
        <v>42420.8314058997</v>
      </c>
      <c r="X8" s="30" t="n">
        <f aca="false">BS!X44+BS!X45</f>
        <v>39344.6570959084</v>
      </c>
      <c r="Y8" s="30" t="n">
        <f aca="false">BS!Y44+BS!Y45</f>
        <v>0</v>
      </c>
      <c r="Z8" s="30" t="n">
        <f aca="false">BS!Z44+BS!Z45</f>
        <v>0</v>
      </c>
      <c r="AA8" s="30" t="n">
        <f aca="false">BS!AA44+BS!AA45</f>
        <v>0</v>
      </c>
      <c r="AB8" s="437" t="n">
        <f aca="false">BS!AB44+BS!AB45</f>
        <v>0</v>
      </c>
      <c r="AC8" s="385"/>
      <c r="AD8" s="385"/>
      <c r="AE8" s="798"/>
      <c r="AF8" s="798"/>
      <c r="AG8" s="799"/>
      <c r="AH8" s="799"/>
      <c r="AI8" s="799"/>
      <c r="AJ8" s="799"/>
      <c r="AK8" s="799"/>
      <c r="AL8" s="799"/>
      <c r="AM8" s="799"/>
      <c r="AN8" s="799"/>
      <c r="AO8" s="799"/>
      <c r="AP8" s="799"/>
      <c r="AQ8" s="799"/>
      <c r="AR8" s="799"/>
      <c r="AS8" s="799"/>
      <c r="AT8" s="799"/>
      <c r="AU8" s="799"/>
      <c r="AV8" s="799"/>
      <c r="AW8" s="799"/>
      <c r="AX8" s="799"/>
      <c r="AY8" s="799"/>
      <c r="AZ8" s="799"/>
      <c r="BA8" s="799"/>
      <c r="BB8" s="799"/>
      <c r="BC8" s="799"/>
      <c r="BD8" s="799"/>
      <c r="BE8" s="799"/>
      <c r="BF8" s="799"/>
      <c r="BG8" s="799"/>
      <c r="BH8" s="799"/>
      <c r="BI8" s="799"/>
      <c r="BJ8" s="799"/>
      <c r="BK8" s="799"/>
      <c r="BL8" s="799"/>
      <c r="BM8" s="799"/>
      <c r="BN8" s="799"/>
      <c r="BO8" s="799"/>
      <c r="BP8" s="799"/>
      <c r="BQ8" s="799"/>
      <c r="BR8" s="799"/>
      <c r="BS8" s="799"/>
      <c r="BT8" s="799"/>
      <c r="BU8" s="799"/>
      <c r="BV8" s="799"/>
      <c r="BW8" s="799"/>
      <c r="BX8" s="799"/>
      <c r="BY8" s="799"/>
      <c r="BZ8" s="799"/>
      <c r="CA8" s="799"/>
      <c r="CB8" s="799"/>
      <c r="CC8" s="799"/>
      <c r="CD8" s="799"/>
      <c r="CE8" s="799"/>
      <c r="CF8" s="799"/>
      <c r="CG8" s="799"/>
      <c r="CH8" s="799"/>
      <c r="CI8" s="799"/>
      <c r="CJ8" s="799"/>
      <c r="CK8" s="799"/>
      <c r="CL8" s="799"/>
      <c r="CM8" s="799"/>
      <c r="CN8" s="799"/>
      <c r="CO8" s="799"/>
      <c r="CP8" s="799"/>
      <c r="CQ8" s="799"/>
      <c r="CR8" s="799"/>
      <c r="CS8" s="799"/>
      <c r="CT8" s="799"/>
      <c r="CU8" s="799"/>
      <c r="CV8" s="799"/>
      <c r="CW8" s="799"/>
      <c r="CX8" s="799"/>
      <c r="CY8" s="799"/>
      <c r="CZ8" s="799"/>
      <c r="DA8" s="799"/>
      <c r="DB8" s="799"/>
      <c r="DC8" s="799"/>
      <c r="DD8" s="799"/>
      <c r="DE8" s="799"/>
      <c r="DF8" s="799"/>
      <c r="DG8" s="799"/>
      <c r="DH8" s="799"/>
      <c r="DI8" s="799"/>
      <c r="DJ8" s="799"/>
      <c r="DK8" s="799"/>
      <c r="DL8" s="799"/>
      <c r="DM8" s="799"/>
      <c r="DN8" s="799"/>
      <c r="DO8" s="799"/>
      <c r="DP8" s="799"/>
      <c r="DQ8" s="799"/>
      <c r="DR8" s="799"/>
      <c r="DS8" s="799"/>
      <c r="DT8" s="799"/>
      <c r="DU8" s="799"/>
      <c r="DV8" s="799"/>
      <c r="DW8" s="799"/>
      <c r="DX8" s="799"/>
      <c r="DY8" s="799"/>
      <c r="DZ8" s="799"/>
      <c r="EA8" s="799"/>
      <c r="EB8" s="799"/>
      <c r="EC8" s="799"/>
      <c r="ED8" s="799"/>
      <c r="EE8" s="799"/>
      <c r="EF8" s="799"/>
      <c r="EG8" s="799"/>
      <c r="EH8" s="799"/>
      <c r="EI8" s="799"/>
      <c r="EJ8" s="799"/>
      <c r="EK8" s="799"/>
      <c r="EL8" s="799"/>
      <c r="EM8" s="799"/>
      <c r="EN8" s="799"/>
      <c r="EO8" s="799"/>
      <c r="EP8" s="799"/>
      <c r="EQ8" s="799"/>
      <c r="ER8" s="799"/>
      <c r="ES8" s="799"/>
      <c r="ET8" s="799"/>
      <c r="EU8" s="799"/>
      <c r="EV8" s="799"/>
      <c r="EW8" s="799"/>
      <c r="EX8" s="799"/>
      <c r="EY8" s="799"/>
      <c r="EZ8" s="799"/>
      <c r="FA8" s="799"/>
      <c r="FB8" s="799"/>
      <c r="FC8" s="799"/>
      <c r="FD8" s="799"/>
      <c r="FE8" s="799"/>
      <c r="FF8" s="799"/>
      <c r="FG8" s="799"/>
      <c r="FH8" s="799"/>
      <c r="FI8" s="799"/>
      <c r="FJ8" s="799"/>
      <c r="FK8" s="799"/>
      <c r="FL8" s="799"/>
      <c r="FM8" s="799"/>
      <c r="FN8" s="799"/>
      <c r="FO8" s="799"/>
      <c r="FP8" s="799"/>
      <c r="FQ8" s="799"/>
      <c r="FR8" s="799"/>
      <c r="FS8" s="799"/>
      <c r="FT8" s="799"/>
      <c r="FU8" s="799"/>
      <c r="FV8" s="799"/>
      <c r="FW8" s="799"/>
      <c r="FX8" s="799"/>
      <c r="FY8" s="799"/>
      <c r="FZ8" s="799"/>
      <c r="GA8" s="799"/>
      <c r="GB8" s="799"/>
      <c r="GC8" s="799"/>
      <c r="GD8" s="799"/>
      <c r="GE8" s="799"/>
      <c r="GF8" s="799"/>
      <c r="GG8" s="799"/>
      <c r="GH8" s="799"/>
      <c r="GI8" s="799"/>
      <c r="GJ8" s="799"/>
      <c r="GK8" s="799"/>
      <c r="GL8" s="799"/>
      <c r="GM8" s="799"/>
      <c r="GN8" s="799"/>
      <c r="GO8" s="799"/>
      <c r="GP8" s="799"/>
      <c r="GQ8" s="799"/>
      <c r="GR8" s="799"/>
      <c r="GS8" s="799"/>
      <c r="GT8" s="799"/>
      <c r="GU8" s="799"/>
      <c r="GV8" s="799"/>
      <c r="GW8" s="799"/>
      <c r="GX8" s="799"/>
      <c r="GY8" s="799"/>
      <c r="GZ8" s="799"/>
      <c r="HA8" s="799"/>
      <c r="HB8" s="799"/>
      <c r="HC8" s="799"/>
      <c r="HD8" s="799"/>
      <c r="HE8" s="799"/>
      <c r="HF8" s="799"/>
      <c r="HG8" s="799"/>
      <c r="HH8" s="799"/>
      <c r="HI8" s="799"/>
      <c r="HJ8" s="799"/>
      <c r="HK8" s="799"/>
      <c r="HL8" s="799"/>
      <c r="HM8" s="799"/>
      <c r="HN8" s="799"/>
      <c r="HO8" s="799"/>
      <c r="HP8" s="799"/>
      <c r="HQ8" s="799"/>
      <c r="HR8" s="799"/>
      <c r="HS8" s="799"/>
      <c r="HT8" s="799"/>
      <c r="HU8" s="799"/>
      <c r="HV8" s="799"/>
      <c r="HW8" s="799"/>
      <c r="HX8" s="799"/>
      <c r="HY8" s="799"/>
      <c r="HZ8" s="799"/>
      <c r="IA8" s="799"/>
      <c r="IB8" s="799"/>
      <c r="IC8" s="799"/>
      <c r="ID8" s="799"/>
      <c r="IE8" s="799"/>
      <c r="IF8" s="799"/>
      <c r="IG8" s="799"/>
      <c r="IH8" s="799"/>
      <c r="II8" s="799"/>
      <c r="IJ8" s="799"/>
      <c r="IK8" s="799"/>
      <c r="IL8" s="799"/>
      <c r="IM8" s="799"/>
      <c r="IN8" s="799"/>
      <c r="IO8" s="799"/>
      <c r="IP8" s="799"/>
      <c r="IQ8" s="799"/>
      <c r="IR8" s="799"/>
      <c r="IS8" s="799"/>
      <c r="IT8" s="799"/>
      <c r="IU8" s="799"/>
      <c r="IV8" s="32"/>
      <c r="IW8" s="32"/>
    </row>
    <row r="9" customFormat="false" ht="12" hidden="false" customHeight="true" outlineLevel="0" collapsed="false">
      <c r="A9" s="720" t="s">
        <v>595</v>
      </c>
      <c r="B9" s="385"/>
      <c r="C9" s="708"/>
      <c r="D9" s="800" t="n">
        <f aca="false">IF(D$3&gt;'Project Assumptions'!$I$15,0,'Project Assumptions'!$N$67)</f>
        <v>0</v>
      </c>
      <c r="E9" s="800" t="n">
        <f aca="false">IF(E$3&gt;'Project Assumptions'!$I$15,0,'Project Assumptions'!$N$67)</f>
        <v>0</v>
      </c>
      <c r="F9" s="800" t="n">
        <f aca="false">IF(F$3&gt;'Project Assumptions'!$I$15,0,'Project Assumptions'!$N$67)</f>
        <v>0</v>
      </c>
      <c r="G9" s="800" t="n">
        <f aca="false">IF(G$3&gt;'Project Assumptions'!$I$15,0,'Project Assumptions'!$N$67)</f>
        <v>0</v>
      </c>
      <c r="H9" s="800" t="n">
        <f aca="false">IF(H$3&gt;'Project Assumptions'!$I$15,0,'Project Assumptions'!$N$67)</f>
        <v>0</v>
      </c>
      <c r="I9" s="800" t="n">
        <f aca="false">IF(I$3&gt;'Project Assumptions'!$I$15,0,'Project Assumptions'!$N$67)</f>
        <v>0</v>
      </c>
      <c r="J9" s="800" t="n">
        <f aca="false">IF(J$3&gt;'Project Assumptions'!$I$15,0,'Project Assumptions'!$N$67)</f>
        <v>0</v>
      </c>
      <c r="K9" s="800" t="n">
        <f aca="false">IF(K$3&gt;'Project Assumptions'!$I$15,0,'Project Assumptions'!$N$67)</f>
        <v>0</v>
      </c>
      <c r="L9" s="800" t="n">
        <f aca="false">IF(L$3&gt;'Project Assumptions'!$I$15,0,'Project Assumptions'!$N$67)</f>
        <v>0</v>
      </c>
      <c r="M9" s="800" t="n">
        <f aca="false">IF(M$3&gt;'Project Assumptions'!$I$15,0,'Project Assumptions'!$N$67)</f>
        <v>0</v>
      </c>
      <c r="N9" s="800" t="n">
        <f aca="false">IF(N$3&gt;'Project Assumptions'!$I$15,0,'Project Assumptions'!$N$67)</f>
        <v>0</v>
      </c>
      <c r="O9" s="800" t="n">
        <f aca="false">IF(O$3&gt;'Project Assumptions'!$I$15,0,'Project Assumptions'!$N$67)</f>
        <v>0</v>
      </c>
      <c r="P9" s="800" t="n">
        <f aca="false">IF(P$3&gt;'Project Assumptions'!$I$15,0,'Project Assumptions'!$N$67)</f>
        <v>0</v>
      </c>
      <c r="Q9" s="800" t="n">
        <f aca="false">IF(Q$3&gt;'Project Assumptions'!$I$15,0,'Project Assumptions'!$N$67)</f>
        <v>0</v>
      </c>
      <c r="R9" s="800" t="n">
        <f aca="false">IF(R$3&gt;'Project Assumptions'!$I$15,0,'Project Assumptions'!$N$67)</f>
        <v>0</v>
      </c>
      <c r="S9" s="800" t="n">
        <f aca="false">IF(S$3&gt;'Project Assumptions'!$I$15,0,'Project Assumptions'!$N$67)</f>
        <v>0</v>
      </c>
      <c r="T9" s="800" t="n">
        <f aca="false">IF(T$3&gt;'Project Assumptions'!$I$15,0,'Project Assumptions'!$N$67)</f>
        <v>0</v>
      </c>
      <c r="U9" s="800" t="n">
        <f aca="false">IF(U$3&gt;'Project Assumptions'!$I$15,0,'Project Assumptions'!$N$67)</f>
        <v>0</v>
      </c>
      <c r="V9" s="800" t="n">
        <f aca="false">IF(V$3&gt;'Project Assumptions'!$I$15,0,'Project Assumptions'!$N$67)</f>
        <v>0</v>
      </c>
      <c r="W9" s="800" t="n">
        <f aca="false">IF(W$3&gt;'Project Assumptions'!$I$15,0,'Project Assumptions'!$N$67)</f>
        <v>0</v>
      </c>
      <c r="X9" s="800" t="n">
        <f aca="false">IF(X$3&gt;'Project Assumptions'!$I$15+1,0,'Project Assumptions'!$N$67)</f>
        <v>0</v>
      </c>
      <c r="Y9" s="800" t="n">
        <f aca="false">IF(Y$3&gt;'Project Assumptions'!$I$15,0,'Project Assumptions'!$N$67)</f>
        <v>0</v>
      </c>
      <c r="Z9" s="800" t="n">
        <f aca="false">IF(Z$3&gt;'Project Assumptions'!$I$15,0,'Project Assumptions'!$N$67)</f>
        <v>0</v>
      </c>
      <c r="AA9" s="800" t="n">
        <f aca="false">IF(AA$3&gt;'Project Assumptions'!$I$15,0,'Project Assumptions'!$N$67)</f>
        <v>0</v>
      </c>
      <c r="AB9" s="801" t="n">
        <f aca="false">IF(AB$3&gt;'Project Assumptions'!$I$15,0,'Project Assumptions'!$N$67)</f>
        <v>0</v>
      </c>
      <c r="AC9" s="798"/>
      <c r="AD9" s="798"/>
      <c r="AE9" s="798"/>
      <c r="AF9" s="798"/>
      <c r="AG9" s="799"/>
      <c r="AH9" s="799"/>
      <c r="AI9" s="799"/>
      <c r="AJ9" s="799"/>
      <c r="AK9" s="799"/>
      <c r="AL9" s="799"/>
      <c r="AM9" s="799"/>
      <c r="AN9" s="799"/>
      <c r="AO9" s="799"/>
      <c r="AP9" s="799"/>
      <c r="AQ9" s="799"/>
      <c r="AR9" s="799"/>
      <c r="AS9" s="799"/>
      <c r="AT9" s="799"/>
      <c r="AU9" s="799"/>
      <c r="AV9" s="799"/>
      <c r="AW9" s="799"/>
      <c r="AX9" s="799"/>
      <c r="AY9" s="799"/>
      <c r="AZ9" s="799"/>
      <c r="BA9" s="799"/>
      <c r="BB9" s="799"/>
      <c r="BC9" s="799"/>
      <c r="BD9" s="799"/>
      <c r="BE9" s="799"/>
      <c r="BF9" s="799"/>
      <c r="BG9" s="799"/>
      <c r="BH9" s="799"/>
      <c r="BI9" s="799"/>
      <c r="BJ9" s="799"/>
      <c r="BK9" s="799"/>
      <c r="BL9" s="799"/>
      <c r="BM9" s="799"/>
      <c r="BN9" s="799"/>
      <c r="BO9" s="799"/>
      <c r="BP9" s="799"/>
      <c r="BQ9" s="799"/>
      <c r="BR9" s="799"/>
      <c r="BS9" s="799"/>
      <c r="BT9" s="799"/>
      <c r="BU9" s="799"/>
      <c r="BV9" s="799"/>
      <c r="BW9" s="799"/>
      <c r="BX9" s="799"/>
      <c r="BY9" s="799"/>
      <c r="BZ9" s="799"/>
      <c r="CA9" s="799"/>
      <c r="CB9" s="799"/>
      <c r="CC9" s="799"/>
      <c r="CD9" s="799"/>
      <c r="CE9" s="799"/>
      <c r="CF9" s="799"/>
      <c r="CG9" s="799"/>
      <c r="CH9" s="799"/>
      <c r="CI9" s="799"/>
      <c r="CJ9" s="799"/>
      <c r="CK9" s="799"/>
      <c r="CL9" s="799"/>
      <c r="CM9" s="799"/>
      <c r="CN9" s="799"/>
      <c r="CO9" s="799"/>
      <c r="CP9" s="799"/>
      <c r="CQ9" s="799"/>
      <c r="CR9" s="799"/>
      <c r="CS9" s="799"/>
      <c r="CT9" s="799"/>
      <c r="CU9" s="799"/>
      <c r="CV9" s="799"/>
      <c r="CW9" s="799"/>
      <c r="CX9" s="799"/>
      <c r="CY9" s="799"/>
      <c r="CZ9" s="799"/>
      <c r="DA9" s="799"/>
      <c r="DB9" s="799"/>
      <c r="DC9" s="799"/>
      <c r="DD9" s="799"/>
      <c r="DE9" s="799"/>
      <c r="DF9" s="799"/>
      <c r="DG9" s="799"/>
      <c r="DH9" s="799"/>
      <c r="DI9" s="799"/>
      <c r="DJ9" s="799"/>
      <c r="DK9" s="799"/>
      <c r="DL9" s="799"/>
      <c r="DM9" s="799"/>
      <c r="DN9" s="799"/>
      <c r="DO9" s="799"/>
      <c r="DP9" s="799"/>
      <c r="DQ9" s="799"/>
      <c r="DR9" s="799"/>
      <c r="DS9" s="799"/>
      <c r="DT9" s="799"/>
      <c r="DU9" s="799"/>
      <c r="DV9" s="799"/>
      <c r="DW9" s="799"/>
      <c r="DX9" s="799"/>
      <c r="DY9" s="799"/>
      <c r="DZ9" s="799"/>
      <c r="EA9" s="799"/>
      <c r="EB9" s="799"/>
      <c r="EC9" s="799"/>
      <c r="ED9" s="799"/>
      <c r="EE9" s="799"/>
      <c r="EF9" s="799"/>
      <c r="EG9" s="799"/>
      <c r="EH9" s="799"/>
      <c r="EI9" s="799"/>
      <c r="EJ9" s="799"/>
      <c r="EK9" s="799"/>
      <c r="EL9" s="799"/>
      <c r="EM9" s="799"/>
      <c r="EN9" s="799"/>
      <c r="EO9" s="799"/>
      <c r="EP9" s="799"/>
      <c r="EQ9" s="799"/>
      <c r="ER9" s="799"/>
      <c r="ES9" s="799"/>
      <c r="ET9" s="799"/>
      <c r="EU9" s="799"/>
      <c r="EV9" s="799"/>
      <c r="EW9" s="799"/>
      <c r="EX9" s="799"/>
      <c r="EY9" s="799"/>
      <c r="EZ9" s="799"/>
      <c r="FA9" s="799"/>
      <c r="FB9" s="799"/>
      <c r="FC9" s="799"/>
      <c r="FD9" s="799"/>
      <c r="FE9" s="799"/>
      <c r="FF9" s="799"/>
      <c r="FG9" s="799"/>
      <c r="FH9" s="799"/>
      <c r="FI9" s="799"/>
      <c r="FJ9" s="799"/>
      <c r="FK9" s="799"/>
      <c r="FL9" s="799"/>
      <c r="FM9" s="799"/>
      <c r="FN9" s="799"/>
      <c r="FO9" s="799"/>
      <c r="FP9" s="799"/>
      <c r="FQ9" s="799"/>
      <c r="FR9" s="799"/>
      <c r="FS9" s="799"/>
      <c r="FT9" s="799"/>
      <c r="FU9" s="799"/>
      <c r="FV9" s="799"/>
      <c r="FW9" s="799"/>
      <c r="FX9" s="799"/>
      <c r="FY9" s="799"/>
      <c r="FZ9" s="799"/>
      <c r="GA9" s="799"/>
      <c r="GB9" s="799"/>
      <c r="GC9" s="799"/>
      <c r="GD9" s="799"/>
      <c r="GE9" s="799"/>
      <c r="GF9" s="799"/>
      <c r="GG9" s="799"/>
      <c r="GH9" s="799"/>
      <c r="GI9" s="799"/>
      <c r="GJ9" s="799"/>
      <c r="GK9" s="799"/>
      <c r="GL9" s="799"/>
      <c r="GM9" s="799"/>
      <c r="GN9" s="799"/>
      <c r="GO9" s="799"/>
      <c r="GP9" s="799"/>
      <c r="GQ9" s="799"/>
      <c r="GR9" s="799"/>
      <c r="GS9" s="799"/>
      <c r="GT9" s="799"/>
      <c r="GU9" s="799"/>
      <c r="GV9" s="799"/>
      <c r="GW9" s="799"/>
      <c r="GX9" s="799"/>
      <c r="GY9" s="799"/>
      <c r="GZ9" s="799"/>
      <c r="HA9" s="799"/>
      <c r="HB9" s="799"/>
      <c r="HC9" s="799"/>
      <c r="HD9" s="799"/>
      <c r="HE9" s="799"/>
      <c r="HF9" s="799"/>
      <c r="HG9" s="799"/>
      <c r="HH9" s="799"/>
      <c r="HI9" s="799"/>
      <c r="HJ9" s="799"/>
      <c r="HK9" s="799"/>
      <c r="HL9" s="799"/>
      <c r="HM9" s="799"/>
      <c r="HN9" s="799"/>
      <c r="HO9" s="799"/>
      <c r="HP9" s="799"/>
      <c r="HQ9" s="799"/>
      <c r="HR9" s="799"/>
      <c r="HS9" s="799"/>
      <c r="HT9" s="799"/>
      <c r="HU9" s="799"/>
      <c r="HV9" s="799"/>
      <c r="HW9" s="799"/>
      <c r="HX9" s="799"/>
      <c r="HY9" s="799"/>
      <c r="HZ9" s="799"/>
      <c r="IA9" s="799"/>
      <c r="IB9" s="799"/>
      <c r="IC9" s="799"/>
      <c r="ID9" s="799"/>
      <c r="IE9" s="799"/>
      <c r="IF9" s="799"/>
      <c r="IG9" s="799"/>
      <c r="IH9" s="799"/>
      <c r="II9" s="799"/>
      <c r="IJ9" s="799"/>
      <c r="IK9" s="799"/>
      <c r="IL9" s="799"/>
      <c r="IM9" s="799"/>
      <c r="IN9" s="799"/>
      <c r="IO9" s="799"/>
      <c r="IP9" s="799"/>
      <c r="IQ9" s="799"/>
      <c r="IR9" s="799"/>
      <c r="IS9" s="708"/>
      <c r="IT9" s="708"/>
      <c r="IU9" s="708"/>
      <c r="IV9" s="708"/>
      <c r="IW9" s="708"/>
    </row>
    <row r="10" customFormat="false" ht="12" hidden="false" customHeight="true" outlineLevel="0" collapsed="false">
      <c r="A10" s="433" t="s">
        <v>596</v>
      </c>
      <c r="B10" s="434"/>
      <c r="C10" s="802"/>
      <c r="D10" s="678" t="n">
        <f aca="false">D8*D9</f>
        <v>0</v>
      </c>
      <c r="E10" s="678" t="n">
        <f aca="false">E8*E9</f>
        <v>0</v>
      </c>
      <c r="F10" s="678" t="n">
        <f aca="false">F8*F9</f>
        <v>0</v>
      </c>
      <c r="G10" s="678" t="n">
        <f aca="false">G8*G9</f>
        <v>0</v>
      </c>
      <c r="H10" s="678" t="n">
        <f aca="false">H8*H9</f>
        <v>0</v>
      </c>
      <c r="I10" s="678" t="n">
        <f aca="false">I8*I9</f>
        <v>0</v>
      </c>
      <c r="J10" s="678" t="n">
        <f aca="false">J8*J9</f>
        <v>0</v>
      </c>
      <c r="K10" s="678" t="n">
        <f aca="false">K8*K9</f>
        <v>0</v>
      </c>
      <c r="L10" s="678" t="n">
        <f aca="false">L8*L9</f>
        <v>0</v>
      </c>
      <c r="M10" s="678" t="n">
        <f aca="false">M8*M9</f>
        <v>0</v>
      </c>
      <c r="N10" s="678" t="n">
        <f aca="false">N8*N9</f>
        <v>0</v>
      </c>
      <c r="O10" s="678" t="n">
        <f aca="false">O8*O9</f>
        <v>0</v>
      </c>
      <c r="P10" s="678" t="n">
        <f aca="false">P8*P9</f>
        <v>0</v>
      </c>
      <c r="Q10" s="678" t="n">
        <f aca="false">Q8*Q9</f>
        <v>0</v>
      </c>
      <c r="R10" s="678" t="n">
        <f aca="false">R8*R9</f>
        <v>0</v>
      </c>
      <c r="S10" s="678" t="n">
        <f aca="false">S8*S9</f>
        <v>0</v>
      </c>
      <c r="T10" s="678" t="n">
        <f aca="false">T8*T9</f>
        <v>0</v>
      </c>
      <c r="U10" s="678" t="n">
        <f aca="false">U8*U9</f>
        <v>0</v>
      </c>
      <c r="V10" s="678" t="n">
        <f aca="false">V8*V9</f>
        <v>0</v>
      </c>
      <c r="W10" s="678" t="n">
        <f aca="false">W8*W9</f>
        <v>0</v>
      </c>
      <c r="X10" s="678" t="n">
        <f aca="false">X8*X9</f>
        <v>0</v>
      </c>
      <c r="Y10" s="678" t="n">
        <f aca="false">Y8*Y9</f>
        <v>0</v>
      </c>
      <c r="Z10" s="678" t="n">
        <f aca="false">Z8*Z9</f>
        <v>0</v>
      </c>
      <c r="AA10" s="678" t="n">
        <f aca="false">AA8*AA9</f>
        <v>0</v>
      </c>
      <c r="AB10" s="679" t="n">
        <f aca="false">AB8*AB9</f>
        <v>0</v>
      </c>
      <c r="AC10" s="385"/>
      <c r="AD10" s="798"/>
      <c r="AE10" s="798"/>
      <c r="AF10" s="798"/>
      <c r="AG10" s="799"/>
      <c r="AH10" s="799"/>
      <c r="AI10" s="799"/>
      <c r="AJ10" s="799"/>
      <c r="AK10" s="799"/>
      <c r="AL10" s="799"/>
      <c r="AM10" s="799"/>
      <c r="AN10" s="799"/>
      <c r="AO10" s="799"/>
      <c r="AP10" s="799"/>
      <c r="AQ10" s="799"/>
      <c r="AR10" s="799"/>
      <c r="AS10" s="799"/>
      <c r="AT10" s="799"/>
      <c r="AU10" s="799"/>
      <c r="AV10" s="799"/>
      <c r="AW10" s="799"/>
      <c r="AX10" s="799"/>
      <c r="AY10" s="799"/>
      <c r="AZ10" s="799"/>
      <c r="BA10" s="799"/>
      <c r="BB10" s="799"/>
      <c r="BC10" s="799"/>
      <c r="BD10" s="799"/>
      <c r="BE10" s="799"/>
      <c r="BF10" s="799"/>
      <c r="BG10" s="799"/>
      <c r="BH10" s="799"/>
      <c r="BI10" s="799"/>
      <c r="BJ10" s="799"/>
      <c r="BK10" s="799"/>
      <c r="BL10" s="799"/>
      <c r="BM10" s="799"/>
      <c r="BN10" s="799"/>
      <c r="BO10" s="799"/>
      <c r="BP10" s="799"/>
      <c r="BQ10" s="799"/>
      <c r="BR10" s="799"/>
      <c r="BS10" s="799"/>
      <c r="BT10" s="799"/>
      <c r="BU10" s="799"/>
      <c r="BV10" s="799"/>
      <c r="BW10" s="799"/>
      <c r="BX10" s="799"/>
      <c r="BY10" s="799"/>
      <c r="BZ10" s="799"/>
      <c r="CA10" s="799"/>
      <c r="CB10" s="799"/>
      <c r="CC10" s="799"/>
      <c r="CD10" s="799"/>
      <c r="CE10" s="799"/>
      <c r="CF10" s="799"/>
      <c r="CG10" s="799"/>
      <c r="CH10" s="799"/>
      <c r="CI10" s="799"/>
      <c r="CJ10" s="799"/>
      <c r="CK10" s="799"/>
      <c r="CL10" s="799"/>
      <c r="CM10" s="799"/>
      <c r="CN10" s="799"/>
      <c r="CO10" s="799"/>
      <c r="CP10" s="799"/>
      <c r="CQ10" s="799"/>
      <c r="CR10" s="799"/>
      <c r="CS10" s="799"/>
      <c r="CT10" s="799"/>
      <c r="CU10" s="799"/>
      <c r="CV10" s="799"/>
      <c r="CW10" s="799"/>
      <c r="CX10" s="799"/>
      <c r="CY10" s="799"/>
      <c r="CZ10" s="799"/>
      <c r="DA10" s="799"/>
      <c r="DB10" s="799"/>
      <c r="DC10" s="799"/>
      <c r="DD10" s="799"/>
      <c r="DE10" s="799"/>
      <c r="DF10" s="799"/>
      <c r="DG10" s="799"/>
      <c r="DH10" s="799"/>
      <c r="DI10" s="799"/>
      <c r="DJ10" s="799"/>
      <c r="DK10" s="799"/>
      <c r="DL10" s="799"/>
      <c r="DM10" s="799"/>
      <c r="DN10" s="799"/>
      <c r="DO10" s="799"/>
      <c r="DP10" s="799"/>
      <c r="DQ10" s="799"/>
      <c r="DR10" s="799"/>
      <c r="DS10" s="799"/>
      <c r="DT10" s="799"/>
      <c r="DU10" s="799"/>
      <c r="DV10" s="799"/>
      <c r="DW10" s="799"/>
      <c r="DX10" s="799"/>
      <c r="DY10" s="799"/>
      <c r="DZ10" s="799"/>
      <c r="EA10" s="799"/>
      <c r="EB10" s="799"/>
      <c r="EC10" s="799"/>
      <c r="ED10" s="799"/>
      <c r="EE10" s="799"/>
      <c r="EF10" s="799"/>
      <c r="EG10" s="799"/>
      <c r="EH10" s="799"/>
      <c r="EI10" s="799"/>
      <c r="EJ10" s="799"/>
      <c r="EK10" s="799"/>
      <c r="EL10" s="799"/>
      <c r="EM10" s="799"/>
      <c r="EN10" s="799"/>
      <c r="EO10" s="799"/>
      <c r="EP10" s="799"/>
      <c r="EQ10" s="799"/>
      <c r="ER10" s="799"/>
      <c r="ES10" s="799"/>
      <c r="ET10" s="799"/>
      <c r="EU10" s="799"/>
      <c r="EV10" s="799"/>
      <c r="EW10" s="799"/>
      <c r="EX10" s="799"/>
      <c r="EY10" s="799"/>
      <c r="EZ10" s="799"/>
      <c r="FA10" s="799"/>
      <c r="FB10" s="799"/>
      <c r="FC10" s="799"/>
      <c r="FD10" s="799"/>
      <c r="FE10" s="799"/>
      <c r="FF10" s="799"/>
      <c r="FG10" s="799"/>
      <c r="FH10" s="799"/>
      <c r="FI10" s="799"/>
      <c r="FJ10" s="799"/>
      <c r="FK10" s="799"/>
      <c r="FL10" s="799"/>
      <c r="FM10" s="799"/>
      <c r="FN10" s="799"/>
      <c r="FO10" s="799"/>
      <c r="FP10" s="799"/>
      <c r="FQ10" s="799"/>
      <c r="FR10" s="799"/>
      <c r="FS10" s="799"/>
      <c r="FT10" s="799"/>
      <c r="FU10" s="799"/>
      <c r="FV10" s="799"/>
      <c r="FW10" s="799"/>
      <c r="FX10" s="799"/>
      <c r="FY10" s="799"/>
      <c r="FZ10" s="799"/>
      <c r="GA10" s="799"/>
      <c r="GB10" s="799"/>
      <c r="GC10" s="799"/>
      <c r="GD10" s="799"/>
      <c r="GE10" s="799"/>
      <c r="GF10" s="799"/>
      <c r="GG10" s="799"/>
      <c r="GH10" s="799"/>
      <c r="GI10" s="799"/>
      <c r="GJ10" s="799"/>
      <c r="GK10" s="799"/>
      <c r="GL10" s="799"/>
      <c r="GM10" s="799"/>
      <c r="GN10" s="799"/>
      <c r="GO10" s="799"/>
      <c r="GP10" s="799"/>
      <c r="GQ10" s="799"/>
      <c r="GR10" s="799"/>
      <c r="GS10" s="799"/>
      <c r="GT10" s="799"/>
      <c r="GU10" s="799"/>
      <c r="GV10" s="799"/>
      <c r="GW10" s="799"/>
      <c r="GX10" s="799"/>
      <c r="GY10" s="799"/>
      <c r="GZ10" s="799"/>
      <c r="HA10" s="799"/>
      <c r="HB10" s="799"/>
      <c r="HC10" s="799"/>
      <c r="HD10" s="799"/>
      <c r="HE10" s="799"/>
      <c r="HF10" s="799"/>
      <c r="HG10" s="799"/>
      <c r="HH10" s="799"/>
      <c r="HI10" s="799"/>
      <c r="HJ10" s="799"/>
      <c r="HK10" s="799"/>
      <c r="HL10" s="799"/>
      <c r="HM10" s="799"/>
      <c r="HN10" s="799"/>
      <c r="HO10" s="799"/>
      <c r="HP10" s="799"/>
      <c r="HQ10" s="799"/>
      <c r="HR10" s="799"/>
      <c r="HS10" s="799"/>
      <c r="HT10" s="799"/>
      <c r="HU10" s="799"/>
      <c r="HV10" s="799"/>
      <c r="HW10" s="799"/>
      <c r="HX10" s="799"/>
      <c r="HY10" s="799"/>
      <c r="HZ10" s="799"/>
      <c r="IA10" s="799"/>
      <c r="IB10" s="799"/>
      <c r="IC10" s="799"/>
      <c r="ID10" s="799"/>
      <c r="IE10" s="799"/>
      <c r="IF10" s="799"/>
      <c r="IG10" s="799"/>
      <c r="IH10" s="799"/>
      <c r="II10" s="799"/>
      <c r="IJ10" s="799"/>
      <c r="IK10" s="799"/>
      <c r="IL10" s="799"/>
      <c r="IM10" s="799"/>
      <c r="IN10" s="799"/>
      <c r="IO10" s="799"/>
      <c r="IP10" s="799"/>
      <c r="IQ10" s="799"/>
      <c r="IR10" s="799"/>
      <c r="IS10" s="799"/>
      <c r="IT10" s="799"/>
      <c r="IU10" s="708"/>
      <c r="IV10" s="708"/>
      <c r="IW10" s="708"/>
    </row>
    <row r="11" customFormat="false" ht="12" hidden="false" customHeight="true" outlineLevel="0" collapsed="false">
      <c r="A11" s="410"/>
      <c r="B11" s="385"/>
      <c r="C11" s="708"/>
      <c r="D11" s="803"/>
      <c r="E11" s="803"/>
      <c r="F11" s="803"/>
      <c r="G11" s="803"/>
      <c r="H11" s="803"/>
      <c r="I11" s="803"/>
      <c r="J11" s="803"/>
      <c r="K11" s="803"/>
      <c r="L11" s="803"/>
      <c r="M11" s="803"/>
      <c r="N11" s="803"/>
      <c r="O11" s="803"/>
      <c r="P11" s="803"/>
      <c r="Q11" s="803"/>
      <c r="R11" s="803"/>
      <c r="S11" s="803"/>
      <c r="T11" s="803"/>
      <c r="U11" s="803"/>
      <c r="V11" s="803"/>
      <c r="W11" s="803"/>
      <c r="X11" s="803"/>
      <c r="Y11" s="803"/>
      <c r="Z11" s="803"/>
      <c r="AA11" s="803"/>
      <c r="AB11" s="804"/>
      <c r="AC11" s="803"/>
      <c r="AD11" s="803"/>
      <c r="AE11" s="385"/>
      <c r="AF11" s="385"/>
      <c r="AG11" s="708"/>
      <c r="AH11" s="708"/>
      <c r="AI11" s="708"/>
      <c r="AJ11" s="708"/>
      <c r="AK11" s="708"/>
      <c r="AL11" s="708"/>
      <c r="AM11" s="708"/>
      <c r="AN11" s="708"/>
      <c r="AO11" s="708"/>
      <c r="AP11" s="708"/>
      <c r="AQ11" s="708"/>
      <c r="AR11" s="708"/>
      <c r="AS11" s="708"/>
      <c r="AT11" s="708"/>
      <c r="AU11" s="708"/>
      <c r="AV11" s="708"/>
      <c r="AW11" s="708"/>
      <c r="AX11" s="708"/>
      <c r="AY11" s="708"/>
      <c r="AZ11" s="708"/>
      <c r="BA11" s="708"/>
      <c r="BB11" s="708"/>
      <c r="BC11" s="708"/>
      <c r="BD11" s="708"/>
      <c r="BE11" s="708"/>
      <c r="BF11" s="708"/>
      <c r="BG11" s="708"/>
      <c r="BH11" s="708"/>
      <c r="BI11" s="708"/>
      <c r="BJ11" s="708"/>
      <c r="BK11" s="708"/>
      <c r="BL11" s="708"/>
      <c r="BM11" s="708"/>
      <c r="BN11" s="708"/>
      <c r="BO11" s="708"/>
      <c r="BP11" s="708"/>
      <c r="BQ11" s="708"/>
      <c r="BR11" s="708"/>
      <c r="BS11" s="708"/>
      <c r="BT11" s="708"/>
      <c r="BU11" s="708"/>
      <c r="BV11" s="708"/>
      <c r="BW11" s="708"/>
      <c r="BX11" s="708"/>
      <c r="BY11" s="708"/>
      <c r="BZ11" s="708"/>
      <c r="CA11" s="708"/>
      <c r="CB11" s="708"/>
      <c r="CC11" s="708"/>
      <c r="CD11" s="708"/>
      <c r="CE11" s="708"/>
      <c r="CF11" s="708"/>
      <c r="CG11" s="708"/>
      <c r="CH11" s="708"/>
      <c r="CI11" s="708"/>
      <c r="CJ11" s="708"/>
      <c r="CK11" s="708"/>
      <c r="CL11" s="708"/>
      <c r="CM11" s="708"/>
      <c r="CN11" s="708"/>
      <c r="CO11" s="708"/>
      <c r="CP11" s="708"/>
      <c r="CQ11" s="708"/>
      <c r="CR11" s="708"/>
      <c r="CS11" s="708"/>
      <c r="CT11" s="708"/>
      <c r="CU11" s="708"/>
      <c r="CV11" s="708"/>
      <c r="CW11" s="708"/>
      <c r="CX11" s="708"/>
      <c r="CY11" s="708"/>
      <c r="CZ11" s="708"/>
      <c r="DA11" s="708"/>
      <c r="DB11" s="708"/>
      <c r="DC11" s="708"/>
      <c r="DD11" s="708"/>
      <c r="DE11" s="708"/>
      <c r="DF11" s="708"/>
      <c r="DG11" s="708"/>
      <c r="DH11" s="708"/>
      <c r="DI11" s="708"/>
      <c r="DJ11" s="708"/>
      <c r="DK11" s="708"/>
      <c r="DL11" s="708"/>
      <c r="DM11" s="708"/>
      <c r="DN11" s="708"/>
      <c r="DO11" s="708"/>
      <c r="DP11" s="708"/>
      <c r="DQ11" s="708"/>
      <c r="DR11" s="708"/>
      <c r="DS11" s="708"/>
      <c r="DT11" s="708"/>
      <c r="DU11" s="708"/>
      <c r="DV11" s="708"/>
      <c r="DW11" s="708"/>
      <c r="DX11" s="708"/>
      <c r="DY11" s="708"/>
      <c r="DZ11" s="708"/>
      <c r="EA11" s="708"/>
      <c r="EB11" s="708"/>
      <c r="EC11" s="708"/>
      <c r="ED11" s="708"/>
      <c r="EE11" s="708"/>
      <c r="EF11" s="708"/>
      <c r="EG11" s="708"/>
      <c r="EH11" s="708"/>
      <c r="EI11" s="708"/>
      <c r="EJ11" s="708"/>
      <c r="EK11" s="708"/>
      <c r="EL11" s="708"/>
      <c r="EM11" s="708"/>
      <c r="EN11" s="708"/>
      <c r="EO11" s="708"/>
      <c r="EP11" s="708"/>
      <c r="EQ11" s="708"/>
      <c r="ER11" s="708"/>
      <c r="ES11" s="708"/>
      <c r="ET11" s="708"/>
      <c r="EU11" s="708"/>
      <c r="EV11" s="708"/>
      <c r="EW11" s="708"/>
      <c r="EX11" s="708"/>
      <c r="EY11" s="708"/>
      <c r="EZ11" s="708"/>
      <c r="FA11" s="708"/>
      <c r="FB11" s="708"/>
      <c r="FC11" s="708"/>
      <c r="FD11" s="708"/>
      <c r="FE11" s="708"/>
      <c r="FF11" s="708"/>
      <c r="FG11" s="708"/>
      <c r="FH11" s="708"/>
      <c r="FI11" s="708"/>
      <c r="FJ11" s="708"/>
      <c r="FK11" s="708"/>
      <c r="FL11" s="708"/>
      <c r="FM11" s="708"/>
      <c r="FN11" s="708"/>
      <c r="FO11" s="708"/>
      <c r="FP11" s="708"/>
      <c r="FQ11" s="708"/>
      <c r="FR11" s="708"/>
      <c r="FS11" s="708"/>
      <c r="FT11" s="708"/>
      <c r="FU11" s="708"/>
      <c r="FV11" s="708"/>
      <c r="FW11" s="708"/>
      <c r="FX11" s="708"/>
      <c r="FY11" s="708"/>
      <c r="FZ11" s="708"/>
      <c r="GA11" s="708"/>
      <c r="GB11" s="708"/>
      <c r="GC11" s="708"/>
      <c r="GD11" s="708"/>
      <c r="GE11" s="708"/>
      <c r="GF11" s="708"/>
      <c r="GG11" s="708"/>
      <c r="GH11" s="708"/>
      <c r="GI11" s="708"/>
      <c r="GJ11" s="708"/>
      <c r="GK11" s="708"/>
      <c r="GL11" s="708"/>
      <c r="GM11" s="708"/>
      <c r="GN11" s="708"/>
      <c r="GO11" s="708"/>
      <c r="GP11" s="708"/>
      <c r="GQ11" s="708"/>
      <c r="GR11" s="708"/>
      <c r="GS11" s="708"/>
      <c r="GT11" s="708"/>
      <c r="GU11" s="708"/>
      <c r="GV11" s="708"/>
      <c r="GW11" s="708"/>
      <c r="GX11" s="708"/>
      <c r="GY11" s="708"/>
      <c r="GZ11" s="708"/>
      <c r="HA11" s="708"/>
      <c r="HB11" s="708"/>
      <c r="HC11" s="708"/>
      <c r="HD11" s="708"/>
      <c r="HE11" s="708"/>
      <c r="HF11" s="708"/>
      <c r="HG11" s="708"/>
      <c r="HH11" s="708"/>
      <c r="HI11" s="708"/>
      <c r="HJ11" s="708"/>
      <c r="HK11" s="708"/>
      <c r="HL11" s="708"/>
      <c r="HM11" s="708"/>
      <c r="HN11" s="708"/>
      <c r="HO11" s="708"/>
      <c r="HP11" s="708"/>
      <c r="HQ11" s="708"/>
      <c r="HR11" s="708"/>
      <c r="HS11" s="708"/>
      <c r="HT11" s="708"/>
      <c r="HU11" s="708"/>
      <c r="HV11" s="708"/>
      <c r="HW11" s="708"/>
      <c r="HX11" s="708"/>
      <c r="HY11" s="708"/>
      <c r="HZ11" s="708"/>
      <c r="IA11" s="708"/>
      <c r="IB11" s="708"/>
      <c r="IC11" s="708"/>
      <c r="ID11" s="708"/>
      <c r="IE11" s="708"/>
      <c r="IF11" s="708"/>
      <c r="IG11" s="708"/>
      <c r="IH11" s="708"/>
      <c r="II11" s="708"/>
      <c r="IJ11" s="708"/>
      <c r="IK11" s="708"/>
      <c r="IL11" s="708"/>
      <c r="IM11" s="708"/>
      <c r="IN11" s="708"/>
      <c r="IO11" s="708"/>
      <c r="IP11" s="708"/>
      <c r="IQ11" s="708"/>
      <c r="IR11" s="708"/>
      <c r="IS11" s="708"/>
      <c r="IT11" s="708"/>
      <c r="IU11" s="708"/>
      <c r="IV11" s="708"/>
      <c r="IW11" s="708"/>
    </row>
    <row r="12" customFormat="false" ht="12" hidden="false" customHeight="true" outlineLevel="0" collapsed="false">
      <c r="A12" s="797" t="s">
        <v>597</v>
      </c>
      <c r="B12" s="385"/>
      <c r="C12" s="32"/>
      <c r="D12" s="746"/>
      <c r="E12" s="746"/>
      <c r="F12" s="746"/>
      <c r="G12" s="746"/>
      <c r="H12" s="746"/>
      <c r="I12" s="746"/>
      <c r="J12" s="746"/>
      <c r="K12" s="746"/>
      <c r="L12" s="746"/>
      <c r="M12" s="746"/>
      <c r="N12" s="746"/>
      <c r="O12" s="746"/>
      <c r="P12" s="746"/>
      <c r="Q12" s="746"/>
      <c r="R12" s="746"/>
      <c r="S12" s="746"/>
      <c r="T12" s="746"/>
      <c r="U12" s="746"/>
      <c r="V12" s="746"/>
      <c r="W12" s="746"/>
      <c r="X12" s="746"/>
      <c r="Y12" s="746"/>
      <c r="Z12" s="746"/>
      <c r="AA12" s="746"/>
      <c r="AB12" s="805"/>
      <c r="AC12" s="385"/>
      <c r="AD12" s="385"/>
      <c r="AE12" s="798"/>
      <c r="AF12" s="798"/>
      <c r="AG12" s="799"/>
      <c r="AH12" s="799"/>
      <c r="AI12" s="799"/>
      <c r="AJ12" s="799"/>
      <c r="AK12" s="799"/>
      <c r="AL12" s="799"/>
      <c r="AM12" s="799"/>
      <c r="AN12" s="799"/>
      <c r="AO12" s="799"/>
      <c r="AP12" s="799"/>
      <c r="AQ12" s="799"/>
      <c r="AR12" s="799"/>
      <c r="AS12" s="799"/>
      <c r="AT12" s="799"/>
      <c r="AU12" s="799"/>
      <c r="AV12" s="799"/>
      <c r="AW12" s="799"/>
      <c r="AX12" s="799"/>
      <c r="AY12" s="799"/>
      <c r="AZ12" s="799"/>
      <c r="BA12" s="799"/>
      <c r="BB12" s="799"/>
      <c r="BC12" s="799"/>
      <c r="BD12" s="799"/>
      <c r="BE12" s="799"/>
      <c r="BF12" s="799"/>
      <c r="BG12" s="799"/>
      <c r="BH12" s="799"/>
      <c r="BI12" s="799"/>
      <c r="BJ12" s="799"/>
      <c r="BK12" s="799"/>
      <c r="BL12" s="799"/>
      <c r="BM12" s="799"/>
      <c r="BN12" s="799"/>
      <c r="BO12" s="799"/>
      <c r="BP12" s="799"/>
      <c r="BQ12" s="799"/>
      <c r="BR12" s="799"/>
      <c r="BS12" s="799"/>
      <c r="BT12" s="799"/>
      <c r="BU12" s="799"/>
      <c r="BV12" s="799"/>
      <c r="BW12" s="799"/>
      <c r="BX12" s="799"/>
      <c r="BY12" s="799"/>
      <c r="BZ12" s="799"/>
      <c r="CA12" s="799"/>
      <c r="CB12" s="799"/>
      <c r="CC12" s="799"/>
      <c r="CD12" s="799"/>
      <c r="CE12" s="799"/>
      <c r="CF12" s="799"/>
      <c r="CG12" s="799"/>
      <c r="CH12" s="799"/>
      <c r="CI12" s="799"/>
      <c r="CJ12" s="799"/>
      <c r="CK12" s="799"/>
      <c r="CL12" s="799"/>
      <c r="CM12" s="799"/>
      <c r="CN12" s="799"/>
      <c r="CO12" s="799"/>
      <c r="CP12" s="799"/>
      <c r="CQ12" s="799"/>
      <c r="CR12" s="799"/>
      <c r="CS12" s="799"/>
      <c r="CT12" s="799"/>
      <c r="CU12" s="799"/>
      <c r="CV12" s="799"/>
      <c r="CW12" s="799"/>
      <c r="CX12" s="799"/>
      <c r="CY12" s="799"/>
      <c r="CZ12" s="799"/>
      <c r="DA12" s="799"/>
      <c r="DB12" s="799"/>
      <c r="DC12" s="799"/>
      <c r="DD12" s="799"/>
      <c r="DE12" s="799"/>
      <c r="DF12" s="799"/>
      <c r="DG12" s="799"/>
      <c r="DH12" s="799"/>
      <c r="DI12" s="799"/>
      <c r="DJ12" s="799"/>
      <c r="DK12" s="799"/>
      <c r="DL12" s="799"/>
      <c r="DM12" s="799"/>
      <c r="DN12" s="799"/>
      <c r="DO12" s="799"/>
      <c r="DP12" s="799"/>
      <c r="DQ12" s="799"/>
      <c r="DR12" s="799"/>
      <c r="DS12" s="799"/>
      <c r="DT12" s="799"/>
      <c r="DU12" s="799"/>
      <c r="DV12" s="799"/>
      <c r="DW12" s="799"/>
      <c r="DX12" s="799"/>
      <c r="DY12" s="799"/>
      <c r="DZ12" s="799"/>
      <c r="EA12" s="799"/>
      <c r="EB12" s="799"/>
      <c r="EC12" s="799"/>
      <c r="ED12" s="799"/>
      <c r="EE12" s="799"/>
      <c r="EF12" s="799"/>
      <c r="EG12" s="799"/>
      <c r="EH12" s="799"/>
      <c r="EI12" s="799"/>
      <c r="EJ12" s="799"/>
      <c r="EK12" s="799"/>
      <c r="EL12" s="799"/>
      <c r="EM12" s="799"/>
      <c r="EN12" s="799"/>
      <c r="EO12" s="799"/>
      <c r="EP12" s="799"/>
      <c r="EQ12" s="799"/>
      <c r="ER12" s="799"/>
      <c r="ES12" s="799"/>
      <c r="ET12" s="799"/>
      <c r="EU12" s="799"/>
      <c r="EV12" s="799"/>
      <c r="EW12" s="799"/>
      <c r="EX12" s="799"/>
      <c r="EY12" s="799"/>
      <c r="EZ12" s="799"/>
      <c r="FA12" s="799"/>
      <c r="FB12" s="799"/>
      <c r="FC12" s="799"/>
      <c r="FD12" s="799"/>
      <c r="FE12" s="799"/>
      <c r="FF12" s="799"/>
      <c r="FG12" s="799"/>
      <c r="FH12" s="799"/>
      <c r="FI12" s="799"/>
      <c r="FJ12" s="799"/>
      <c r="FK12" s="799"/>
      <c r="FL12" s="799"/>
      <c r="FM12" s="799"/>
      <c r="FN12" s="799"/>
      <c r="FO12" s="799"/>
      <c r="FP12" s="799"/>
      <c r="FQ12" s="799"/>
      <c r="FR12" s="799"/>
      <c r="FS12" s="799"/>
      <c r="FT12" s="799"/>
      <c r="FU12" s="799"/>
      <c r="FV12" s="799"/>
      <c r="FW12" s="799"/>
      <c r="FX12" s="799"/>
      <c r="FY12" s="799"/>
      <c r="FZ12" s="799"/>
      <c r="GA12" s="799"/>
      <c r="GB12" s="799"/>
      <c r="GC12" s="799"/>
      <c r="GD12" s="799"/>
      <c r="GE12" s="799"/>
      <c r="GF12" s="799"/>
      <c r="GG12" s="799"/>
      <c r="GH12" s="799"/>
      <c r="GI12" s="799"/>
      <c r="GJ12" s="799"/>
      <c r="GK12" s="799"/>
      <c r="GL12" s="799"/>
      <c r="GM12" s="799"/>
      <c r="GN12" s="799"/>
      <c r="GO12" s="799"/>
      <c r="GP12" s="799"/>
      <c r="GQ12" s="799"/>
      <c r="GR12" s="799"/>
      <c r="GS12" s="799"/>
      <c r="GT12" s="799"/>
      <c r="GU12" s="799"/>
      <c r="GV12" s="799"/>
      <c r="GW12" s="799"/>
      <c r="GX12" s="799"/>
      <c r="GY12" s="799"/>
      <c r="GZ12" s="799"/>
      <c r="HA12" s="799"/>
      <c r="HB12" s="799"/>
      <c r="HC12" s="799"/>
      <c r="HD12" s="799"/>
      <c r="HE12" s="799"/>
      <c r="HF12" s="799"/>
      <c r="HG12" s="799"/>
      <c r="HH12" s="799"/>
      <c r="HI12" s="799"/>
      <c r="HJ12" s="799"/>
      <c r="HK12" s="799"/>
      <c r="HL12" s="799"/>
      <c r="HM12" s="799"/>
      <c r="HN12" s="799"/>
      <c r="HO12" s="799"/>
      <c r="HP12" s="799"/>
      <c r="HQ12" s="799"/>
      <c r="HR12" s="799"/>
      <c r="HS12" s="799"/>
      <c r="HT12" s="799"/>
      <c r="HU12" s="799"/>
      <c r="HV12" s="799"/>
      <c r="HW12" s="799"/>
      <c r="HX12" s="799"/>
      <c r="HY12" s="799"/>
      <c r="HZ12" s="799"/>
      <c r="IA12" s="799"/>
      <c r="IB12" s="799"/>
      <c r="IC12" s="799"/>
      <c r="ID12" s="799"/>
      <c r="IE12" s="799"/>
      <c r="IF12" s="799"/>
      <c r="IG12" s="799"/>
      <c r="IH12" s="799"/>
      <c r="II12" s="799"/>
      <c r="IJ12" s="799"/>
      <c r="IK12" s="799"/>
      <c r="IL12" s="799"/>
      <c r="IM12" s="799"/>
      <c r="IN12" s="799"/>
      <c r="IO12" s="799"/>
      <c r="IP12" s="799"/>
      <c r="IQ12" s="799"/>
      <c r="IR12" s="799"/>
      <c r="IS12" s="799"/>
      <c r="IT12" s="799"/>
      <c r="IU12" s="799"/>
      <c r="IV12" s="32"/>
      <c r="IW12" s="32"/>
    </row>
    <row r="13" customFormat="false" ht="12" hidden="false" customHeight="true" outlineLevel="0" collapsed="false">
      <c r="A13" s="720" t="s">
        <v>598</v>
      </c>
      <c r="B13" s="385"/>
      <c r="C13" s="32"/>
      <c r="D13" s="30" t="n">
        <f aca="false">('Book Income Statement'!D10)*(AnnualHours-TVA_hours)/AnnualHours</f>
        <v>16697.3543769463</v>
      </c>
      <c r="E13" s="30" t="n">
        <f aca="false">('Book Income Statement'!E10)*(AnnualHours-TVA_hours)/AnnualHours</f>
        <v>16703.3711475274</v>
      </c>
      <c r="F13" s="30" t="n">
        <f aca="false">('Book Income Statement'!F10)*(AnnualHours-TVA_hours)/AnnualHours</f>
        <v>16703.664842324</v>
      </c>
      <c r="G13" s="30" t="n">
        <f aca="false">('Book Income Statement'!G10)*(AnnualHours-TVA_hours)/AnnualHours</f>
        <v>17066.3646636839</v>
      </c>
      <c r="H13" s="30" t="n">
        <f aca="false">('Book Income Statement'!H10)*(AnnualHours-TVA_hours)/AnnualHours</f>
        <v>17182.5393045206</v>
      </c>
      <c r="I13" s="30" t="n">
        <f aca="false">('Book Income Statement'!I10)*(AnnualHours-TVA_hours)/AnnualHours</f>
        <v>17182.4575524969</v>
      </c>
      <c r="J13" s="30" t="n">
        <f aca="false">('Book Income Statement'!J10)*(AnnualHours-TVA_hours)/AnnualHours</f>
        <v>17182.5086389633</v>
      </c>
      <c r="K13" s="30" t="n">
        <f aca="false">('Book Income Statement'!K10)*(AnnualHours-TVA_hours)/AnnualHours</f>
        <v>17182.8765290241</v>
      </c>
      <c r="L13" s="30" t="n">
        <f aca="false">('Book Income Statement'!L10)*(AnnualHours-TVA_hours)/AnnualHours</f>
        <v>17183.2554557868</v>
      </c>
      <c r="M13" s="30" t="n">
        <f aca="false">('Book Income Statement'!M10)*(AnnualHours-TVA_hours)/AnnualHours</f>
        <v>17183.6457503523</v>
      </c>
      <c r="N13" s="30" t="n">
        <f aca="false">('Book Income Statement'!N10)*(AnnualHours-TVA_hours)/AnnualHours</f>
        <v>17184.0477537548</v>
      </c>
      <c r="O13" s="30" t="n">
        <f aca="false">('Book Income Statement'!O10)*(AnnualHours-TVA_hours)/AnnualHours</f>
        <v>17184.4618172594</v>
      </c>
      <c r="P13" s="30" t="n">
        <f aca="false">('Book Income Statement'!P10)*(AnnualHours-TVA_hours)/AnnualHours</f>
        <v>17184.8883026691</v>
      </c>
      <c r="Q13" s="30" t="n">
        <f aca="false">('Book Income Statement'!Q10)*(AnnualHours-TVA_hours)/AnnualHours</f>
        <v>17185.3275826411</v>
      </c>
      <c r="R13" s="30" t="n">
        <f aca="false">('Book Income Statement'!R10)*(AnnualHours-TVA_hours)/AnnualHours</f>
        <v>17185.7800410122</v>
      </c>
      <c r="S13" s="30" t="n">
        <f aca="false">('Book Income Statement'!S10)*(AnnualHours-TVA_hours)/AnnualHours</f>
        <v>17186.2460731345</v>
      </c>
      <c r="T13" s="30" t="n">
        <f aca="false">('Book Income Statement'!T10)*(AnnualHours-TVA_hours)/AnnualHours</f>
        <v>17186.7260862205</v>
      </c>
      <c r="U13" s="30" t="n">
        <f aca="false">('Book Income Statement'!U10)*(AnnualHours-TVA_hours)/AnnualHours</f>
        <v>17187.220499699</v>
      </c>
      <c r="V13" s="30" t="n">
        <f aca="false">('Book Income Statement'!V10)*(AnnualHours-TVA_hours)/AnnualHours</f>
        <v>17187.729745582</v>
      </c>
      <c r="W13" s="30" t="n">
        <f aca="false">('Book Income Statement'!W10)*(AnnualHours-TVA_hours)/AnnualHours</f>
        <v>17188.2542688413</v>
      </c>
      <c r="X13" s="30" t="n">
        <f aca="false">('Book Income Statement'!X10)*(AnnualHours-TVA_hours)/AnnualHours</f>
        <v>17184.0929311294</v>
      </c>
      <c r="Y13" s="30" t="n">
        <f aca="false">('Book Income Statement'!Y10)*(AnnualHours-TVA_hours)/AnnualHours</f>
        <v>0</v>
      </c>
      <c r="Z13" s="30" t="n">
        <f aca="false">('Book Income Statement'!Z10)*(AnnualHours-TVA_hours)/AnnualHours</f>
        <v>0</v>
      </c>
      <c r="AA13" s="30" t="n">
        <f aca="false">('Book Income Statement'!AA10)*(AnnualHours-TVA_hours)/AnnualHours</f>
        <v>0</v>
      </c>
      <c r="AB13" s="437" t="n">
        <f aca="false">('Book Income Statement'!AB10)*(AnnualHours-TVA_hours)/AnnualHours</f>
        <v>0</v>
      </c>
      <c r="AC13" s="385"/>
      <c r="AD13" s="385"/>
      <c r="AE13" s="798"/>
      <c r="AF13" s="798"/>
      <c r="AG13" s="799"/>
      <c r="AH13" s="799"/>
      <c r="AI13" s="799"/>
      <c r="AJ13" s="799"/>
      <c r="AK13" s="799"/>
      <c r="AL13" s="799"/>
      <c r="AM13" s="799"/>
      <c r="AN13" s="799"/>
      <c r="AO13" s="799"/>
      <c r="AP13" s="799"/>
      <c r="AQ13" s="799"/>
      <c r="AR13" s="799"/>
      <c r="AS13" s="799"/>
      <c r="AT13" s="799"/>
      <c r="AU13" s="799"/>
      <c r="AV13" s="799"/>
      <c r="AW13" s="799"/>
      <c r="AX13" s="799"/>
      <c r="AY13" s="799"/>
      <c r="AZ13" s="799"/>
      <c r="BA13" s="799"/>
      <c r="BB13" s="799"/>
      <c r="BC13" s="799"/>
      <c r="BD13" s="799"/>
      <c r="BE13" s="799"/>
      <c r="BF13" s="799"/>
      <c r="BG13" s="799"/>
      <c r="BH13" s="799"/>
      <c r="BI13" s="799"/>
      <c r="BJ13" s="799"/>
      <c r="BK13" s="799"/>
      <c r="BL13" s="799"/>
      <c r="BM13" s="799"/>
      <c r="BN13" s="799"/>
      <c r="BO13" s="799"/>
      <c r="BP13" s="799"/>
      <c r="BQ13" s="799"/>
      <c r="BR13" s="799"/>
      <c r="BS13" s="799"/>
      <c r="BT13" s="799"/>
      <c r="BU13" s="799"/>
      <c r="BV13" s="799"/>
      <c r="BW13" s="799"/>
      <c r="BX13" s="799"/>
      <c r="BY13" s="799"/>
      <c r="BZ13" s="799"/>
      <c r="CA13" s="799"/>
      <c r="CB13" s="799"/>
      <c r="CC13" s="799"/>
      <c r="CD13" s="799"/>
      <c r="CE13" s="799"/>
      <c r="CF13" s="799"/>
      <c r="CG13" s="799"/>
      <c r="CH13" s="799"/>
      <c r="CI13" s="799"/>
      <c r="CJ13" s="799"/>
      <c r="CK13" s="799"/>
      <c r="CL13" s="799"/>
      <c r="CM13" s="799"/>
      <c r="CN13" s="799"/>
      <c r="CO13" s="799"/>
      <c r="CP13" s="799"/>
      <c r="CQ13" s="799"/>
      <c r="CR13" s="799"/>
      <c r="CS13" s="799"/>
      <c r="CT13" s="799"/>
      <c r="CU13" s="799"/>
      <c r="CV13" s="799"/>
      <c r="CW13" s="799"/>
      <c r="CX13" s="799"/>
      <c r="CY13" s="799"/>
      <c r="CZ13" s="799"/>
      <c r="DA13" s="799"/>
      <c r="DB13" s="799"/>
      <c r="DC13" s="799"/>
      <c r="DD13" s="799"/>
      <c r="DE13" s="799"/>
      <c r="DF13" s="799"/>
      <c r="DG13" s="799"/>
      <c r="DH13" s="799"/>
      <c r="DI13" s="799"/>
      <c r="DJ13" s="799"/>
      <c r="DK13" s="799"/>
      <c r="DL13" s="799"/>
      <c r="DM13" s="799"/>
      <c r="DN13" s="799"/>
      <c r="DO13" s="799"/>
      <c r="DP13" s="799"/>
      <c r="DQ13" s="799"/>
      <c r="DR13" s="799"/>
      <c r="DS13" s="799"/>
      <c r="DT13" s="799"/>
      <c r="DU13" s="799"/>
      <c r="DV13" s="799"/>
      <c r="DW13" s="799"/>
      <c r="DX13" s="799"/>
      <c r="DY13" s="799"/>
      <c r="DZ13" s="799"/>
      <c r="EA13" s="799"/>
      <c r="EB13" s="799"/>
      <c r="EC13" s="799"/>
      <c r="ED13" s="799"/>
      <c r="EE13" s="799"/>
      <c r="EF13" s="799"/>
      <c r="EG13" s="799"/>
      <c r="EH13" s="799"/>
      <c r="EI13" s="799"/>
      <c r="EJ13" s="799"/>
      <c r="EK13" s="799"/>
      <c r="EL13" s="799"/>
      <c r="EM13" s="799"/>
      <c r="EN13" s="799"/>
      <c r="EO13" s="799"/>
      <c r="EP13" s="799"/>
      <c r="EQ13" s="799"/>
      <c r="ER13" s="799"/>
      <c r="ES13" s="799"/>
      <c r="ET13" s="799"/>
      <c r="EU13" s="799"/>
      <c r="EV13" s="799"/>
      <c r="EW13" s="799"/>
      <c r="EX13" s="799"/>
      <c r="EY13" s="799"/>
      <c r="EZ13" s="799"/>
      <c r="FA13" s="799"/>
      <c r="FB13" s="799"/>
      <c r="FC13" s="799"/>
      <c r="FD13" s="799"/>
      <c r="FE13" s="799"/>
      <c r="FF13" s="799"/>
      <c r="FG13" s="799"/>
      <c r="FH13" s="799"/>
      <c r="FI13" s="799"/>
      <c r="FJ13" s="799"/>
      <c r="FK13" s="799"/>
      <c r="FL13" s="799"/>
      <c r="FM13" s="799"/>
      <c r="FN13" s="799"/>
      <c r="FO13" s="799"/>
      <c r="FP13" s="799"/>
      <c r="FQ13" s="799"/>
      <c r="FR13" s="799"/>
      <c r="FS13" s="799"/>
      <c r="FT13" s="799"/>
      <c r="FU13" s="799"/>
      <c r="FV13" s="799"/>
      <c r="FW13" s="799"/>
      <c r="FX13" s="799"/>
      <c r="FY13" s="799"/>
      <c r="FZ13" s="799"/>
      <c r="GA13" s="799"/>
      <c r="GB13" s="799"/>
      <c r="GC13" s="799"/>
      <c r="GD13" s="799"/>
      <c r="GE13" s="799"/>
      <c r="GF13" s="799"/>
      <c r="GG13" s="799"/>
      <c r="GH13" s="799"/>
      <c r="GI13" s="799"/>
      <c r="GJ13" s="799"/>
      <c r="GK13" s="799"/>
      <c r="GL13" s="799"/>
      <c r="GM13" s="799"/>
      <c r="GN13" s="799"/>
      <c r="GO13" s="799"/>
      <c r="GP13" s="799"/>
      <c r="GQ13" s="799"/>
      <c r="GR13" s="799"/>
      <c r="GS13" s="799"/>
      <c r="GT13" s="799"/>
      <c r="GU13" s="799"/>
      <c r="GV13" s="799"/>
      <c r="GW13" s="799"/>
      <c r="GX13" s="799"/>
      <c r="GY13" s="799"/>
      <c r="GZ13" s="799"/>
      <c r="HA13" s="799"/>
      <c r="HB13" s="799"/>
      <c r="HC13" s="799"/>
      <c r="HD13" s="799"/>
      <c r="HE13" s="799"/>
      <c r="HF13" s="799"/>
      <c r="HG13" s="799"/>
      <c r="HH13" s="799"/>
      <c r="HI13" s="799"/>
      <c r="HJ13" s="799"/>
      <c r="HK13" s="799"/>
      <c r="HL13" s="799"/>
      <c r="HM13" s="799"/>
      <c r="HN13" s="799"/>
      <c r="HO13" s="799"/>
      <c r="HP13" s="799"/>
      <c r="HQ13" s="799"/>
      <c r="HR13" s="799"/>
      <c r="HS13" s="799"/>
      <c r="HT13" s="799"/>
      <c r="HU13" s="799"/>
      <c r="HV13" s="799"/>
      <c r="HW13" s="799"/>
      <c r="HX13" s="799"/>
      <c r="HY13" s="799"/>
      <c r="HZ13" s="799"/>
      <c r="IA13" s="799"/>
      <c r="IB13" s="799"/>
      <c r="IC13" s="799"/>
      <c r="ID13" s="799"/>
      <c r="IE13" s="799"/>
      <c r="IF13" s="799"/>
      <c r="IG13" s="799"/>
      <c r="IH13" s="799"/>
      <c r="II13" s="799"/>
      <c r="IJ13" s="799"/>
      <c r="IK13" s="799"/>
      <c r="IL13" s="799"/>
      <c r="IM13" s="799"/>
      <c r="IN13" s="799"/>
      <c r="IO13" s="799"/>
      <c r="IP13" s="799"/>
      <c r="IQ13" s="799"/>
      <c r="IR13" s="799"/>
      <c r="IS13" s="799"/>
      <c r="IT13" s="799"/>
      <c r="IU13" s="799"/>
      <c r="IV13" s="32"/>
      <c r="IW13" s="32"/>
    </row>
    <row r="14" customFormat="false" ht="12" hidden="false" customHeight="true" outlineLevel="0" collapsed="false">
      <c r="A14" s="720" t="s">
        <v>599</v>
      </c>
      <c r="B14" s="385"/>
      <c r="C14" s="32"/>
      <c r="D14" s="800" t="n">
        <f aca="false">IF(D$3&gt;'Project Assumptions'!$I$15,0,'Project Assumptions'!$N$66)</f>
        <v>0</v>
      </c>
      <c r="E14" s="800" t="n">
        <f aca="false">IF(E3&gt;'Project Assumptions'!$I$15,0,'Project Assumptions'!$N$66)</f>
        <v>0</v>
      </c>
      <c r="F14" s="800" t="n">
        <f aca="false">IF(F3&gt;'Project Assumptions'!$I$15,0,'Project Assumptions'!$N$66)</f>
        <v>0</v>
      </c>
      <c r="G14" s="800" t="n">
        <f aca="false">IF(G3&gt;'Project Assumptions'!$I$15,0,'Project Assumptions'!$N$66)</f>
        <v>0</v>
      </c>
      <c r="H14" s="800" t="n">
        <f aca="false">IF(H3&gt;'Project Assumptions'!$I$15,0,'Project Assumptions'!$N$66)</f>
        <v>0</v>
      </c>
      <c r="I14" s="800" t="n">
        <f aca="false">IF(I3&gt;'Project Assumptions'!$I$15,0,'Project Assumptions'!$N$66)</f>
        <v>0</v>
      </c>
      <c r="J14" s="800" t="n">
        <f aca="false">IF(J3&gt;'Project Assumptions'!$I$15,0,'Project Assumptions'!$N$66)</f>
        <v>0</v>
      </c>
      <c r="K14" s="800" t="n">
        <f aca="false">IF(K3&gt;'Project Assumptions'!$I$15,0,'Project Assumptions'!$N$66)</f>
        <v>0</v>
      </c>
      <c r="L14" s="800" t="n">
        <f aca="false">IF(L3&gt;'Project Assumptions'!$I$15,0,'Project Assumptions'!$N$66)</f>
        <v>0</v>
      </c>
      <c r="M14" s="800" t="n">
        <f aca="false">IF(M3&gt;'Project Assumptions'!$I$15,0,'Project Assumptions'!$N$66)</f>
        <v>0</v>
      </c>
      <c r="N14" s="800" t="n">
        <f aca="false">IF(N3&gt;'Project Assumptions'!$I$15,0,'Project Assumptions'!$N$66)</f>
        <v>0</v>
      </c>
      <c r="O14" s="800" t="n">
        <f aca="false">IF(O3&gt;'Project Assumptions'!$I$15,0,'Project Assumptions'!$N$66)</f>
        <v>0</v>
      </c>
      <c r="P14" s="800" t="n">
        <f aca="false">IF(P3&gt;'Project Assumptions'!$I$15,0,'Project Assumptions'!$N$66)</f>
        <v>0</v>
      </c>
      <c r="Q14" s="800" t="n">
        <f aca="false">IF(Q3&gt;'Project Assumptions'!$I$15,0,'Project Assumptions'!$N$66)</f>
        <v>0</v>
      </c>
      <c r="R14" s="800" t="n">
        <f aca="false">IF(R3&gt;'Project Assumptions'!$I$15,0,'Project Assumptions'!$N$66)</f>
        <v>0</v>
      </c>
      <c r="S14" s="800" t="n">
        <f aca="false">IF(S3&gt;'Project Assumptions'!$I$15,0,'Project Assumptions'!$N$66)</f>
        <v>0</v>
      </c>
      <c r="T14" s="800" t="n">
        <f aca="false">IF(T3&gt;'Project Assumptions'!$I$15,0,'Project Assumptions'!$N$66)</f>
        <v>0</v>
      </c>
      <c r="U14" s="800" t="n">
        <f aca="false">IF(U3&gt;'Project Assumptions'!$I$15,0,'Project Assumptions'!$N$66)</f>
        <v>0</v>
      </c>
      <c r="V14" s="800" t="n">
        <f aca="false">IF(V3&gt;'Project Assumptions'!$I$15,0,'Project Assumptions'!$N$66)</f>
        <v>0</v>
      </c>
      <c r="W14" s="800" t="n">
        <f aca="false">IF(W3&gt;'Project Assumptions'!$I$15,0,'Project Assumptions'!$N$66)</f>
        <v>0</v>
      </c>
      <c r="X14" s="800" t="n">
        <f aca="false">IF(X3&gt;'Project Assumptions'!$I$15,0,'Project Assumptions'!$N$66)</f>
        <v>0</v>
      </c>
      <c r="Y14" s="800" t="n">
        <f aca="false">IF(Y3&gt;'Project Assumptions'!$I$15,0,'Project Assumptions'!$N$66)</f>
        <v>0</v>
      </c>
      <c r="Z14" s="800" t="n">
        <f aca="false">IF(Z3&gt;'Project Assumptions'!$I$15,0,'Project Assumptions'!$N$66)</f>
        <v>0</v>
      </c>
      <c r="AA14" s="800" t="n">
        <f aca="false">IF(AA3&gt;'Project Assumptions'!$I$15,0,'Project Assumptions'!$N$66)</f>
        <v>0</v>
      </c>
      <c r="AB14" s="801" t="n">
        <f aca="false">IF(AB3&gt;'Project Assumptions'!$I$15,0,'Project Assumptions'!$N$66)</f>
        <v>0</v>
      </c>
      <c r="AC14" s="385"/>
      <c r="AD14" s="385"/>
      <c r="AE14" s="798"/>
      <c r="AF14" s="798"/>
      <c r="AG14" s="799"/>
      <c r="AH14" s="799"/>
      <c r="AI14" s="799"/>
      <c r="AJ14" s="799"/>
      <c r="AK14" s="799"/>
      <c r="AL14" s="799"/>
      <c r="AM14" s="799"/>
      <c r="AN14" s="799"/>
      <c r="AO14" s="799"/>
      <c r="AP14" s="799"/>
      <c r="AQ14" s="799"/>
      <c r="AR14" s="799"/>
      <c r="AS14" s="799"/>
      <c r="AT14" s="799"/>
      <c r="AU14" s="799"/>
      <c r="AV14" s="799"/>
      <c r="AW14" s="799"/>
      <c r="AX14" s="799"/>
      <c r="AY14" s="799"/>
      <c r="AZ14" s="799"/>
      <c r="BA14" s="799"/>
      <c r="BB14" s="799"/>
      <c r="BC14" s="799"/>
      <c r="BD14" s="799"/>
      <c r="BE14" s="799"/>
      <c r="BF14" s="799"/>
      <c r="BG14" s="799"/>
      <c r="BH14" s="799"/>
      <c r="BI14" s="799"/>
      <c r="BJ14" s="799"/>
      <c r="BK14" s="799"/>
      <c r="BL14" s="799"/>
      <c r="BM14" s="799"/>
      <c r="BN14" s="799"/>
      <c r="BO14" s="799"/>
      <c r="BP14" s="799"/>
      <c r="BQ14" s="799"/>
      <c r="BR14" s="799"/>
      <c r="BS14" s="799"/>
      <c r="BT14" s="799"/>
      <c r="BU14" s="799"/>
      <c r="BV14" s="799"/>
      <c r="BW14" s="799"/>
      <c r="BX14" s="799"/>
      <c r="BY14" s="799"/>
      <c r="BZ14" s="799"/>
      <c r="CA14" s="799"/>
      <c r="CB14" s="799"/>
      <c r="CC14" s="799"/>
      <c r="CD14" s="799"/>
      <c r="CE14" s="799"/>
      <c r="CF14" s="799"/>
      <c r="CG14" s="799"/>
      <c r="CH14" s="799"/>
      <c r="CI14" s="799"/>
      <c r="CJ14" s="799"/>
      <c r="CK14" s="799"/>
      <c r="CL14" s="799"/>
      <c r="CM14" s="799"/>
      <c r="CN14" s="799"/>
      <c r="CO14" s="799"/>
      <c r="CP14" s="799"/>
      <c r="CQ14" s="799"/>
      <c r="CR14" s="799"/>
      <c r="CS14" s="799"/>
      <c r="CT14" s="799"/>
      <c r="CU14" s="799"/>
      <c r="CV14" s="799"/>
      <c r="CW14" s="799"/>
      <c r="CX14" s="799"/>
      <c r="CY14" s="799"/>
      <c r="CZ14" s="799"/>
      <c r="DA14" s="799"/>
      <c r="DB14" s="799"/>
      <c r="DC14" s="799"/>
      <c r="DD14" s="799"/>
      <c r="DE14" s="799"/>
      <c r="DF14" s="799"/>
      <c r="DG14" s="799"/>
      <c r="DH14" s="799"/>
      <c r="DI14" s="799"/>
      <c r="DJ14" s="799"/>
      <c r="DK14" s="799"/>
      <c r="DL14" s="799"/>
      <c r="DM14" s="799"/>
      <c r="DN14" s="799"/>
      <c r="DO14" s="799"/>
      <c r="DP14" s="799"/>
      <c r="DQ14" s="799"/>
      <c r="DR14" s="799"/>
      <c r="DS14" s="799"/>
      <c r="DT14" s="799"/>
      <c r="DU14" s="799"/>
      <c r="DV14" s="799"/>
      <c r="DW14" s="799"/>
      <c r="DX14" s="799"/>
      <c r="DY14" s="799"/>
      <c r="DZ14" s="799"/>
      <c r="EA14" s="799"/>
      <c r="EB14" s="799"/>
      <c r="EC14" s="799"/>
      <c r="ED14" s="799"/>
      <c r="EE14" s="799"/>
      <c r="EF14" s="799"/>
      <c r="EG14" s="799"/>
      <c r="EH14" s="799"/>
      <c r="EI14" s="799"/>
      <c r="EJ14" s="799"/>
      <c r="EK14" s="799"/>
      <c r="EL14" s="799"/>
      <c r="EM14" s="799"/>
      <c r="EN14" s="799"/>
      <c r="EO14" s="799"/>
      <c r="EP14" s="799"/>
      <c r="EQ14" s="799"/>
      <c r="ER14" s="799"/>
      <c r="ES14" s="799"/>
      <c r="ET14" s="799"/>
      <c r="EU14" s="799"/>
      <c r="EV14" s="799"/>
      <c r="EW14" s="799"/>
      <c r="EX14" s="799"/>
      <c r="EY14" s="799"/>
      <c r="EZ14" s="799"/>
      <c r="FA14" s="799"/>
      <c r="FB14" s="799"/>
      <c r="FC14" s="799"/>
      <c r="FD14" s="799"/>
      <c r="FE14" s="799"/>
      <c r="FF14" s="799"/>
      <c r="FG14" s="799"/>
      <c r="FH14" s="799"/>
      <c r="FI14" s="799"/>
      <c r="FJ14" s="799"/>
      <c r="FK14" s="799"/>
      <c r="FL14" s="799"/>
      <c r="FM14" s="799"/>
      <c r="FN14" s="799"/>
      <c r="FO14" s="799"/>
      <c r="FP14" s="799"/>
      <c r="FQ14" s="799"/>
      <c r="FR14" s="799"/>
      <c r="FS14" s="799"/>
      <c r="FT14" s="799"/>
      <c r="FU14" s="799"/>
      <c r="FV14" s="799"/>
      <c r="FW14" s="799"/>
      <c r="FX14" s="799"/>
      <c r="FY14" s="799"/>
      <c r="FZ14" s="799"/>
      <c r="GA14" s="799"/>
      <c r="GB14" s="799"/>
      <c r="GC14" s="799"/>
      <c r="GD14" s="799"/>
      <c r="GE14" s="799"/>
      <c r="GF14" s="799"/>
      <c r="GG14" s="799"/>
      <c r="GH14" s="799"/>
      <c r="GI14" s="799"/>
      <c r="GJ14" s="799"/>
      <c r="GK14" s="799"/>
      <c r="GL14" s="799"/>
      <c r="GM14" s="799"/>
      <c r="GN14" s="799"/>
      <c r="GO14" s="799"/>
      <c r="GP14" s="799"/>
      <c r="GQ14" s="799"/>
      <c r="GR14" s="799"/>
      <c r="GS14" s="799"/>
      <c r="GT14" s="799"/>
      <c r="GU14" s="799"/>
      <c r="GV14" s="799"/>
      <c r="GW14" s="799"/>
      <c r="GX14" s="799"/>
      <c r="GY14" s="799"/>
      <c r="GZ14" s="799"/>
      <c r="HA14" s="799"/>
      <c r="HB14" s="799"/>
      <c r="HC14" s="799"/>
      <c r="HD14" s="799"/>
      <c r="HE14" s="799"/>
      <c r="HF14" s="799"/>
      <c r="HG14" s="799"/>
      <c r="HH14" s="799"/>
      <c r="HI14" s="799"/>
      <c r="HJ14" s="799"/>
      <c r="HK14" s="799"/>
      <c r="HL14" s="799"/>
      <c r="HM14" s="799"/>
      <c r="HN14" s="799"/>
      <c r="HO14" s="799"/>
      <c r="HP14" s="799"/>
      <c r="HQ14" s="799"/>
      <c r="HR14" s="799"/>
      <c r="HS14" s="799"/>
      <c r="HT14" s="799"/>
      <c r="HU14" s="799"/>
      <c r="HV14" s="799"/>
      <c r="HW14" s="799"/>
      <c r="HX14" s="799"/>
      <c r="HY14" s="799"/>
      <c r="HZ14" s="799"/>
      <c r="IA14" s="799"/>
      <c r="IB14" s="799"/>
      <c r="IC14" s="799"/>
      <c r="ID14" s="799"/>
      <c r="IE14" s="799"/>
      <c r="IF14" s="799"/>
      <c r="IG14" s="799"/>
      <c r="IH14" s="799"/>
      <c r="II14" s="799"/>
      <c r="IJ14" s="799"/>
      <c r="IK14" s="799"/>
      <c r="IL14" s="799"/>
      <c r="IM14" s="799"/>
      <c r="IN14" s="799"/>
      <c r="IO14" s="799"/>
      <c r="IP14" s="799"/>
      <c r="IQ14" s="799"/>
      <c r="IR14" s="799"/>
      <c r="IS14" s="799"/>
      <c r="IT14" s="799"/>
      <c r="IU14" s="799"/>
      <c r="IV14" s="32"/>
      <c r="IW14" s="32"/>
    </row>
    <row r="15" customFormat="false" ht="12" hidden="false" customHeight="true" outlineLevel="0" collapsed="false">
      <c r="A15" s="716" t="s">
        <v>600</v>
      </c>
      <c r="B15" s="434"/>
      <c r="C15" s="806"/>
      <c r="D15" s="678" t="n">
        <f aca="false">D13*D14</f>
        <v>0</v>
      </c>
      <c r="E15" s="678" t="n">
        <f aca="false">E13*E14</f>
        <v>0</v>
      </c>
      <c r="F15" s="678" t="n">
        <f aca="false">F13*F14</f>
        <v>0</v>
      </c>
      <c r="G15" s="678" t="n">
        <f aca="false">G13*G14</f>
        <v>0</v>
      </c>
      <c r="H15" s="678" t="n">
        <f aca="false">H13*H14</f>
        <v>0</v>
      </c>
      <c r="I15" s="678" t="n">
        <f aca="false">I13*I14</f>
        <v>0</v>
      </c>
      <c r="J15" s="678" t="n">
        <f aca="false">J13*J14</f>
        <v>0</v>
      </c>
      <c r="K15" s="678" t="n">
        <f aca="false">K13*K14</f>
        <v>0</v>
      </c>
      <c r="L15" s="678" t="n">
        <f aca="false">L13*L14</f>
        <v>0</v>
      </c>
      <c r="M15" s="678" t="n">
        <f aca="false">M13*M14</f>
        <v>0</v>
      </c>
      <c r="N15" s="678" t="n">
        <f aca="false">N13*N14</f>
        <v>0</v>
      </c>
      <c r="O15" s="678" t="n">
        <f aca="false">O13*O14</f>
        <v>0</v>
      </c>
      <c r="P15" s="678" t="n">
        <f aca="false">P13*P14</f>
        <v>0</v>
      </c>
      <c r="Q15" s="678" t="n">
        <f aca="false">Q13*Q14</f>
        <v>0</v>
      </c>
      <c r="R15" s="678" t="n">
        <f aca="false">R13*R14</f>
        <v>0</v>
      </c>
      <c r="S15" s="678" t="n">
        <f aca="false">S13*S14</f>
        <v>0</v>
      </c>
      <c r="T15" s="678" t="n">
        <f aca="false">T13*T14</f>
        <v>0</v>
      </c>
      <c r="U15" s="678" t="n">
        <f aca="false">U13*U14</f>
        <v>0</v>
      </c>
      <c r="V15" s="678" t="n">
        <f aca="false">V13*V14</f>
        <v>0</v>
      </c>
      <c r="W15" s="678" t="n">
        <f aca="false">W13*W14</f>
        <v>0</v>
      </c>
      <c r="X15" s="678" t="n">
        <f aca="false">X13*X14</f>
        <v>0</v>
      </c>
      <c r="Y15" s="678" t="n">
        <f aca="false">Y13*Y14</f>
        <v>0</v>
      </c>
      <c r="Z15" s="678" t="n">
        <f aca="false">Z13*Z14</f>
        <v>0</v>
      </c>
      <c r="AA15" s="678" t="n">
        <f aca="false">AA13*AA14</f>
        <v>0</v>
      </c>
      <c r="AB15" s="679" t="n">
        <f aca="false">AB13*AB14</f>
        <v>0</v>
      </c>
      <c r="AC15" s="385"/>
      <c r="AD15" s="385"/>
      <c r="AE15" s="798"/>
      <c r="AF15" s="798"/>
      <c r="AG15" s="799"/>
      <c r="AH15" s="799"/>
      <c r="AI15" s="799"/>
      <c r="AJ15" s="799"/>
      <c r="AK15" s="799"/>
      <c r="AL15" s="799"/>
      <c r="AM15" s="799"/>
      <c r="AN15" s="799"/>
      <c r="AO15" s="799"/>
      <c r="AP15" s="799"/>
      <c r="AQ15" s="799"/>
      <c r="AR15" s="799"/>
      <c r="AS15" s="799"/>
      <c r="AT15" s="799"/>
      <c r="AU15" s="799"/>
      <c r="AV15" s="799"/>
      <c r="AW15" s="799"/>
      <c r="AX15" s="799"/>
      <c r="AY15" s="799"/>
      <c r="AZ15" s="799"/>
      <c r="BA15" s="799"/>
      <c r="BB15" s="799"/>
      <c r="BC15" s="799"/>
      <c r="BD15" s="799"/>
      <c r="BE15" s="799"/>
      <c r="BF15" s="799"/>
      <c r="BG15" s="799"/>
      <c r="BH15" s="799"/>
      <c r="BI15" s="799"/>
      <c r="BJ15" s="799"/>
      <c r="BK15" s="799"/>
      <c r="BL15" s="799"/>
      <c r="BM15" s="799"/>
      <c r="BN15" s="799"/>
      <c r="BO15" s="799"/>
      <c r="BP15" s="799"/>
      <c r="BQ15" s="799"/>
      <c r="BR15" s="799"/>
      <c r="BS15" s="799"/>
      <c r="BT15" s="799"/>
      <c r="BU15" s="799"/>
      <c r="BV15" s="799"/>
      <c r="BW15" s="799"/>
      <c r="BX15" s="799"/>
      <c r="BY15" s="799"/>
      <c r="BZ15" s="799"/>
      <c r="CA15" s="799"/>
      <c r="CB15" s="799"/>
      <c r="CC15" s="799"/>
      <c r="CD15" s="799"/>
      <c r="CE15" s="799"/>
      <c r="CF15" s="799"/>
      <c r="CG15" s="799"/>
      <c r="CH15" s="799"/>
      <c r="CI15" s="799"/>
      <c r="CJ15" s="799"/>
      <c r="CK15" s="799"/>
      <c r="CL15" s="799"/>
      <c r="CM15" s="799"/>
      <c r="CN15" s="799"/>
      <c r="CO15" s="799"/>
      <c r="CP15" s="799"/>
      <c r="CQ15" s="799"/>
      <c r="CR15" s="799"/>
      <c r="CS15" s="799"/>
      <c r="CT15" s="799"/>
      <c r="CU15" s="799"/>
      <c r="CV15" s="799"/>
      <c r="CW15" s="799"/>
      <c r="CX15" s="799"/>
      <c r="CY15" s="799"/>
      <c r="CZ15" s="799"/>
      <c r="DA15" s="799"/>
      <c r="DB15" s="799"/>
      <c r="DC15" s="799"/>
      <c r="DD15" s="799"/>
      <c r="DE15" s="799"/>
      <c r="DF15" s="799"/>
      <c r="DG15" s="799"/>
      <c r="DH15" s="799"/>
      <c r="DI15" s="799"/>
      <c r="DJ15" s="799"/>
      <c r="DK15" s="799"/>
      <c r="DL15" s="799"/>
      <c r="DM15" s="799"/>
      <c r="DN15" s="799"/>
      <c r="DO15" s="799"/>
      <c r="DP15" s="799"/>
      <c r="DQ15" s="799"/>
      <c r="DR15" s="799"/>
      <c r="DS15" s="799"/>
      <c r="DT15" s="799"/>
      <c r="DU15" s="799"/>
      <c r="DV15" s="799"/>
      <c r="DW15" s="799"/>
      <c r="DX15" s="799"/>
      <c r="DY15" s="799"/>
      <c r="DZ15" s="799"/>
      <c r="EA15" s="799"/>
      <c r="EB15" s="799"/>
      <c r="EC15" s="799"/>
      <c r="ED15" s="799"/>
      <c r="EE15" s="799"/>
      <c r="EF15" s="799"/>
      <c r="EG15" s="799"/>
      <c r="EH15" s="799"/>
      <c r="EI15" s="799"/>
      <c r="EJ15" s="799"/>
      <c r="EK15" s="799"/>
      <c r="EL15" s="799"/>
      <c r="EM15" s="799"/>
      <c r="EN15" s="799"/>
      <c r="EO15" s="799"/>
      <c r="EP15" s="799"/>
      <c r="EQ15" s="799"/>
      <c r="ER15" s="799"/>
      <c r="ES15" s="799"/>
      <c r="ET15" s="799"/>
      <c r="EU15" s="799"/>
      <c r="EV15" s="799"/>
      <c r="EW15" s="799"/>
      <c r="EX15" s="799"/>
      <c r="EY15" s="799"/>
      <c r="EZ15" s="799"/>
      <c r="FA15" s="799"/>
      <c r="FB15" s="799"/>
      <c r="FC15" s="799"/>
      <c r="FD15" s="799"/>
      <c r="FE15" s="799"/>
      <c r="FF15" s="799"/>
      <c r="FG15" s="799"/>
      <c r="FH15" s="799"/>
      <c r="FI15" s="799"/>
      <c r="FJ15" s="799"/>
      <c r="FK15" s="799"/>
      <c r="FL15" s="799"/>
      <c r="FM15" s="799"/>
      <c r="FN15" s="799"/>
      <c r="FO15" s="799"/>
      <c r="FP15" s="799"/>
      <c r="FQ15" s="799"/>
      <c r="FR15" s="799"/>
      <c r="FS15" s="799"/>
      <c r="FT15" s="799"/>
      <c r="FU15" s="799"/>
      <c r="FV15" s="799"/>
      <c r="FW15" s="799"/>
      <c r="FX15" s="799"/>
      <c r="FY15" s="799"/>
      <c r="FZ15" s="799"/>
      <c r="GA15" s="799"/>
      <c r="GB15" s="799"/>
      <c r="GC15" s="799"/>
      <c r="GD15" s="799"/>
      <c r="GE15" s="799"/>
      <c r="GF15" s="799"/>
      <c r="GG15" s="799"/>
      <c r="GH15" s="799"/>
      <c r="GI15" s="799"/>
      <c r="GJ15" s="799"/>
      <c r="GK15" s="799"/>
      <c r="GL15" s="799"/>
      <c r="GM15" s="799"/>
      <c r="GN15" s="799"/>
      <c r="GO15" s="799"/>
      <c r="GP15" s="799"/>
      <c r="GQ15" s="799"/>
      <c r="GR15" s="799"/>
      <c r="GS15" s="799"/>
      <c r="GT15" s="799"/>
      <c r="GU15" s="799"/>
      <c r="GV15" s="799"/>
      <c r="GW15" s="799"/>
      <c r="GX15" s="799"/>
      <c r="GY15" s="799"/>
      <c r="GZ15" s="799"/>
      <c r="HA15" s="799"/>
      <c r="HB15" s="799"/>
      <c r="HC15" s="799"/>
      <c r="HD15" s="799"/>
      <c r="HE15" s="799"/>
      <c r="HF15" s="799"/>
      <c r="HG15" s="799"/>
      <c r="HH15" s="799"/>
      <c r="HI15" s="799"/>
      <c r="HJ15" s="799"/>
      <c r="HK15" s="799"/>
      <c r="HL15" s="799"/>
      <c r="HM15" s="799"/>
      <c r="HN15" s="799"/>
      <c r="HO15" s="799"/>
      <c r="HP15" s="799"/>
      <c r="HQ15" s="799"/>
      <c r="HR15" s="799"/>
      <c r="HS15" s="799"/>
      <c r="HT15" s="799"/>
      <c r="HU15" s="799"/>
      <c r="HV15" s="799"/>
      <c r="HW15" s="799"/>
      <c r="HX15" s="799"/>
      <c r="HY15" s="799"/>
      <c r="HZ15" s="799"/>
      <c r="IA15" s="799"/>
      <c r="IB15" s="799"/>
      <c r="IC15" s="799"/>
      <c r="ID15" s="799"/>
      <c r="IE15" s="799"/>
      <c r="IF15" s="799"/>
      <c r="IG15" s="799"/>
      <c r="IH15" s="799"/>
      <c r="II15" s="799"/>
      <c r="IJ15" s="799"/>
      <c r="IK15" s="799"/>
      <c r="IL15" s="799"/>
      <c r="IM15" s="799"/>
      <c r="IN15" s="799"/>
      <c r="IO15" s="799"/>
      <c r="IP15" s="799"/>
      <c r="IQ15" s="799"/>
      <c r="IR15" s="799"/>
      <c r="IS15" s="799"/>
      <c r="IT15" s="799"/>
      <c r="IU15" s="799"/>
      <c r="IV15" s="32"/>
      <c r="IW15" s="32"/>
    </row>
    <row r="16" customFormat="false" ht="12" hidden="false" customHeight="true" outlineLevel="0" collapsed="false">
      <c r="A16" s="796"/>
      <c r="B16" s="385"/>
      <c r="C16" s="385"/>
      <c r="D16" s="385"/>
      <c r="E16" s="385"/>
      <c r="F16" s="385"/>
      <c r="G16" s="385"/>
      <c r="H16" s="385"/>
      <c r="I16" s="385"/>
      <c r="J16" s="385"/>
      <c r="K16" s="385"/>
      <c r="L16" s="385"/>
      <c r="M16" s="385"/>
      <c r="N16" s="385"/>
      <c r="O16" s="385"/>
      <c r="P16" s="385"/>
      <c r="Q16" s="385"/>
      <c r="R16" s="385"/>
      <c r="S16" s="385"/>
      <c r="T16" s="385"/>
      <c r="U16" s="385"/>
      <c r="V16" s="385"/>
      <c r="W16" s="385"/>
      <c r="X16" s="385"/>
      <c r="Y16" s="385"/>
      <c r="Z16" s="385"/>
      <c r="AA16" s="385"/>
      <c r="AB16" s="415"/>
      <c r="AC16" s="385"/>
      <c r="AD16" s="385"/>
    </row>
    <row r="17" customFormat="false" ht="12" hidden="false" customHeight="true" outlineLevel="0" collapsed="false">
      <c r="A17" s="797" t="s">
        <v>601</v>
      </c>
      <c r="B17" s="385"/>
      <c r="C17" s="385"/>
      <c r="D17" s="385"/>
      <c r="E17" s="385"/>
      <c r="F17" s="385"/>
      <c r="G17" s="385"/>
      <c r="H17" s="385"/>
      <c r="I17" s="385"/>
      <c r="J17" s="385"/>
      <c r="K17" s="385"/>
      <c r="L17" s="385"/>
      <c r="M17" s="385"/>
      <c r="N17" s="385"/>
      <c r="O17" s="385"/>
      <c r="P17" s="385"/>
      <c r="Q17" s="385"/>
      <c r="R17" s="385"/>
      <c r="S17" s="385"/>
      <c r="T17" s="385"/>
      <c r="U17" s="385"/>
      <c r="V17" s="385"/>
      <c r="W17" s="385"/>
      <c r="X17" s="385"/>
      <c r="Y17" s="385"/>
      <c r="Z17" s="385"/>
      <c r="AA17" s="385"/>
      <c r="AB17" s="415"/>
      <c r="AC17" s="385"/>
      <c r="AD17" s="385"/>
    </row>
    <row r="18" customFormat="false" ht="12" hidden="false" customHeight="true" outlineLevel="0" collapsed="false">
      <c r="A18" s="720" t="s">
        <v>602</v>
      </c>
      <c r="B18" s="30"/>
      <c r="C18" s="31"/>
      <c r="D18" s="30" t="n">
        <f aca="false">'Book Income Statement'!D72</f>
        <v>-512.68056633143</v>
      </c>
      <c r="E18" s="30" t="n">
        <f aca="false">'Book Income Statement'!E72</f>
        <v>6928.93953391495</v>
      </c>
      <c r="F18" s="30" t="n">
        <f aca="false">'Book Income Statement'!F72</f>
        <v>7213.52628741304</v>
      </c>
      <c r="G18" s="30" t="n">
        <f aca="false">'Book Income Statement'!G72</f>
        <v>12680.6805838509</v>
      </c>
      <c r="H18" s="30" t="n">
        <f aca="false">'Book Income Statement'!H72</f>
        <v>17241.5030700717</v>
      </c>
      <c r="I18" s="30" t="n">
        <f aca="false">'Book Income Statement'!I72</f>
        <v>18192.2609745443</v>
      </c>
      <c r="J18" s="30" t="n">
        <f aca="false">'Book Income Statement'!J72</f>
        <v>19064.7985269851</v>
      </c>
      <c r="K18" s="30" t="n">
        <f aca="false">'Book Income Statement'!K72</f>
        <v>20493.1424939112</v>
      </c>
      <c r="L18" s="30" t="n">
        <f aca="false">'Book Income Statement'!L72</f>
        <v>21250.6812683521</v>
      </c>
      <c r="M18" s="30" t="n">
        <f aca="false">'Book Income Statement'!M72</f>
        <v>23013.3790223318</v>
      </c>
      <c r="N18" s="30" t="n">
        <f aca="false">'Book Income Statement'!N72</f>
        <v>24270.0543923062</v>
      </c>
      <c r="O18" s="30" t="n">
        <f aca="false">'Book Income Statement'!O72</f>
        <v>25534.8847637769</v>
      </c>
      <c r="P18" s="30" t="n">
        <f aca="false">'Book Income Statement'!P72</f>
        <v>26101.1490238081</v>
      </c>
      <c r="Q18" s="30" t="n">
        <f aca="false">'Book Income Statement'!Q72</f>
        <v>26652.1157979069</v>
      </c>
      <c r="R18" s="30" t="n">
        <f aca="false">'Book Income Statement'!R72</f>
        <v>27186.6175501817</v>
      </c>
      <c r="S18" s="30" t="n">
        <f aca="false">'Book Income Statement'!S72</f>
        <v>27703.4304603248</v>
      </c>
      <c r="T18" s="30" t="n">
        <f aca="false">'Book Income Statement'!T72</f>
        <v>28201.2720973295</v>
      </c>
      <c r="U18" s="30" t="n">
        <f aca="false">'Book Income Statement'!U72</f>
        <v>28967.6335580229</v>
      </c>
      <c r="V18" s="30" t="n">
        <f aca="false">'Book Income Statement'!V72</f>
        <v>29827.8071199855</v>
      </c>
      <c r="W18" s="30" t="n">
        <f aca="false">'Book Income Statement'!W72</f>
        <v>30838.0865676332</v>
      </c>
      <c r="X18" s="30" t="n">
        <f aca="false">'Book Income Statement'!X72</f>
        <v>8394.98636502287</v>
      </c>
      <c r="Y18" s="30" t="n">
        <f aca="false">'Book Income Statement'!Y72</f>
        <v>0</v>
      </c>
      <c r="Z18" s="30" t="n">
        <f aca="false">'Book Income Statement'!Z72</f>
        <v>0</v>
      </c>
      <c r="AA18" s="30" t="n">
        <f aca="false">'Book Income Statement'!AA72</f>
        <v>0</v>
      </c>
      <c r="AB18" s="437" t="n">
        <f aca="false">'Book Income Statement'!AB72</f>
        <v>0</v>
      </c>
      <c r="AC18" s="30"/>
      <c r="AD18" s="30"/>
      <c r="AE18" s="30"/>
      <c r="AF18" s="30"/>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c r="CD18" s="31"/>
      <c r="CE18" s="31"/>
      <c r="CF18" s="31"/>
      <c r="CG18" s="31"/>
      <c r="CH18" s="31"/>
      <c r="CI18" s="31"/>
      <c r="CJ18" s="31"/>
      <c r="CK18" s="31"/>
      <c r="CL18" s="31"/>
      <c r="CM18" s="31"/>
      <c r="CN18" s="31"/>
      <c r="CO18" s="31"/>
      <c r="CP18" s="31"/>
      <c r="CQ18" s="31"/>
      <c r="CR18" s="31"/>
      <c r="CS18" s="31"/>
      <c r="CT18" s="31"/>
      <c r="CU18" s="31"/>
      <c r="CV18" s="31"/>
      <c r="CW18" s="31"/>
      <c r="CX18" s="31"/>
      <c r="CY18" s="31"/>
      <c r="CZ18" s="31"/>
      <c r="DA18" s="31"/>
      <c r="DB18" s="31"/>
      <c r="DC18" s="31"/>
      <c r="DD18" s="31"/>
      <c r="DE18" s="31"/>
      <c r="DF18" s="31"/>
      <c r="DG18" s="31"/>
      <c r="DH18" s="31"/>
      <c r="DI18" s="31"/>
      <c r="DJ18" s="31"/>
      <c r="DK18" s="31"/>
      <c r="DL18" s="31"/>
      <c r="DM18" s="31"/>
      <c r="DN18" s="31"/>
      <c r="DO18" s="31"/>
      <c r="DP18" s="31"/>
      <c r="DQ18" s="31"/>
      <c r="DR18" s="31"/>
      <c r="DS18" s="31"/>
      <c r="DT18" s="31"/>
      <c r="DU18" s="31"/>
      <c r="DV18" s="31"/>
      <c r="DW18" s="31"/>
      <c r="DX18" s="31"/>
      <c r="DY18" s="31"/>
      <c r="DZ18" s="31"/>
      <c r="EA18" s="31"/>
      <c r="EB18" s="31"/>
      <c r="EC18" s="31"/>
      <c r="ED18" s="31"/>
      <c r="EE18" s="31"/>
      <c r="EF18" s="31"/>
      <c r="EG18" s="31"/>
      <c r="EH18" s="31"/>
      <c r="EI18" s="31"/>
      <c r="EJ18" s="31"/>
      <c r="EK18" s="31"/>
      <c r="EL18" s="31"/>
      <c r="EM18" s="31"/>
      <c r="EN18" s="31"/>
      <c r="EO18" s="31"/>
      <c r="EP18" s="31"/>
      <c r="EQ18" s="31"/>
      <c r="ER18" s="31"/>
      <c r="ES18" s="31"/>
      <c r="ET18" s="31"/>
      <c r="EU18" s="31"/>
      <c r="EV18" s="31"/>
      <c r="EW18" s="31"/>
      <c r="EX18" s="31"/>
      <c r="EY18" s="31"/>
      <c r="EZ18" s="31"/>
      <c r="FA18" s="31"/>
      <c r="FB18" s="31"/>
      <c r="FC18" s="31"/>
      <c r="FD18" s="31"/>
      <c r="FE18" s="31"/>
      <c r="FF18" s="31"/>
      <c r="FG18" s="31"/>
      <c r="FH18" s="31"/>
      <c r="FI18" s="31"/>
      <c r="FJ18" s="31"/>
      <c r="FK18" s="31"/>
      <c r="FL18" s="31"/>
      <c r="FM18" s="31"/>
      <c r="FN18" s="31"/>
      <c r="FO18" s="31"/>
      <c r="FP18" s="31"/>
      <c r="FQ18" s="31"/>
      <c r="FR18" s="31"/>
      <c r="FS18" s="31"/>
      <c r="FT18" s="31"/>
      <c r="FU18" s="31"/>
      <c r="FV18" s="31"/>
      <c r="FW18" s="31"/>
      <c r="FX18" s="31"/>
      <c r="FY18" s="31"/>
      <c r="FZ18" s="31"/>
      <c r="GA18" s="31"/>
      <c r="GB18" s="31"/>
      <c r="GC18" s="31"/>
      <c r="GD18" s="31"/>
      <c r="GE18" s="31"/>
      <c r="GF18" s="31"/>
      <c r="GG18" s="31"/>
      <c r="GH18" s="31"/>
      <c r="GI18" s="31"/>
      <c r="GJ18" s="31"/>
      <c r="GK18" s="31"/>
      <c r="GL18" s="31"/>
      <c r="GM18" s="31"/>
      <c r="GN18" s="31"/>
      <c r="GO18" s="31"/>
      <c r="GP18" s="31"/>
      <c r="GQ18" s="31"/>
      <c r="GR18" s="31"/>
      <c r="GS18" s="31"/>
      <c r="GT18" s="31"/>
      <c r="GU18" s="31"/>
      <c r="GV18" s="31"/>
      <c r="GW18" s="31"/>
      <c r="GX18" s="31"/>
      <c r="GY18" s="31"/>
      <c r="GZ18" s="31"/>
      <c r="HA18" s="31"/>
      <c r="HB18" s="31"/>
      <c r="HC18" s="31"/>
      <c r="HD18" s="31"/>
      <c r="HE18" s="31"/>
      <c r="HF18" s="31"/>
      <c r="HG18" s="31"/>
      <c r="HH18" s="31"/>
      <c r="HI18" s="31"/>
      <c r="HJ18" s="31"/>
      <c r="HK18" s="31"/>
      <c r="HL18" s="31"/>
      <c r="HM18" s="31"/>
      <c r="HN18" s="31"/>
      <c r="HO18" s="31"/>
      <c r="HP18" s="31"/>
      <c r="HQ18" s="31"/>
      <c r="HR18" s="31"/>
      <c r="HS18" s="31"/>
      <c r="HT18" s="31"/>
      <c r="HU18" s="31"/>
      <c r="HV18" s="31"/>
      <c r="HW18" s="31"/>
      <c r="HX18" s="31"/>
      <c r="HY18" s="31"/>
      <c r="HZ18" s="31"/>
      <c r="IA18" s="31"/>
      <c r="IB18" s="31"/>
      <c r="IC18" s="31"/>
      <c r="ID18" s="31"/>
      <c r="IE18" s="31"/>
      <c r="IF18" s="31"/>
      <c r="IG18" s="31"/>
      <c r="IH18" s="31"/>
      <c r="II18" s="31"/>
      <c r="IJ18" s="31"/>
      <c r="IK18" s="31"/>
      <c r="IL18" s="31"/>
      <c r="IM18" s="31"/>
      <c r="IN18" s="31"/>
      <c r="IO18" s="31"/>
      <c r="IP18" s="31"/>
      <c r="IQ18" s="31"/>
      <c r="IR18" s="31"/>
      <c r="IS18" s="31"/>
      <c r="IT18" s="31"/>
      <c r="IU18" s="31"/>
      <c r="IV18" s="31"/>
      <c r="IW18" s="31"/>
    </row>
    <row r="19" customFormat="false" ht="12" hidden="false" customHeight="true" outlineLevel="0" collapsed="false">
      <c r="A19" s="720" t="s">
        <v>603</v>
      </c>
      <c r="B19" s="385"/>
      <c r="C19" s="385"/>
      <c r="D19" s="721" t="n">
        <f aca="false">'Book Income Statement'!D65</f>
        <v>3246.97253416667</v>
      </c>
      <c r="E19" s="721" t="n">
        <f aca="false">'Book Income Statement'!E65</f>
        <v>5566.23863</v>
      </c>
      <c r="F19" s="721" t="n">
        <f aca="false">'Book Income Statement'!F65</f>
        <v>5566.23863</v>
      </c>
      <c r="G19" s="721" t="n">
        <f aca="false">'Book Income Statement'!G65</f>
        <v>5566.23863</v>
      </c>
      <c r="H19" s="721" t="n">
        <f aca="false">'Book Income Statement'!H65</f>
        <v>5566.23863</v>
      </c>
      <c r="I19" s="721" t="n">
        <f aca="false">'Book Income Statement'!I65</f>
        <v>5328.16991333333</v>
      </c>
      <c r="J19" s="721" t="n">
        <f aca="false">'Book Income Statement'!J65</f>
        <v>5158.12083</v>
      </c>
      <c r="K19" s="721" t="n">
        <f aca="false">'Book Income Statement'!K65</f>
        <v>5158.12083</v>
      </c>
      <c r="L19" s="721" t="n">
        <f aca="false">'Book Income Statement'!L65</f>
        <v>5158.12083</v>
      </c>
      <c r="M19" s="721" t="n">
        <f aca="false">'Book Income Statement'!M65</f>
        <v>5158.12083</v>
      </c>
      <c r="N19" s="721" t="n">
        <f aca="false">'Book Income Statement'!N65</f>
        <v>5158.12083</v>
      </c>
      <c r="O19" s="721" t="n">
        <f aca="false">'Book Income Statement'!O65</f>
        <v>5158.12083</v>
      </c>
      <c r="P19" s="721" t="n">
        <f aca="false">'Book Income Statement'!P65</f>
        <v>5158.12083</v>
      </c>
      <c r="Q19" s="721" t="n">
        <f aca="false">'Book Income Statement'!Q65</f>
        <v>5158.12083</v>
      </c>
      <c r="R19" s="721" t="n">
        <f aca="false">'Book Income Statement'!R65</f>
        <v>5158.12083</v>
      </c>
      <c r="S19" s="721" t="n">
        <f aca="false">'Book Income Statement'!S65</f>
        <v>5158.12083</v>
      </c>
      <c r="T19" s="721" t="n">
        <f aca="false">'Book Income Statement'!T65</f>
        <v>5158.12083</v>
      </c>
      <c r="U19" s="721" t="n">
        <f aca="false">'Book Income Statement'!U65</f>
        <v>5158.12083</v>
      </c>
      <c r="V19" s="721" t="n">
        <f aca="false">'Book Income Statement'!V65</f>
        <v>5158.12083</v>
      </c>
      <c r="W19" s="721" t="n">
        <f aca="false">'Book Income Statement'!W65</f>
        <v>5158.12083</v>
      </c>
      <c r="X19" s="721" t="n">
        <f aca="false">'Book Income Statement'!X65</f>
        <v>5158.12083</v>
      </c>
      <c r="Y19" s="721" t="n">
        <f aca="false">'Book Income Statement'!Y65</f>
        <v>0</v>
      </c>
      <c r="Z19" s="721" t="n">
        <f aca="false">'Book Income Statement'!Z65</f>
        <v>0</v>
      </c>
      <c r="AA19" s="721" t="n">
        <f aca="false">'Book Income Statement'!AA65</f>
        <v>0</v>
      </c>
      <c r="AB19" s="722" t="n">
        <f aca="false">'Book Income Statement'!AB65</f>
        <v>0</v>
      </c>
      <c r="AC19" s="721"/>
      <c r="AD19" s="721"/>
    </row>
    <row r="20" customFormat="false" ht="12" hidden="false" customHeight="true" outlineLevel="0" collapsed="false">
      <c r="A20" s="720" t="s">
        <v>604</v>
      </c>
      <c r="B20" s="385"/>
      <c r="C20" s="32"/>
      <c r="D20" s="807" t="n">
        <f aca="false">IF(D3&lt;='Project Assumptions'!$I$15,Depreciation!D28*-1,0)</f>
        <v>-8834.93676666667</v>
      </c>
      <c r="E20" s="807" t="n">
        <f aca="false">IF(E3&lt;='Project Assumptions'!$I$15,Depreciation!E28*-1,0)</f>
        <v>-16742.167095</v>
      </c>
      <c r="F20" s="807" t="n">
        <f aca="false">IF(F3&lt;='Project Assumptions'!$I$15,Depreciation!F28*-1,0)</f>
        <v>-15108.7621655</v>
      </c>
      <c r="G20" s="807" t="n">
        <f aca="false">IF(G3&lt;='Project Assumptions'!$I$15,Depreciation!G28*-1,0)</f>
        <v>-13647.294597</v>
      </c>
      <c r="H20" s="807" t="n">
        <f aca="false">IF(H3&lt;='Project Assumptions'!$I$15,Depreciation!H28*-1,0)</f>
        <v>-12323.3769173</v>
      </c>
      <c r="I20" s="807" t="n">
        <f aca="false">IF(I3&lt;='Project Assumptions'!$I$15,Depreciation!I28*-1,0)</f>
        <v>-10881.7466736333</v>
      </c>
      <c r="J20" s="807" t="n">
        <f aca="false">IF(J3&lt;='Project Assumptions'!$I$15,Depreciation!J28*-1,0)</f>
        <v>-10144.304299</v>
      </c>
      <c r="K20" s="807" t="n">
        <f aca="false">IF(K3&lt;='Project Assumptions'!$I$15,Depreciation!K28*-1,0)</f>
        <v>-10161.4980351</v>
      </c>
      <c r="L20" s="807" t="n">
        <f aca="false">IF(L3&lt;='Project Assumptions'!$I$15,Depreciation!L28*-1,0)</f>
        <v>-10144.304299</v>
      </c>
      <c r="M20" s="807" t="n">
        <f aca="false">IF(M3&lt;='Project Assumptions'!$I$15,Depreciation!M28*-1,0)</f>
        <v>-10161.4980351</v>
      </c>
      <c r="N20" s="807" t="n">
        <f aca="false">IF(N3&lt;='Project Assumptions'!$I$15,Depreciation!N28*-1,0)</f>
        <v>-10144.304299</v>
      </c>
      <c r="O20" s="807" t="n">
        <f aca="false">IF(O3&lt;='Project Assumptions'!$I$15,Depreciation!O28*-1,0)</f>
        <v>-10161.4980351</v>
      </c>
      <c r="P20" s="807" t="n">
        <f aca="false">IF(P3&lt;='Project Assumptions'!$I$15,Depreciation!P28*-1,0)</f>
        <v>-10144.304299</v>
      </c>
      <c r="Q20" s="807" t="n">
        <f aca="false">IF(Q3&lt;='Project Assumptions'!$I$15,Depreciation!Q28*-1,0)</f>
        <v>-10161.4980351</v>
      </c>
      <c r="R20" s="807" t="n">
        <f aca="false">IF(R3&lt;='Project Assumptions'!$I$15,Depreciation!R28*-1,0)</f>
        <v>-10144.304299</v>
      </c>
      <c r="S20" s="807" t="n">
        <f aca="false">IF(S3&lt;='Project Assumptions'!$I$15,Depreciation!S28*-1,0)</f>
        <v>-5072.1521495</v>
      </c>
      <c r="T20" s="807" t="n">
        <f aca="false">IF(T3&lt;='Project Assumptions'!$I$15,Depreciation!T28*-1,0)</f>
        <v>-0</v>
      </c>
      <c r="U20" s="807" t="n">
        <f aca="false">IF(U3&lt;='Project Assumptions'!$I$15,Depreciation!U28*-1,0)</f>
        <v>-0</v>
      </c>
      <c r="V20" s="807" t="n">
        <f aca="false">IF(V3&lt;='Project Assumptions'!$I$15,Depreciation!V28*-1,0)</f>
        <v>-0</v>
      </c>
      <c r="W20" s="807" t="n">
        <f aca="false">IF(W3&lt;='Project Assumptions'!$I$15,Depreciation!W28*-1,0)</f>
        <v>-0</v>
      </c>
      <c r="X20" s="807" t="n">
        <f aca="false">IF(X3&lt;='Project Assumptions'!$I$15+1,Depreciation!X28*-1,0)</f>
        <v>-0</v>
      </c>
      <c r="Y20" s="807" t="n">
        <f aca="false">IF(Y3&lt;='Project Assumptions'!$I$15,Depreciation!Y28*-1,0)</f>
        <v>0</v>
      </c>
      <c r="Z20" s="807" t="n">
        <f aca="false">IF(Z3&lt;='Project Assumptions'!$I$15,Depreciation!Z28*-1,0)</f>
        <v>0</v>
      </c>
      <c r="AA20" s="807" t="n">
        <f aca="false">IF(AA3&lt;='Project Assumptions'!$I$15,Depreciation!AA28*-1,0)</f>
        <v>0</v>
      </c>
      <c r="AB20" s="808" t="n">
        <f aca="false">IF(AB3&lt;='Project Assumptions'!$I$15,Depreciation!AB28*-1,0)</f>
        <v>0</v>
      </c>
      <c r="AC20" s="385"/>
      <c r="AD20" s="385"/>
      <c r="AE20" s="798"/>
      <c r="AF20" s="798"/>
      <c r="AG20" s="799"/>
      <c r="AH20" s="799"/>
      <c r="AI20" s="799"/>
      <c r="AJ20" s="799"/>
      <c r="AK20" s="799"/>
      <c r="AL20" s="799"/>
      <c r="AM20" s="799"/>
      <c r="AN20" s="799"/>
      <c r="AO20" s="799"/>
      <c r="AP20" s="799"/>
      <c r="AQ20" s="799"/>
      <c r="AR20" s="799"/>
      <c r="AS20" s="799"/>
      <c r="AT20" s="799"/>
      <c r="AU20" s="799"/>
      <c r="AV20" s="799"/>
      <c r="AW20" s="799"/>
      <c r="AX20" s="799"/>
      <c r="AY20" s="799"/>
      <c r="AZ20" s="799"/>
      <c r="BA20" s="799"/>
      <c r="BB20" s="799"/>
      <c r="BC20" s="799"/>
      <c r="BD20" s="799"/>
      <c r="BE20" s="799"/>
      <c r="BF20" s="799"/>
      <c r="BG20" s="799"/>
      <c r="BH20" s="799"/>
      <c r="BI20" s="799"/>
      <c r="BJ20" s="799"/>
      <c r="BK20" s="799"/>
      <c r="BL20" s="799"/>
      <c r="BM20" s="799"/>
      <c r="BN20" s="799"/>
      <c r="BO20" s="799"/>
      <c r="BP20" s="799"/>
      <c r="BQ20" s="799"/>
      <c r="BR20" s="799"/>
      <c r="BS20" s="799"/>
      <c r="BT20" s="799"/>
      <c r="BU20" s="799"/>
      <c r="BV20" s="799"/>
      <c r="BW20" s="799"/>
      <c r="BX20" s="799"/>
      <c r="BY20" s="799"/>
      <c r="BZ20" s="799"/>
      <c r="CA20" s="799"/>
      <c r="CB20" s="799"/>
      <c r="CC20" s="799"/>
      <c r="CD20" s="799"/>
      <c r="CE20" s="799"/>
      <c r="CF20" s="799"/>
      <c r="CG20" s="799"/>
      <c r="CH20" s="799"/>
      <c r="CI20" s="799"/>
      <c r="CJ20" s="799"/>
      <c r="CK20" s="799"/>
      <c r="CL20" s="799"/>
      <c r="CM20" s="799"/>
      <c r="CN20" s="799"/>
      <c r="CO20" s="799"/>
      <c r="CP20" s="799"/>
      <c r="CQ20" s="799"/>
      <c r="CR20" s="799"/>
      <c r="CS20" s="799"/>
      <c r="CT20" s="799"/>
      <c r="CU20" s="799"/>
      <c r="CV20" s="799"/>
      <c r="CW20" s="799"/>
      <c r="CX20" s="799"/>
      <c r="CY20" s="799"/>
      <c r="CZ20" s="799"/>
      <c r="DA20" s="799"/>
      <c r="DB20" s="799"/>
      <c r="DC20" s="799"/>
      <c r="DD20" s="799"/>
      <c r="DE20" s="799"/>
      <c r="DF20" s="799"/>
      <c r="DG20" s="799"/>
      <c r="DH20" s="799"/>
      <c r="DI20" s="799"/>
      <c r="DJ20" s="799"/>
      <c r="DK20" s="799"/>
      <c r="DL20" s="799"/>
      <c r="DM20" s="799"/>
      <c r="DN20" s="799"/>
      <c r="DO20" s="799"/>
      <c r="DP20" s="799"/>
      <c r="DQ20" s="799"/>
      <c r="DR20" s="799"/>
      <c r="DS20" s="799"/>
      <c r="DT20" s="799"/>
      <c r="DU20" s="799"/>
      <c r="DV20" s="799"/>
      <c r="DW20" s="799"/>
      <c r="DX20" s="799"/>
      <c r="DY20" s="799"/>
      <c r="DZ20" s="799"/>
      <c r="EA20" s="799"/>
      <c r="EB20" s="799"/>
      <c r="EC20" s="799"/>
      <c r="ED20" s="799"/>
      <c r="EE20" s="799"/>
      <c r="EF20" s="799"/>
      <c r="EG20" s="799"/>
      <c r="EH20" s="799"/>
      <c r="EI20" s="799"/>
      <c r="EJ20" s="799"/>
      <c r="EK20" s="799"/>
      <c r="EL20" s="799"/>
      <c r="EM20" s="799"/>
      <c r="EN20" s="799"/>
      <c r="EO20" s="799"/>
      <c r="EP20" s="799"/>
      <c r="EQ20" s="799"/>
      <c r="ER20" s="799"/>
      <c r="ES20" s="799"/>
      <c r="ET20" s="799"/>
      <c r="EU20" s="799"/>
      <c r="EV20" s="799"/>
      <c r="EW20" s="799"/>
      <c r="EX20" s="799"/>
      <c r="EY20" s="799"/>
      <c r="EZ20" s="799"/>
      <c r="FA20" s="799"/>
      <c r="FB20" s="799"/>
      <c r="FC20" s="799"/>
      <c r="FD20" s="799"/>
      <c r="FE20" s="799"/>
      <c r="FF20" s="799"/>
      <c r="FG20" s="799"/>
      <c r="FH20" s="799"/>
      <c r="FI20" s="799"/>
      <c r="FJ20" s="799"/>
      <c r="FK20" s="799"/>
      <c r="FL20" s="799"/>
      <c r="FM20" s="799"/>
      <c r="FN20" s="799"/>
      <c r="FO20" s="799"/>
      <c r="FP20" s="799"/>
      <c r="FQ20" s="799"/>
      <c r="FR20" s="799"/>
      <c r="FS20" s="799"/>
      <c r="FT20" s="799"/>
      <c r="FU20" s="799"/>
      <c r="FV20" s="799"/>
      <c r="FW20" s="799"/>
      <c r="FX20" s="799"/>
      <c r="FY20" s="799"/>
      <c r="FZ20" s="799"/>
      <c r="GA20" s="799"/>
      <c r="GB20" s="799"/>
      <c r="GC20" s="799"/>
      <c r="GD20" s="799"/>
      <c r="GE20" s="799"/>
      <c r="GF20" s="799"/>
      <c r="GG20" s="799"/>
      <c r="GH20" s="799"/>
      <c r="GI20" s="799"/>
      <c r="GJ20" s="799"/>
      <c r="GK20" s="799"/>
      <c r="GL20" s="799"/>
      <c r="GM20" s="799"/>
      <c r="GN20" s="799"/>
      <c r="GO20" s="799"/>
      <c r="GP20" s="799"/>
      <c r="GQ20" s="799"/>
      <c r="GR20" s="799"/>
      <c r="GS20" s="799"/>
      <c r="GT20" s="799"/>
      <c r="GU20" s="799"/>
      <c r="GV20" s="799"/>
      <c r="GW20" s="799"/>
      <c r="GX20" s="799"/>
      <c r="GY20" s="799"/>
      <c r="GZ20" s="799"/>
      <c r="HA20" s="799"/>
      <c r="HB20" s="799"/>
      <c r="HC20" s="799"/>
      <c r="HD20" s="799"/>
      <c r="HE20" s="799"/>
      <c r="HF20" s="799"/>
      <c r="HG20" s="799"/>
      <c r="HH20" s="799"/>
      <c r="HI20" s="799"/>
      <c r="HJ20" s="799"/>
      <c r="HK20" s="799"/>
      <c r="HL20" s="799"/>
      <c r="HM20" s="799"/>
      <c r="HN20" s="799"/>
      <c r="HO20" s="799"/>
      <c r="HP20" s="799"/>
      <c r="HQ20" s="799"/>
      <c r="HR20" s="799"/>
      <c r="HS20" s="799"/>
      <c r="HT20" s="799"/>
      <c r="HU20" s="799"/>
      <c r="HV20" s="799"/>
      <c r="HW20" s="799"/>
      <c r="HX20" s="799"/>
      <c r="HY20" s="799"/>
      <c r="HZ20" s="799"/>
      <c r="IA20" s="799"/>
      <c r="IB20" s="799"/>
      <c r="IC20" s="799"/>
      <c r="ID20" s="799"/>
      <c r="IE20" s="799"/>
      <c r="IF20" s="799"/>
      <c r="IG20" s="799"/>
      <c r="IH20" s="799"/>
      <c r="II20" s="799"/>
      <c r="IJ20" s="799"/>
      <c r="IK20" s="799"/>
      <c r="IL20" s="799"/>
      <c r="IM20" s="799"/>
      <c r="IN20" s="799"/>
      <c r="IO20" s="799"/>
      <c r="IP20" s="799"/>
      <c r="IQ20" s="799"/>
      <c r="IR20" s="799"/>
      <c r="IS20" s="799"/>
      <c r="IT20" s="799"/>
      <c r="IU20" s="799"/>
      <c r="IV20" s="32"/>
      <c r="IW20" s="32"/>
    </row>
    <row r="21" customFormat="false" ht="12" hidden="false" customHeight="true" outlineLevel="0" collapsed="false">
      <c r="A21" s="716" t="s">
        <v>605</v>
      </c>
      <c r="B21" s="385"/>
      <c r="C21" s="32"/>
      <c r="D21" s="807" t="n">
        <f aca="false">SUM(D18:D20)</f>
        <v>-6100.64479883143</v>
      </c>
      <c r="E21" s="807" t="n">
        <f aca="false">SUM(E18:E20)</f>
        <v>-4246.98893108505</v>
      </c>
      <c r="F21" s="807" t="n">
        <f aca="false">SUM(F18:F20)</f>
        <v>-2328.99724808696</v>
      </c>
      <c r="G21" s="807" t="n">
        <f aca="false">SUM(G18:G20)</f>
        <v>4599.6246168509</v>
      </c>
      <c r="H21" s="807" t="n">
        <f aca="false">SUM(H18:H20)</f>
        <v>10484.3647827717</v>
      </c>
      <c r="I21" s="807" t="n">
        <f aca="false">SUM(I18:I20)</f>
        <v>12638.6842142443</v>
      </c>
      <c r="J21" s="807" t="n">
        <f aca="false">SUM(J18:J20)</f>
        <v>14078.6150579851</v>
      </c>
      <c r="K21" s="807" t="n">
        <f aca="false">SUM(K18:K20)</f>
        <v>15489.7652888113</v>
      </c>
      <c r="L21" s="807" t="n">
        <f aca="false">SUM(L18:L20)</f>
        <v>16264.4977993521</v>
      </c>
      <c r="M21" s="807" t="n">
        <f aca="false">SUM(M18:M20)</f>
        <v>18010.0018172319</v>
      </c>
      <c r="N21" s="807" t="n">
        <f aca="false">SUM(N18:N20)</f>
        <v>19283.8709233062</v>
      </c>
      <c r="O21" s="807" t="n">
        <f aca="false">SUM(O18:O20)</f>
        <v>20531.5075586769</v>
      </c>
      <c r="P21" s="807" t="n">
        <f aca="false">SUM(P18:P20)</f>
        <v>21114.9655548081</v>
      </c>
      <c r="Q21" s="807" t="n">
        <f aca="false">SUM(Q18:Q20)</f>
        <v>21648.7385928069</v>
      </c>
      <c r="R21" s="807" t="n">
        <f aca="false">SUM(R18:R20)</f>
        <v>22200.4340811817</v>
      </c>
      <c r="S21" s="807" t="n">
        <f aca="false">SUM(S18:S20)</f>
        <v>27789.3991408248</v>
      </c>
      <c r="T21" s="807" t="n">
        <f aca="false">SUM(T18:T20)</f>
        <v>33359.3929273295</v>
      </c>
      <c r="U21" s="807" t="n">
        <f aca="false">SUM(U18:U20)</f>
        <v>34125.7543880229</v>
      </c>
      <c r="V21" s="807" t="n">
        <f aca="false">SUM(V18:V20)</f>
        <v>34985.9279499855</v>
      </c>
      <c r="W21" s="807" t="n">
        <f aca="false">SUM(W18:W20)</f>
        <v>35996.2073976332</v>
      </c>
      <c r="X21" s="807" t="n">
        <f aca="false">SUM(X18:X20)</f>
        <v>13553.1071950229</v>
      </c>
      <c r="Y21" s="807" t="n">
        <f aca="false">SUM(Y18:Y20)</f>
        <v>0</v>
      </c>
      <c r="Z21" s="807" t="n">
        <f aca="false">SUM(Z18:Z20)</f>
        <v>0</v>
      </c>
      <c r="AA21" s="807" t="n">
        <f aca="false">SUM(AA18:AA20)</f>
        <v>0</v>
      </c>
      <c r="AB21" s="808" t="n">
        <f aca="false">SUM(AB18:AB20)</f>
        <v>0</v>
      </c>
      <c r="AC21" s="385"/>
      <c r="AD21" s="385"/>
      <c r="AE21" s="798"/>
      <c r="AF21" s="798"/>
      <c r="AG21" s="799"/>
      <c r="AH21" s="799"/>
      <c r="AI21" s="799"/>
      <c r="AJ21" s="799"/>
      <c r="AK21" s="799"/>
      <c r="AL21" s="799"/>
      <c r="AM21" s="799"/>
      <c r="AN21" s="799"/>
      <c r="AO21" s="799"/>
      <c r="AP21" s="799"/>
      <c r="AQ21" s="799"/>
      <c r="AR21" s="799"/>
      <c r="AS21" s="799"/>
      <c r="AT21" s="799"/>
      <c r="AU21" s="799"/>
      <c r="AV21" s="799"/>
      <c r="AW21" s="799"/>
      <c r="AX21" s="799"/>
      <c r="AY21" s="799"/>
      <c r="AZ21" s="799"/>
      <c r="BA21" s="799"/>
      <c r="BB21" s="799"/>
      <c r="BC21" s="799"/>
      <c r="BD21" s="799"/>
      <c r="BE21" s="799"/>
      <c r="BF21" s="799"/>
      <c r="BG21" s="799"/>
      <c r="BH21" s="799"/>
      <c r="BI21" s="799"/>
      <c r="BJ21" s="799"/>
      <c r="BK21" s="799"/>
      <c r="BL21" s="799"/>
      <c r="BM21" s="799"/>
      <c r="BN21" s="799"/>
      <c r="BO21" s="799"/>
      <c r="BP21" s="799"/>
      <c r="BQ21" s="799"/>
      <c r="BR21" s="799"/>
      <c r="BS21" s="799"/>
      <c r="BT21" s="799"/>
      <c r="BU21" s="799"/>
      <c r="BV21" s="799"/>
      <c r="BW21" s="799"/>
      <c r="BX21" s="799"/>
      <c r="BY21" s="799"/>
      <c r="BZ21" s="799"/>
      <c r="CA21" s="799"/>
      <c r="CB21" s="799"/>
      <c r="CC21" s="799"/>
      <c r="CD21" s="799"/>
      <c r="CE21" s="799"/>
      <c r="CF21" s="799"/>
      <c r="CG21" s="799"/>
      <c r="CH21" s="799"/>
      <c r="CI21" s="799"/>
      <c r="CJ21" s="799"/>
      <c r="CK21" s="799"/>
      <c r="CL21" s="799"/>
      <c r="CM21" s="799"/>
      <c r="CN21" s="799"/>
      <c r="CO21" s="799"/>
      <c r="CP21" s="799"/>
      <c r="CQ21" s="799"/>
      <c r="CR21" s="799"/>
      <c r="CS21" s="799"/>
      <c r="CT21" s="799"/>
      <c r="CU21" s="799"/>
      <c r="CV21" s="799"/>
      <c r="CW21" s="799"/>
      <c r="CX21" s="799"/>
      <c r="CY21" s="799"/>
      <c r="CZ21" s="799"/>
      <c r="DA21" s="799"/>
      <c r="DB21" s="799"/>
      <c r="DC21" s="799"/>
      <c r="DD21" s="799"/>
      <c r="DE21" s="799"/>
      <c r="DF21" s="799"/>
      <c r="DG21" s="799"/>
      <c r="DH21" s="799"/>
      <c r="DI21" s="799"/>
      <c r="DJ21" s="799"/>
      <c r="DK21" s="799"/>
      <c r="DL21" s="799"/>
      <c r="DM21" s="799"/>
      <c r="DN21" s="799"/>
      <c r="DO21" s="799"/>
      <c r="DP21" s="799"/>
      <c r="DQ21" s="799"/>
      <c r="DR21" s="799"/>
      <c r="DS21" s="799"/>
      <c r="DT21" s="799"/>
      <c r="DU21" s="799"/>
      <c r="DV21" s="799"/>
      <c r="DW21" s="799"/>
      <c r="DX21" s="799"/>
      <c r="DY21" s="799"/>
      <c r="DZ21" s="799"/>
      <c r="EA21" s="799"/>
      <c r="EB21" s="799"/>
      <c r="EC21" s="799"/>
      <c r="ED21" s="799"/>
      <c r="EE21" s="799"/>
      <c r="EF21" s="799"/>
      <c r="EG21" s="799"/>
      <c r="EH21" s="799"/>
      <c r="EI21" s="799"/>
      <c r="EJ21" s="799"/>
      <c r="EK21" s="799"/>
      <c r="EL21" s="799"/>
      <c r="EM21" s="799"/>
      <c r="EN21" s="799"/>
      <c r="EO21" s="799"/>
      <c r="EP21" s="799"/>
      <c r="EQ21" s="799"/>
      <c r="ER21" s="799"/>
      <c r="ES21" s="799"/>
      <c r="ET21" s="799"/>
      <c r="EU21" s="799"/>
      <c r="EV21" s="799"/>
      <c r="EW21" s="799"/>
      <c r="EX21" s="799"/>
      <c r="EY21" s="799"/>
      <c r="EZ21" s="799"/>
      <c r="FA21" s="799"/>
      <c r="FB21" s="799"/>
      <c r="FC21" s="799"/>
      <c r="FD21" s="799"/>
      <c r="FE21" s="799"/>
      <c r="FF21" s="799"/>
      <c r="FG21" s="799"/>
      <c r="FH21" s="799"/>
      <c r="FI21" s="799"/>
      <c r="FJ21" s="799"/>
      <c r="FK21" s="799"/>
      <c r="FL21" s="799"/>
      <c r="FM21" s="799"/>
      <c r="FN21" s="799"/>
      <c r="FO21" s="799"/>
      <c r="FP21" s="799"/>
      <c r="FQ21" s="799"/>
      <c r="FR21" s="799"/>
      <c r="FS21" s="799"/>
      <c r="FT21" s="799"/>
      <c r="FU21" s="799"/>
      <c r="FV21" s="799"/>
      <c r="FW21" s="799"/>
      <c r="FX21" s="799"/>
      <c r="FY21" s="799"/>
      <c r="FZ21" s="799"/>
      <c r="GA21" s="799"/>
      <c r="GB21" s="799"/>
      <c r="GC21" s="799"/>
      <c r="GD21" s="799"/>
      <c r="GE21" s="799"/>
      <c r="GF21" s="799"/>
      <c r="GG21" s="799"/>
      <c r="GH21" s="799"/>
      <c r="GI21" s="799"/>
      <c r="GJ21" s="799"/>
      <c r="GK21" s="799"/>
      <c r="GL21" s="799"/>
      <c r="GM21" s="799"/>
      <c r="GN21" s="799"/>
      <c r="GO21" s="799"/>
      <c r="GP21" s="799"/>
      <c r="GQ21" s="799"/>
      <c r="GR21" s="799"/>
      <c r="GS21" s="799"/>
      <c r="GT21" s="799"/>
      <c r="GU21" s="799"/>
      <c r="GV21" s="799"/>
      <c r="GW21" s="799"/>
      <c r="GX21" s="799"/>
      <c r="GY21" s="799"/>
      <c r="GZ21" s="799"/>
      <c r="HA21" s="799"/>
      <c r="HB21" s="799"/>
      <c r="HC21" s="799"/>
      <c r="HD21" s="799"/>
      <c r="HE21" s="799"/>
      <c r="HF21" s="799"/>
      <c r="HG21" s="799"/>
      <c r="HH21" s="799"/>
      <c r="HI21" s="799"/>
      <c r="HJ21" s="799"/>
      <c r="HK21" s="799"/>
      <c r="HL21" s="799"/>
      <c r="HM21" s="799"/>
      <c r="HN21" s="799"/>
      <c r="HO21" s="799"/>
      <c r="HP21" s="799"/>
      <c r="HQ21" s="799"/>
      <c r="HR21" s="799"/>
      <c r="HS21" s="799"/>
      <c r="HT21" s="799"/>
      <c r="HU21" s="799"/>
      <c r="HV21" s="799"/>
      <c r="HW21" s="799"/>
      <c r="HX21" s="799"/>
      <c r="HY21" s="799"/>
      <c r="HZ21" s="799"/>
      <c r="IA21" s="799"/>
      <c r="IB21" s="799"/>
      <c r="IC21" s="799"/>
      <c r="ID21" s="799"/>
      <c r="IE21" s="799"/>
      <c r="IF21" s="799"/>
      <c r="IG21" s="799"/>
      <c r="IH21" s="799"/>
      <c r="II21" s="799"/>
      <c r="IJ21" s="799"/>
      <c r="IK21" s="799"/>
      <c r="IL21" s="799"/>
      <c r="IM21" s="799"/>
      <c r="IN21" s="799"/>
      <c r="IO21" s="799"/>
      <c r="IP21" s="799"/>
      <c r="IQ21" s="799"/>
      <c r="IR21" s="799"/>
      <c r="IS21" s="799"/>
      <c r="IT21" s="799"/>
      <c r="IU21" s="799"/>
      <c r="IV21" s="32"/>
      <c r="IW21" s="32"/>
    </row>
    <row r="22" customFormat="false" ht="12" hidden="false" customHeight="true" outlineLevel="0" collapsed="false">
      <c r="A22" s="720"/>
      <c r="B22" s="385"/>
      <c r="C22" s="385"/>
      <c r="D22" s="385"/>
      <c r="E22" s="385"/>
      <c r="F22" s="385"/>
      <c r="G22" s="385"/>
      <c r="H22" s="385"/>
      <c r="I22" s="385"/>
      <c r="J22" s="385"/>
      <c r="K22" s="385"/>
      <c r="L22" s="385"/>
      <c r="M22" s="385"/>
      <c r="N22" s="385"/>
      <c r="O22" s="385"/>
      <c r="P22" s="385"/>
      <c r="Q22" s="385"/>
      <c r="R22" s="385"/>
      <c r="S22" s="385"/>
      <c r="T22" s="385"/>
      <c r="U22" s="385"/>
      <c r="V22" s="385"/>
      <c r="W22" s="385"/>
      <c r="X22" s="385"/>
      <c r="Y22" s="385"/>
      <c r="Z22" s="385"/>
      <c r="AA22" s="385"/>
      <c r="AB22" s="809"/>
      <c r="AC22" s="798"/>
      <c r="AD22" s="798"/>
      <c r="AE22" s="798"/>
      <c r="AF22" s="798"/>
      <c r="AG22" s="799"/>
      <c r="AH22" s="799"/>
      <c r="AI22" s="799"/>
      <c r="AJ22" s="799"/>
      <c r="AK22" s="799"/>
      <c r="AL22" s="799"/>
      <c r="AM22" s="799"/>
      <c r="AN22" s="799"/>
      <c r="AO22" s="799"/>
      <c r="AP22" s="799"/>
      <c r="AQ22" s="799"/>
      <c r="AR22" s="799"/>
      <c r="AS22" s="799"/>
      <c r="AT22" s="799"/>
      <c r="AU22" s="799"/>
      <c r="AV22" s="799"/>
      <c r="AW22" s="799"/>
      <c r="AX22" s="799"/>
      <c r="AY22" s="799"/>
      <c r="AZ22" s="799"/>
      <c r="BA22" s="799"/>
      <c r="BB22" s="799"/>
      <c r="BC22" s="799"/>
      <c r="BD22" s="799"/>
      <c r="BE22" s="799"/>
      <c r="BF22" s="799"/>
      <c r="BG22" s="799"/>
      <c r="BH22" s="799"/>
      <c r="BI22" s="799"/>
      <c r="BJ22" s="799"/>
      <c r="BK22" s="799"/>
      <c r="BL22" s="799"/>
      <c r="BM22" s="799"/>
      <c r="BN22" s="799"/>
      <c r="BO22" s="799"/>
      <c r="BP22" s="799"/>
      <c r="BQ22" s="799"/>
      <c r="BR22" s="799"/>
      <c r="BS22" s="799"/>
      <c r="BT22" s="799"/>
      <c r="BU22" s="799"/>
      <c r="BV22" s="799"/>
      <c r="BW22" s="799"/>
      <c r="BX22" s="799"/>
      <c r="BY22" s="799"/>
      <c r="BZ22" s="799"/>
      <c r="CA22" s="799"/>
      <c r="CB22" s="799"/>
      <c r="CC22" s="799"/>
      <c r="CD22" s="799"/>
      <c r="CE22" s="799"/>
      <c r="CF22" s="799"/>
      <c r="CG22" s="799"/>
      <c r="CH22" s="799"/>
      <c r="CI22" s="799"/>
      <c r="CJ22" s="799"/>
      <c r="CK22" s="799"/>
      <c r="CL22" s="799"/>
      <c r="CM22" s="799"/>
      <c r="CN22" s="799"/>
      <c r="CO22" s="799"/>
      <c r="CP22" s="799"/>
      <c r="CQ22" s="799"/>
      <c r="CR22" s="799"/>
      <c r="CS22" s="799"/>
      <c r="CT22" s="799"/>
      <c r="CU22" s="799"/>
      <c r="CV22" s="799"/>
      <c r="CW22" s="799"/>
      <c r="CX22" s="799"/>
      <c r="CY22" s="799"/>
      <c r="CZ22" s="799"/>
      <c r="DA22" s="799"/>
      <c r="DB22" s="799"/>
      <c r="DC22" s="799"/>
      <c r="DD22" s="799"/>
      <c r="DE22" s="799"/>
      <c r="DF22" s="799"/>
      <c r="DG22" s="799"/>
      <c r="DH22" s="799"/>
      <c r="DI22" s="799"/>
      <c r="DJ22" s="799"/>
      <c r="DK22" s="799"/>
      <c r="DL22" s="799"/>
      <c r="DM22" s="799"/>
      <c r="DN22" s="799"/>
      <c r="DO22" s="799"/>
      <c r="DP22" s="799"/>
      <c r="DQ22" s="799"/>
      <c r="DR22" s="799"/>
      <c r="DS22" s="799"/>
      <c r="DT22" s="799"/>
      <c r="DU22" s="799"/>
      <c r="DV22" s="799"/>
      <c r="DW22" s="799"/>
      <c r="DX22" s="799"/>
      <c r="DY22" s="799"/>
      <c r="DZ22" s="799"/>
      <c r="EA22" s="799"/>
      <c r="EB22" s="799"/>
      <c r="EC22" s="799"/>
      <c r="ED22" s="799"/>
      <c r="EE22" s="799"/>
      <c r="EF22" s="799"/>
      <c r="EG22" s="799"/>
      <c r="EH22" s="799"/>
      <c r="EI22" s="799"/>
      <c r="EJ22" s="799"/>
      <c r="EK22" s="799"/>
      <c r="EL22" s="799"/>
      <c r="EM22" s="799"/>
      <c r="EN22" s="799"/>
      <c r="EO22" s="799"/>
      <c r="EP22" s="799"/>
      <c r="EQ22" s="799"/>
      <c r="ER22" s="799"/>
      <c r="ES22" s="799"/>
      <c r="ET22" s="799"/>
      <c r="EU22" s="799"/>
      <c r="EV22" s="799"/>
      <c r="EW22" s="799"/>
      <c r="EX22" s="799"/>
      <c r="EY22" s="799"/>
      <c r="EZ22" s="799"/>
      <c r="FA22" s="799"/>
      <c r="FB22" s="799"/>
      <c r="FC22" s="799"/>
      <c r="FD22" s="799"/>
      <c r="FE22" s="799"/>
      <c r="FF22" s="799"/>
      <c r="FG22" s="799"/>
      <c r="FH22" s="799"/>
      <c r="FI22" s="799"/>
      <c r="FJ22" s="799"/>
      <c r="FK22" s="799"/>
      <c r="FL22" s="799"/>
      <c r="FM22" s="799"/>
      <c r="FN22" s="799"/>
      <c r="FO22" s="799"/>
      <c r="FP22" s="799"/>
      <c r="FQ22" s="799"/>
      <c r="FR22" s="799"/>
      <c r="FS22" s="799"/>
      <c r="FT22" s="799"/>
      <c r="FU22" s="799"/>
      <c r="FV22" s="799"/>
      <c r="FW22" s="799"/>
      <c r="FX22" s="799"/>
      <c r="FY22" s="799"/>
      <c r="FZ22" s="799"/>
      <c r="GA22" s="799"/>
      <c r="GB22" s="799"/>
      <c r="GC22" s="799"/>
      <c r="GD22" s="799"/>
      <c r="GE22" s="799"/>
      <c r="GF22" s="799"/>
      <c r="GG22" s="799"/>
      <c r="GH22" s="799"/>
      <c r="GI22" s="799"/>
      <c r="GJ22" s="799"/>
      <c r="GK22" s="799"/>
      <c r="GL22" s="799"/>
      <c r="GM22" s="799"/>
      <c r="GN22" s="799"/>
      <c r="GO22" s="799"/>
      <c r="GP22" s="799"/>
      <c r="GQ22" s="799"/>
      <c r="GR22" s="799"/>
      <c r="GS22" s="799"/>
      <c r="GT22" s="799"/>
      <c r="GU22" s="799"/>
      <c r="GV22" s="799"/>
      <c r="GW22" s="799"/>
      <c r="GX22" s="799"/>
      <c r="GY22" s="799"/>
      <c r="GZ22" s="799"/>
      <c r="HA22" s="799"/>
      <c r="HB22" s="799"/>
      <c r="HC22" s="799"/>
      <c r="HD22" s="799"/>
      <c r="HE22" s="799"/>
      <c r="HF22" s="799"/>
      <c r="HG22" s="799"/>
      <c r="HH22" s="799"/>
      <c r="HI22" s="799"/>
      <c r="HJ22" s="799"/>
      <c r="HK22" s="799"/>
      <c r="HL22" s="799"/>
      <c r="HM22" s="799"/>
      <c r="HN22" s="799"/>
      <c r="HO22" s="799"/>
      <c r="HP22" s="799"/>
      <c r="HQ22" s="799"/>
      <c r="HR22" s="799"/>
      <c r="HS22" s="799"/>
      <c r="HT22" s="799"/>
      <c r="HU22" s="799"/>
      <c r="HV22" s="799"/>
      <c r="HW22" s="799"/>
      <c r="HX22" s="799"/>
      <c r="HY22" s="799"/>
      <c r="HZ22" s="799"/>
      <c r="IA22" s="799"/>
      <c r="IB22" s="799"/>
      <c r="IC22" s="799"/>
      <c r="ID22" s="799"/>
      <c r="IE22" s="799"/>
      <c r="IF22" s="799"/>
      <c r="IG22" s="799"/>
      <c r="IH22" s="799"/>
      <c r="II22" s="799"/>
      <c r="IJ22" s="799"/>
      <c r="IK22" s="799"/>
      <c r="IL22" s="799"/>
      <c r="IM22" s="799"/>
      <c r="IN22" s="799"/>
      <c r="IO22" s="799"/>
      <c r="IP22" s="799"/>
      <c r="IQ22" s="799"/>
      <c r="IR22" s="799"/>
    </row>
    <row r="23" customFormat="false" ht="12" hidden="false" customHeight="true" outlineLevel="0" collapsed="false">
      <c r="A23" s="720" t="s">
        <v>606</v>
      </c>
      <c r="B23" s="385"/>
      <c r="C23" s="385"/>
      <c r="D23" s="721" t="n">
        <f aca="false">D21</f>
        <v>-6100.64479883143</v>
      </c>
      <c r="E23" s="721" t="n">
        <f aca="false">E21</f>
        <v>-4246.98893108505</v>
      </c>
      <c r="F23" s="721" t="n">
        <f aca="false">F21</f>
        <v>-2328.99724808696</v>
      </c>
      <c r="G23" s="721" t="n">
        <f aca="false">G21</f>
        <v>4599.6246168509</v>
      </c>
      <c r="H23" s="721" t="n">
        <f aca="false">H21</f>
        <v>10484.3647827717</v>
      </c>
      <c r="I23" s="721" t="n">
        <f aca="false">I21</f>
        <v>12638.6842142443</v>
      </c>
      <c r="J23" s="721" t="n">
        <f aca="false">J21</f>
        <v>14078.6150579851</v>
      </c>
      <c r="K23" s="721" t="n">
        <f aca="false">K21</f>
        <v>15489.7652888113</v>
      </c>
      <c r="L23" s="721" t="n">
        <f aca="false">L21</f>
        <v>16264.4977993521</v>
      </c>
      <c r="M23" s="721" t="n">
        <f aca="false">M21</f>
        <v>18010.0018172319</v>
      </c>
      <c r="N23" s="721" t="n">
        <f aca="false">N21</f>
        <v>19283.8709233062</v>
      </c>
      <c r="O23" s="721" t="n">
        <f aca="false">O21</f>
        <v>20531.5075586769</v>
      </c>
      <c r="P23" s="721" t="n">
        <f aca="false">P21</f>
        <v>21114.9655548081</v>
      </c>
      <c r="Q23" s="721" t="n">
        <f aca="false">Q21</f>
        <v>21648.7385928069</v>
      </c>
      <c r="R23" s="721" t="n">
        <f aca="false">R21</f>
        <v>22200.4340811817</v>
      </c>
      <c r="S23" s="721" t="n">
        <f aca="false">S21</f>
        <v>27789.3991408248</v>
      </c>
      <c r="T23" s="721" t="n">
        <f aca="false">T21</f>
        <v>33359.3929273295</v>
      </c>
      <c r="U23" s="721" t="n">
        <f aca="false">U21</f>
        <v>34125.7543880229</v>
      </c>
      <c r="V23" s="721" t="n">
        <f aca="false">V21</f>
        <v>34985.9279499855</v>
      </c>
      <c r="W23" s="721" t="n">
        <f aca="false">W21</f>
        <v>35996.2073976332</v>
      </c>
      <c r="X23" s="721" t="n">
        <f aca="false">X21</f>
        <v>13553.1071950229</v>
      </c>
      <c r="Y23" s="721" t="n">
        <f aca="false">Y21</f>
        <v>0</v>
      </c>
      <c r="Z23" s="721" t="n">
        <f aca="false">Z21</f>
        <v>0</v>
      </c>
      <c r="AA23" s="721" t="n">
        <f aca="false">AA21</f>
        <v>0</v>
      </c>
      <c r="AB23" s="722" t="n">
        <f aca="false">AB21</f>
        <v>0</v>
      </c>
      <c r="AC23" s="726"/>
      <c r="AD23" s="726"/>
    </row>
    <row r="24" customFormat="false" ht="12" hidden="false" customHeight="true" outlineLevel="0" collapsed="false">
      <c r="A24" s="720" t="s">
        <v>607</v>
      </c>
      <c r="B24" s="385"/>
      <c r="C24" s="385"/>
      <c r="D24" s="800" t="n">
        <f aca="false">IF(D$3&gt;'Project Assumptions'!$I$15,0,'Project Assumptions'!$N$63)</f>
        <v>0.0825</v>
      </c>
      <c r="E24" s="800" t="n">
        <f aca="false">IF(E$3&gt;'Project Assumptions'!$I$15,0,'Project Assumptions'!$N$63)</f>
        <v>0.0825</v>
      </c>
      <c r="F24" s="800" t="n">
        <f aca="false">IF(F$3&gt;'Project Assumptions'!$I$15,0,'Project Assumptions'!$N$63)</f>
        <v>0.0825</v>
      </c>
      <c r="G24" s="800" t="n">
        <f aca="false">IF(G$3&gt;'Project Assumptions'!$I$15,0,'Project Assumptions'!$N$63)</f>
        <v>0.0825</v>
      </c>
      <c r="H24" s="800" t="n">
        <f aca="false">IF(H$3&gt;'Project Assumptions'!$I$15,0,'Project Assumptions'!$N$63)</f>
        <v>0.0825</v>
      </c>
      <c r="I24" s="800" t="n">
        <f aca="false">IF(I$3&gt;'Project Assumptions'!$I$15,0,'Project Assumptions'!$N$63)</f>
        <v>0.0825</v>
      </c>
      <c r="J24" s="800" t="n">
        <f aca="false">IF(J$3&gt;'Project Assumptions'!$I$15,0,'Project Assumptions'!$N$63)</f>
        <v>0.0825</v>
      </c>
      <c r="K24" s="800" t="n">
        <f aca="false">IF(K$3&gt;'Project Assumptions'!$I$15,0,'Project Assumptions'!$N$63)</f>
        <v>0.0825</v>
      </c>
      <c r="L24" s="800" t="n">
        <f aca="false">IF(L$3&gt;'Project Assumptions'!$I$15,0,'Project Assumptions'!$N$63)</f>
        <v>0.0825</v>
      </c>
      <c r="M24" s="800" t="n">
        <f aca="false">IF(M$3&gt;'Project Assumptions'!$I$15,0,'Project Assumptions'!$N$63)</f>
        <v>0.0825</v>
      </c>
      <c r="N24" s="800" t="n">
        <f aca="false">IF(N$3&gt;'Project Assumptions'!$I$15,0,'Project Assumptions'!$N$63)</f>
        <v>0.0825</v>
      </c>
      <c r="O24" s="800" t="n">
        <f aca="false">IF(O$3&gt;'Project Assumptions'!$I$15,0,'Project Assumptions'!$N$63)</f>
        <v>0.0825</v>
      </c>
      <c r="P24" s="800" t="n">
        <f aca="false">IF(P$3&gt;'Project Assumptions'!$I$15,0,'Project Assumptions'!$N$63)</f>
        <v>0.0825</v>
      </c>
      <c r="Q24" s="800" t="n">
        <f aca="false">IF(Q$3&gt;'Project Assumptions'!$I$15,0,'Project Assumptions'!$N$63)</f>
        <v>0.0825</v>
      </c>
      <c r="R24" s="800" t="n">
        <f aca="false">IF(R$3&gt;'Project Assumptions'!$I$15,0,'Project Assumptions'!$N$63)</f>
        <v>0.0825</v>
      </c>
      <c r="S24" s="800" t="n">
        <f aca="false">IF(S$3&gt;'Project Assumptions'!$I$15,0,'Project Assumptions'!$N$63)</f>
        <v>0.0825</v>
      </c>
      <c r="T24" s="800" t="n">
        <f aca="false">IF(T$3&gt;'Project Assumptions'!$I$15,0,'Project Assumptions'!$N$63)</f>
        <v>0.0825</v>
      </c>
      <c r="U24" s="800" t="n">
        <f aca="false">IF(U$3&gt;'Project Assumptions'!$I$15,0,'Project Assumptions'!$N$63)</f>
        <v>0.0825</v>
      </c>
      <c r="V24" s="800" t="n">
        <f aca="false">IF(V$3&gt;'Project Assumptions'!$I$15,0,'Project Assumptions'!$N$63)</f>
        <v>0.0825</v>
      </c>
      <c r="W24" s="800" t="n">
        <f aca="false">IF(W$3&gt;'Project Assumptions'!$I$15,0,'Project Assumptions'!$N$63)</f>
        <v>0.0825</v>
      </c>
      <c r="X24" s="800" t="n">
        <f aca="false">IF(X$3&gt;'Project Assumptions'!$I$15+1,0,'Project Assumptions'!$N$63)</f>
        <v>0.0825</v>
      </c>
      <c r="Y24" s="800" t="n">
        <f aca="false">IF(Y$3&gt;'Project Assumptions'!$I$15,0,'Project Assumptions'!$N$63)</f>
        <v>0</v>
      </c>
      <c r="Z24" s="800" t="n">
        <f aca="false">IF(Z$3&gt;'Project Assumptions'!$I$15,0,'Project Assumptions'!$N$63)</f>
        <v>0</v>
      </c>
      <c r="AA24" s="800" t="n">
        <f aca="false">IF(AA$3&gt;'Project Assumptions'!$I$15,0,'Project Assumptions'!$N$63)</f>
        <v>0</v>
      </c>
      <c r="AB24" s="801" t="n">
        <f aca="false">IF(AB$3&gt;'Project Assumptions'!$I$15,0,'Project Assumptions'!$N$63)</f>
        <v>0</v>
      </c>
      <c r="AC24" s="385"/>
      <c r="AD24" s="798"/>
      <c r="AE24" s="798"/>
      <c r="AF24" s="798"/>
      <c r="AG24" s="799"/>
      <c r="AH24" s="799"/>
      <c r="AI24" s="799"/>
      <c r="AJ24" s="799"/>
      <c r="AK24" s="799"/>
      <c r="AL24" s="799"/>
      <c r="AM24" s="799"/>
      <c r="AN24" s="799"/>
      <c r="AO24" s="799"/>
      <c r="AP24" s="799"/>
      <c r="AQ24" s="799"/>
      <c r="AR24" s="799"/>
      <c r="AS24" s="799"/>
      <c r="AT24" s="799"/>
      <c r="AU24" s="799"/>
      <c r="AV24" s="799"/>
      <c r="AW24" s="799"/>
      <c r="AX24" s="799"/>
      <c r="AY24" s="799"/>
      <c r="AZ24" s="799"/>
      <c r="BA24" s="799"/>
      <c r="BB24" s="799"/>
      <c r="BC24" s="799"/>
      <c r="BD24" s="799"/>
      <c r="BE24" s="799"/>
      <c r="BF24" s="799"/>
      <c r="BG24" s="799"/>
      <c r="BH24" s="799"/>
      <c r="BI24" s="799"/>
      <c r="BJ24" s="799"/>
      <c r="BK24" s="799"/>
      <c r="BL24" s="799"/>
      <c r="BM24" s="799"/>
      <c r="BN24" s="799"/>
      <c r="BO24" s="799"/>
      <c r="BP24" s="799"/>
      <c r="BQ24" s="799"/>
      <c r="BR24" s="799"/>
      <c r="BS24" s="799"/>
      <c r="BT24" s="799"/>
      <c r="BU24" s="799"/>
      <c r="BV24" s="799"/>
      <c r="BW24" s="799"/>
      <c r="BX24" s="799"/>
      <c r="BY24" s="799"/>
      <c r="BZ24" s="799"/>
      <c r="CA24" s="799"/>
      <c r="CB24" s="799"/>
      <c r="CC24" s="799"/>
      <c r="CD24" s="799"/>
      <c r="CE24" s="799"/>
      <c r="CF24" s="799"/>
      <c r="CG24" s="799"/>
      <c r="CH24" s="799"/>
      <c r="CI24" s="799"/>
      <c r="CJ24" s="799"/>
      <c r="CK24" s="799"/>
      <c r="CL24" s="799"/>
      <c r="CM24" s="799"/>
      <c r="CN24" s="799"/>
      <c r="CO24" s="799"/>
      <c r="CP24" s="799"/>
      <c r="CQ24" s="799"/>
      <c r="CR24" s="799"/>
      <c r="CS24" s="799"/>
      <c r="CT24" s="799"/>
      <c r="CU24" s="799"/>
      <c r="CV24" s="799"/>
      <c r="CW24" s="799"/>
      <c r="CX24" s="799"/>
      <c r="CY24" s="799"/>
      <c r="CZ24" s="799"/>
      <c r="DA24" s="799"/>
      <c r="DB24" s="799"/>
      <c r="DC24" s="799"/>
      <c r="DD24" s="799"/>
      <c r="DE24" s="799"/>
      <c r="DF24" s="799"/>
      <c r="DG24" s="799"/>
      <c r="DH24" s="799"/>
      <c r="DI24" s="799"/>
      <c r="DJ24" s="799"/>
      <c r="DK24" s="799"/>
      <c r="DL24" s="799"/>
      <c r="DM24" s="799"/>
      <c r="DN24" s="799"/>
      <c r="DO24" s="799"/>
      <c r="DP24" s="799"/>
      <c r="DQ24" s="799"/>
      <c r="DR24" s="799"/>
      <c r="DS24" s="799"/>
      <c r="DT24" s="799"/>
      <c r="DU24" s="799"/>
      <c r="DV24" s="799"/>
      <c r="DW24" s="799"/>
      <c r="DX24" s="799"/>
      <c r="DY24" s="799"/>
      <c r="DZ24" s="799"/>
      <c r="EA24" s="799"/>
      <c r="EB24" s="799"/>
      <c r="EC24" s="799"/>
      <c r="ED24" s="799"/>
      <c r="EE24" s="799"/>
      <c r="EF24" s="799"/>
      <c r="EG24" s="799"/>
      <c r="EH24" s="799"/>
      <c r="EI24" s="799"/>
      <c r="EJ24" s="799"/>
      <c r="EK24" s="799"/>
      <c r="EL24" s="799"/>
      <c r="EM24" s="799"/>
      <c r="EN24" s="799"/>
      <c r="EO24" s="799"/>
      <c r="EP24" s="799"/>
      <c r="EQ24" s="799"/>
      <c r="ER24" s="799"/>
      <c r="ES24" s="799"/>
      <c r="ET24" s="799"/>
      <c r="EU24" s="799"/>
      <c r="EV24" s="799"/>
      <c r="EW24" s="799"/>
      <c r="EX24" s="799"/>
      <c r="EY24" s="799"/>
      <c r="EZ24" s="799"/>
      <c r="FA24" s="799"/>
      <c r="FB24" s="799"/>
      <c r="FC24" s="799"/>
      <c r="FD24" s="799"/>
      <c r="FE24" s="799"/>
      <c r="FF24" s="799"/>
      <c r="FG24" s="799"/>
      <c r="FH24" s="799"/>
      <c r="FI24" s="799"/>
      <c r="FJ24" s="799"/>
      <c r="FK24" s="799"/>
      <c r="FL24" s="799"/>
      <c r="FM24" s="799"/>
      <c r="FN24" s="799"/>
      <c r="FO24" s="799"/>
      <c r="FP24" s="799"/>
      <c r="FQ24" s="799"/>
      <c r="FR24" s="799"/>
      <c r="FS24" s="799"/>
      <c r="FT24" s="799"/>
      <c r="FU24" s="799"/>
      <c r="FV24" s="799"/>
      <c r="FW24" s="799"/>
      <c r="FX24" s="799"/>
      <c r="FY24" s="799"/>
      <c r="FZ24" s="799"/>
      <c r="GA24" s="799"/>
      <c r="GB24" s="799"/>
      <c r="GC24" s="799"/>
      <c r="GD24" s="799"/>
      <c r="GE24" s="799"/>
      <c r="GF24" s="799"/>
      <c r="GG24" s="799"/>
      <c r="GH24" s="799"/>
      <c r="GI24" s="799"/>
      <c r="GJ24" s="799"/>
      <c r="GK24" s="799"/>
      <c r="GL24" s="799"/>
      <c r="GM24" s="799"/>
      <c r="GN24" s="799"/>
      <c r="GO24" s="799"/>
      <c r="GP24" s="799"/>
      <c r="GQ24" s="799"/>
      <c r="GR24" s="799"/>
      <c r="GS24" s="799"/>
      <c r="GT24" s="799"/>
      <c r="GU24" s="799"/>
      <c r="GV24" s="799"/>
      <c r="GW24" s="799"/>
      <c r="GX24" s="799"/>
      <c r="GY24" s="799"/>
      <c r="GZ24" s="799"/>
      <c r="HA24" s="799"/>
      <c r="HB24" s="799"/>
      <c r="HC24" s="799"/>
      <c r="HD24" s="799"/>
      <c r="HE24" s="799"/>
      <c r="HF24" s="799"/>
      <c r="HG24" s="799"/>
      <c r="HH24" s="799"/>
      <c r="HI24" s="799"/>
      <c r="HJ24" s="799"/>
      <c r="HK24" s="799"/>
      <c r="HL24" s="799"/>
      <c r="HM24" s="799"/>
      <c r="HN24" s="799"/>
      <c r="HO24" s="799"/>
      <c r="HP24" s="799"/>
      <c r="HQ24" s="799"/>
      <c r="HR24" s="799"/>
      <c r="HS24" s="799"/>
      <c r="HT24" s="799"/>
      <c r="HU24" s="799"/>
      <c r="HV24" s="799"/>
      <c r="HW24" s="799"/>
      <c r="HX24" s="799"/>
      <c r="HY24" s="799"/>
      <c r="HZ24" s="799"/>
      <c r="IA24" s="799"/>
      <c r="IB24" s="799"/>
      <c r="IC24" s="799"/>
      <c r="ID24" s="799"/>
      <c r="IE24" s="799"/>
      <c r="IF24" s="799"/>
      <c r="IG24" s="799"/>
      <c r="IH24" s="799"/>
      <c r="II24" s="799"/>
      <c r="IJ24" s="799"/>
      <c r="IK24" s="799"/>
      <c r="IL24" s="799"/>
      <c r="IM24" s="799"/>
      <c r="IN24" s="799"/>
      <c r="IO24" s="799"/>
      <c r="IP24" s="799"/>
      <c r="IQ24" s="799"/>
      <c r="IR24" s="799"/>
      <c r="IS24" s="799"/>
      <c r="IT24" s="799"/>
    </row>
    <row r="25" customFormat="false" ht="12" hidden="false" customHeight="true" outlineLevel="0" collapsed="false">
      <c r="A25" s="720" t="s">
        <v>608</v>
      </c>
      <c r="B25" s="30"/>
      <c r="C25" s="31"/>
      <c r="D25" s="30" t="n">
        <f aca="false">D23*D24</f>
        <v>-503.303195903593</v>
      </c>
      <c r="E25" s="30" t="n">
        <f aca="false">E23*E24</f>
        <v>-350.376586814516</v>
      </c>
      <c r="F25" s="30" t="n">
        <f aca="false">F23*F24</f>
        <v>-192.142272967174</v>
      </c>
      <c r="G25" s="30" t="n">
        <f aca="false">G23*G24</f>
        <v>379.4690308902</v>
      </c>
      <c r="H25" s="30" t="n">
        <f aca="false">H23*H24</f>
        <v>864.960094578666</v>
      </c>
      <c r="I25" s="30" t="n">
        <f aca="false">I23*I24</f>
        <v>1042.69144767515</v>
      </c>
      <c r="J25" s="30" t="n">
        <f aca="false">J23*J24</f>
        <v>1161.48574228377</v>
      </c>
      <c r="K25" s="30" t="n">
        <f aca="false">K23*K24</f>
        <v>1277.90563632693</v>
      </c>
      <c r="L25" s="30" t="n">
        <f aca="false">L23*L24</f>
        <v>1341.82106844655</v>
      </c>
      <c r="M25" s="30" t="n">
        <f aca="false">M23*M24</f>
        <v>1485.82514992163</v>
      </c>
      <c r="N25" s="30" t="n">
        <f aca="false">N23*N24</f>
        <v>1590.91935117276</v>
      </c>
      <c r="O25" s="30" t="n">
        <f aca="false">O23*O24</f>
        <v>1693.84937359084</v>
      </c>
      <c r="P25" s="30" t="n">
        <f aca="false">P23*P24</f>
        <v>1741.98465827167</v>
      </c>
      <c r="Q25" s="30" t="n">
        <f aca="false">Q23*Q24</f>
        <v>1786.02093390657</v>
      </c>
      <c r="R25" s="30" t="n">
        <f aca="false">R23*R24</f>
        <v>1831.53581169749</v>
      </c>
      <c r="S25" s="30" t="n">
        <f aca="false">S23*S24</f>
        <v>2292.62542911805</v>
      </c>
      <c r="T25" s="30" t="n">
        <f aca="false">T23*T24</f>
        <v>2752.14991650468</v>
      </c>
      <c r="U25" s="30" t="n">
        <f aca="false">U23*U24</f>
        <v>2815.37473701189</v>
      </c>
      <c r="V25" s="30" t="n">
        <f aca="false">V23*V24</f>
        <v>2886.3390558738</v>
      </c>
      <c r="W25" s="30" t="n">
        <f aca="false">W23*W24</f>
        <v>2969.68711030474</v>
      </c>
      <c r="X25" s="30" t="n">
        <f aca="false">X23*X24</f>
        <v>1118.13134358939</v>
      </c>
      <c r="Y25" s="30" t="n">
        <f aca="false">Y23*Y24</f>
        <v>0</v>
      </c>
      <c r="Z25" s="30" t="n">
        <f aca="false">Z23*Z24</f>
        <v>0</v>
      </c>
      <c r="AA25" s="30" t="n">
        <f aca="false">AA23*AA24</f>
        <v>0</v>
      </c>
      <c r="AB25" s="437" t="n">
        <f aca="false">AB23*AB24</f>
        <v>0</v>
      </c>
      <c r="AC25" s="30"/>
      <c r="AD25" s="30"/>
      <c r="AE25" s="30"/>
      <c r="AF25" s="30"/>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c r="BX25" s="31"/>
      <c r="BY25" s="31"/>
      <c r="BZ25" s="31"/>
      <c r="CA25" s="31"/>
      <c r="CB25" s="31"/>
      <c r="CC25" s="31"/>
      <c r="CD25" s="31"/>
      <c r="CE25" s="31"/>
      <c r="CF25" s="31"/>
      <c r="CG25" s="31"/>
      <c r="CH25" s="31"/>
      <c r="CI25" s="31"/>
      <c r="CJ25" s="31"/>
      <c r="CK25" s="31"/>
      <c r="CL25" s="31"/>
      <c r="CM25" s="31"/>
      <c r="CN25" s="31"/>
      <c r="CO25" s="31"/>
      <c r="CP25" s="31"/>
      <c r="CQ25" s="31"/>
      <c r="CR25" s="31"/>
      <c r="CS25" s="31"/>
      <c r="CT25" s="31"/>
      <c r="CU25" s="31"/>
      <c r="CV25" s="31"/>
      <c r="CW25" s="31"/>
      <c r="CX25" s="31"/>
      <c r="CY25" s="31"/>
      <c r="CZ25" s="31"/>
      <c r="DA25" s="31"/>
      <c r="DB25" s="31"/>
      <c r="DC25" s="31"/>
      <c r="DD25" s="31"/>
      <c r="DE25" s="31"/>
      <c r="DF25" s="31"/>
      <c r="DG25" s="31"/>
      <c r="DH25" s="31"/>
      <c r="DI25" s="31"/>
      <c r="DJ25" s="31"/>
      <c r="DK25" s="31"/>
      <c r="DL25" s="31"/>
      <c r="DM25" s="31"/>
      <c r="DN25" s="31"/>
      <c r="DO25" s="31"/>
      <c r="DP25" s="31"/>
      <c r="DQ25" s="31"/>
      <c r="DR25" s="31"/>
      <c r="DS25" s="31"/>
      <c r="DT25" s="31"/>
      <c r="DU25" s="31"/>
      <c r="DV25" s="31"/>
      <c r="DW25" s="31"/>
      <c r="DX25" s="31"/>
      <c r="DY25" s="31"/>
      <c r="DZ25" s="31"/>
      <c r="EA25" s="31"/>
      <c r="EB25" s="31"/>
      <c r="EC25" s="31"/>
      <c r="ED25" s="31"/>
      <c r="EE25" s="31"/>
      <c r="EF25" s="31"/>
      <c r="EG25" s="31"/>
      <c r="EH25" s="31"/>
      <c r="EI25" s="31"/>
      <c r="EJ25" s="31"/>
      <c r="EK25" s="31"/>
      <c r="EL25" s="31"/>
      <c r="EM25" s="31"/>
      <c r="EN25" s="31"/>
      <c r="EO25" s="31"/>
      <c r="EP25" s="31"/>
      <c r="EQ25" s="31"/>
      <c r="ER25" s="31"/>
      <c r="ES25" s="31"/>
      <c r="ET25" s="31"/>
      <c r="EU25" s="31"/>
      <c r="EV25" s="31"/>
      <c r="EW25" s="31"/>
      <c r="EX25" s="31"/>
      <c r="EY25" s="31"/>
      <c r="EZ25" s="31"/>
      <c r="FA25" s="31"/>
      <c r="FB25" s="31"/>
      <c r="FC25" s="31"/>
      <c r="FD25" s="31"/>
      <c r="FE25" s="31"/>
      <c r="FF25" s="31"/>
      <c r="FG25" s="31"/>
      <c r="FH25" s="31"/>
      <c r="FI25" s="31"/>
      <c r="FJ25" s="31"/>
      <c r="FK25" s="31"/>
      <c r="FL25" s="31"/>
      <c r="FM25" s="31"/>
      <c r="FN25" s="31"/>
      <c r="FO25" s="31"/>
      <c r="FP25" s="31"/>
      <c r="FQ25" s="31"/>
      <c r="FR25" s="31"/>
      <c r="FS25" s="31"/>
      <c r="FT25" s="31"/>
      <c r="FU25" s="31"/>
      <c r="FV25" s="31"/>
      <c r="FW25" s="31"/>
      <c r="FX25" s="31"/>
      <c r="FY25" s="31"/>
      <c r="FZ25" s="31"/>
      <c r="GA25" s="31"/>
      <c r="GB25" s="31"/>
      <c r="GC25" s="31"/>
      <c r="GD25" s="31"/>
      <c r="GE25" s="31"/>
      <c r="GF25" s="31"/>
      <c r="GG25" s="31"/>
      <c r="GH25" s="31"/>
      <c r="GI25" s="31"/>
      <c r="GJ25" s="31"/>
      <c r="GK25" s="31"/>
      <c r="GL25" s="31"/>
      <c r="GM25" s="31"/>
      <c r="GN25" s="31"/>
      <c r="GO25" s="31"/>
      <c r="GP25" s="31"/>
      <c r="GQ25" s="31"/>
      <c r="GR25" s="31"/>
      <c r="GS25" s="31"/>
      <c r="GT25" s="31"/>
      <c r="GU25" s="31"/>
      <c r="GV25" s="31"/>
      <c r="GW25" s="31"/>
      <c r="GX25" s="31"/>
      <c r="GY25" s="31"/>
      <c r="GZ25" s="31"/>
      <c r="HA25" s="31"/>
      <c r="HB25" s="31"/>
      <c r="HC25" s="31"/>
      <c r="HD25" s="31"/>
      <c r="HE25" s="31"/>
      <c r="HF25" s="31"/>
      <c r="HG25" s="31"/>
      <c r="HH25" s="31"/>
      <c r="HI25" s="31"/>
      <c r="HJ25" s="31"/>
      <c r="HK25" s="31"/>
      <c r="HL25" s="31"/>
      <c r="HM25" s="31"/>
      <c r="HN25" s="31"/>
      <c r="HO25" s="31"/>
      <c r="HP25" s="31"/>
      <c r="HQ25" s="31"/>
      <c r="HR25" s="31"/>
      <c r="HS25" s="31"/>
      <c r="HT25" s="31"/>
      <c r="HU25" s="31"/>
      <c r="HV25" s="31"/>
      <c r="HW25" s="31"/>
      <c r="HX25" s="31"/>
      <c r="HY25" s="31"/>
      <c r="HZ25" s="31"/>
      <c r="IA25" s="31"/>
      <c r="IB25" s="31"/>
      <c r="IC25" s="31"/>
      <c r="ID25" s="31"/>
      <c r="IE25" s="31"/>
      <c r="IF25" s="31"/>
      <c r="IG25" s="31"/>
      <c r="IH25" s="31"/>
      <c r="II25" s="31"/>
      <c r="IJ25" s="31"/>
      <c r="IK25" s="31"/>
      <c r="IL25" s="31"/>
      <c r="IM25" s="31"/>
      <c r="IN25" s="31"/>
      <c r="IO25" s="31"/>
      <c r="IP25" s="31"/>
      <c r="IQ25" s="31"/>
      <c r="IR25" s="31"/>
      <c r="IS25" s="31"/>
      <c r="IT25" s="31"/>
      <c r="IU25" s="31"/>
      <c r="IV25" s="31"/>
      <c r="IW25" s="31"/>
    </row>
    <row r="26" customFormat="false" ht="12" hidden="false" customHeight="true" outlineLevel="0" collapsed="false">
      <c r="A26" s="720"/>
      <c r="B26" s="385"/>
      <c r="C26" s="32"/>
      <c r="D26" s="746"/>
      <c r="E26" s="746"/>
      <c r="F26" s="746"/>
      <c r="G26" s="746"/>
      <c r="H26" s="746"/>
      <c r="I26" s="746"/>
      <c r="J26" s="746"/>
      <c r="K26" s="746"/>
      <c r="L26" s="746"/>
      <c r="M26" s="746"/>
      <c r="N26" s="746"/>
      <c r="O26" s="746"/>
      <c r="P26" s="746"/>
      <c r="Q26" s="746"/>
      <c r="R26" s="746"/>
      <c r="S26" s="746"/>
      <c r="T26" s="746"/>
      <c r="U26" s="746"/>
      <c r="V26" s="746"/>
      <c r="W26" s="746"/>
      <c r="X26" s="746"/>
      <c r="Y26" s="746"/>
      <c r="Z26" s="746"/>
      <c r="AA26" s="746"/>
      <c r="AB26" s="805"/>
      <c r="AC26" s="385"/>
      <c r="AD26" s="385"/>
      <c r="AE26" s="798"/>
      <c r="AF26" s="798"/>
      <c r="AG26" s="799"/>
      <c r="AH26" s="799"/>
      <c r="AI26" s="799"/>
      <c r="AJ26" s="799"/>
      <c r="AK26" s="799"/>
      <c r="AL26" s="799"/>
      <c r="AM26" s="799"/>
      <c r="AN26" s="799"/>
      <c r="AO26" s="799"/>
      <c r="AP26" s="799"/>
      <c r="AQ26" s="799"/>
      <c r="AR26" s="799"/>
      <c r="AS26" s="799"/>
      <c r="AT26" s="799"/>
      <c r="AU26" s="799"/>
      <c r="AV26" s="799"/>
      <c r="AW26" s="799"/>
      <c r="AX26" s="799"/>
      <c r="AY26" s="799"/>
      <c r="AZ26" s="799"/>
      <c r="BA26" s="799"/>
      <c r="BB26" s="799"/>
      <c r="BC26" s="799"/>
      <c r="BD26" s="799"/>
      <c r="BE26" s="799"/>
      <c r="BF26" s="799"/>
      <c r="BG26" s="799"/>
      <c r="BH26" s="799"/>
      <c r="BI26" s="799"/>
      <c r="BJ26" s="799"/>
      <c r="BK26" s="799"/>
      <c r="BL26" s="799"/>
      <c r="BM26" s="799"/>
      <c r="BN26" s="799"/>
      <c r="BO26" s="799"/>
      <c r="BP26" s="799"/>
      <c r="BQ26" s="799"/>
      <c r="BR26" s="799"/>
      <c r="BS26" s="799"/>
      <c r="BT26" s="799"/>
      <c r="BU26" s="799"/>
      <c r="BV26" s="799"/>
      <c r="BW26" s="799"/>
      <c r="BX26" s="799"/>
      <c r="BY26" s="799"/>
      <c r="BZ26" s="799"/>
      <c r="CA26" s="799"/>
      <c r="CB26" s="799"/>
      <c r="CC26" s="799"/>
      <c r="CD26" s="799"/>
      <c r="CE26" s="799"/>
      <c r="CF26" s="799"/>
      <c r="CG26" s="799"/>
      <c r="CH26" s="799"/>
      <c r="CI26" s="799"/>
      <c r="CJ26" s="799"/>
      <c r="CK26" s="799"/>
      <c r="CL26" s="799"/>
      <c r="CM26" s="799"/>
      <c r="CN26" s="799"/>
      <c r="CO26" s="799"/>
      <c r="CP26" s="799"/>
      <c r="CQ26" s="799"/>
      <c r="CR26" s="799"/>
      <c r="CS26" s="799"/>
      <c r="CT26" s="799"/>
      <c r="CU26" s="799"/>
      <c r="CV26" s="799"/>
      <c r="CW26" s="799"/>
      <c r="CX26" s="799"/>
      <c r="CY26" s="799"/>
      <c r="CZ26" s="799"/>
      <c r="DA26" s="799"/>
      <c r="DB26" s="799"/>
      <c r="DC26" s="799"/>
      <c r="DD26" s="799"/>
      <c r="DE26" s="799"/>
      <c r="DF26" s="799"/>
      <c r="DG26" s="799"/>
      <c r="DH26" s="799"/>
      <c r="DI26" s="799"/>
      <c r="DJ26" s="799"/>
      <c r="DK26" s="799"/>
      <c r="DL26" s="799"/>
      <c r="DM26" s="799"/>
      <c r="DN26" s="799"/>
      <c r="DO26" s="799"/>
      <c r="DP26" s="799"/>
      <c r="DQ26" s="799"/>
      <c r="DR26" s="799"/>
      <c r="DS26" s="799"/>
      <c r="DT26" s="799"/>
      <c r="DU26" s="799"/>
      <c r="DV26" s="799"/>
      <c r="DW26" s="799"/>
      <c r="DX26" s="799"/>
      <c r="DY26" s="799"/>
      <c r="DZ26" s="799"/>
      <c r="EA26" s="799"/>
      <c r="EB26" s="799"/>
      <c r="EC26" s="799"/>
      <c r="ED26" s="799"/>
      <c r="EE26" s="799"/>
      <c r="EF26" s="799"/>
      <c r="EG26" s="799"/>
      <c r="EH26" s="799"/>
      <c r="EI26" s="799"/>
      <c r="EJ26" s="799"/>
      <c r="EK26" s="799"/>
      <c r="EL26" s="799"/>
      <c r="EM26" s="799"/>
      <c r="EN26" s="799"/>
      <c r="EO26" s="799"/>
      <c r="EP26" s="799"/>
      <c r="EQ26" s="799"/>
      <c r="ER26" s="799"/>
      <c r="ES26" s="799"/>
      <c r="ET26" s="799"/>
      <c r="EU26" s="799"/>
      <c r="EV26" s="799"/>
      <c r="EW26" s="799"/>
      <c r="EX26" s="799"/>
      <c r="EY26" s="799"/>
      <c r="EZ26" s="799"/>
      <c r="FA26" s="799"/>
      <c r="FB26" s="799"/>
      <c r="FC26" s="799"/>
      <c r="FD26" s="799"/>
      <c r="FE26" s="799"/>
      <c r="FF26" s="799"/>
      <c r="FG26" s="799"/>
      <c r="FH26" s="799"/>
      <c r="FI26" s="799"/>
      <c r="FJ26" s="799"/>
      <c r="FK26" s="799"/>
      <c r="FL26" s="799"/>
      <c r="FM26" s="799"/>
      <c r="FN26" s="799"/>
      <c r="FO26" s="799"/>
      <c r="FP26" s="799"/>
      <c r="FQ26" s="799"/>
      <c r="FR26" s="799"/>
      <c r="FS26" s="799"/>
      <c r="FT26" s="799"/>
      <c r="FU26" s="799"/>
      <c r="FV26" s="799"/>
      <c r="FW26" s="799"/>
      <c r="FX26" s="799"/>
      <c r="FY26" s="799"/>
      <c r="FZ26" s="799"/>
      <c r="GA26" s="799"/>
      <c r="GB26" s="799"/>
      <c r="GC26" s="799"/>
      <c r="GD26" s="799"/>
      <c r="GE26" s="799"/>
      <c r="GF26" s="799"/>
      <c r="GG26" s="799"/>
      <c r="GH26" s="799"/>
      <c r="GI26" s="799"/>
      <c r="GJ26" s="799"/>
      <c r="GK26" s="799"/>
      <c r="GL26" s="799"/>
      <c r="GM26" s="799"/>
      <c r="GN26" s="799"/>
      <c r="GO26" s="799"/>
      <c r="GP26" s="799"/>
      <c r="GQ26" s="799"/>
      <c r="GR26" s="799"/>
      <c r="GS26" s="799"/>
      <c r="GT26" s="799"/>
      <c r="GU26" s="799"/>
      <c r="GV26" s="799"/>
      <c r="GW26" s="799"/>
      <c r="GX26" s="799"/>
      <c r="GY26" s="799"/>
      <c r="GZ26" s="799"/>
      <c r="HA26" s="799"/>
      <c r="HB26" s="799"/>
      <c r="HC26" s="799"/>
      <c r="HD26" s="799"/>
      <c r="HE26" s="799"/>
      <c r="HF26" s="799"/>
      <c r="HG26" s="799"/>
      <c r="HH26" s="799"/>
      <c r="HI26" s="799"/>
      <c r="HJ26" s="799"/>
      <c r="HK26" s="799"/>
      <c r="HL26" s="799"/>
      <c r="HM26" s="799"/>
      <c r="HN26" s="799"/>
      <c r="HO26" s="799"/>
      <c r="HP26" s="799"/>
      <c r="HQ26" s="799"/>
      <c r="HR26" s="799"/>
      <c r="HS26" s="799"/>
      <c r="HT26" s="799"/>
      <c r="HU26" s="799"/>
      <c r="HV26" s="799"/>
      <c r="HW26" s="799"/>
      <c r="HX26" s="799"/>
      <c r="HY26" s="799"/>
      <c r="HZ26" s="799"/>
      <c r="IA26" s="799"/>
      <c r="IB26" s="799"/>
      <c r="IC26" s="799"/>
      <c r="ID26" s="799"/>
      <c r="IE26" s="799"/>
      <c r="IF26" s="799"/>
      <c r="IG26" s="799"/>
      <c r="IH26" s="799"/>
      <c r="II26" s="799"/>
      <c r="IJ26" s="799"/>
      <c r="IK26" s="799"/>
      <c r="IL26" s="799"/>
      <c r="IM26" s="799"/>
      <c r="IN26" s="799"/>
      <c r="IO26" s="799"/>
      <c r="IP26" s="799"/>
      <c r="IQ26" s="799"/>
      <c r="IR26" s="799"/>
      <c r="IS26" s="799"/>
      <c r="IT26" s="799"/>
      <c r="IU26" s="799"/>
      <c r="IV26" s="32"/>
      <c r="IW26" s="32"/>
    </row>
    <row r="27" customFormat="false" ht="11.25" hidden="false" customHeight="false" outlineLevel="0" collapsed="false">
      <c r="A27" s="720" t="s">
        <v>609</v>
      </c>
      <c r="B27" s="30"/>
      <c r="C27" s="30"/>
      <c r="D27" s="668" t="n">
        <f aca="false">C31</f>
        <v>0</v>
      </c>
      <c r="E27" s="668" t="n">
        <f aca="false">D31</f>
        <v>503.303195903593</v>
      </c>
      <c r="F27" s="668" t="n">
        <f aca="false">E31</f>
        <v>853.679782718109</v>
      </c>
      <c r="G27" s="668" t="n">
        <f aca="false">F31</f>
        <v>1045.82205568528</v>
      </c>
      <c r="H27" s="668" t="n">
        <f aca="false">G31</f>
        <v>666.353024795084</v>
      </c>
      <c r="I27" s="668" t="n">
        <f aca="false">H31</f>
        <v>0</v>
      </c>
      <c r="J27" s="668" t="n">
        <f aca="false">I31</f>
        <v>0</v>
      </c>
      <c r="K27" s="668" t="n">
        <f aca="false">J31</f>
        <v>0</v>
      </c>
      <c r="L27" s="668" t="n">
        <f aca="false">K31</f>
        <v>0</v>
      </c>
      <c r="M27" s="668" t="n">
        <f aca="false">L31</f>
        <v>0</v>
      </c>
      <c r="N27" s="668" t="n">
        <f aca="false">M31</f>
        <v>0</v>
      </c>
      <c r="O27" s="668" t="n">
        <f aca="false">N31</f>
        <v>0</v>
      </c>
      <c r="P27" s="668" t="n">
        <f aca="false">O31</f>
        <v>0</v>
      </c>
      <c r="Q27" s="668" t="n">
        <f aca="false">P31</f>
        <v>0</v>
      </c>
      <c r="R27" s="668" t="n">
        <f aca="false">Q31</f>
        <v>0</v>
      </c>
      <c r="S27" s="668" t="n">
        <f aca="false">R31</f>
        <v>0</v>
      </c>
      <c r="T27" s="668" t="n">
        <f aca="false">S31</f>
        <v>0</v>
      </c>
      <c r="U27" s="668" t="n">
        <f aca="false">T31</f>
        <v>0</v>
      </c>
      <c r="V27" s="668" t="n">
        <f aca="false">U31</f>
        <v>0</v>
      </c>
      <c r="W27" s="668" t="n">
        <f aca="false">V31</f>
        <v>0</v>
      </c>
      <c r="X27" s="668" t="n">
        <f aca="false">W31</f>
        <v>0</v>
      </c>
      <c r="Y27" s="668" t="n">
        <f aca="false">X31</f>
        <v>0</v>
      </c>
      <c r="Z27" s="668" t="n">
        <f aca="false">Y31</f>
        <v>0</v>
      </c>
      <c r="AA27" s="668" t="n">
        <f aca="false">Z31</f>
        <v>0</v>
      </c>
      <c r="AB27" s="675" t="n">
        <f aca="false">AA31</f>
        <v>0</v>
      </c>
    </row>
    <row r="28" customFormat="false" ht="11.25" hidden="false" customHeight="false" outlineLevel="0" collapsed="false">
      <c r="A28" s="720" t="s">
        <v>610</v>
      </c>
      <c r="B28" s="30"/>
      <c r="C28" s="30"/>
      <c r="D28" s="668" t="n">
        <f aca="false">IF('Project Assumptions'!$C$67="NO",0,IF(D1&gt;ProjectLife,0,IF(D25&lt;0,-D25,0)))</f>
        <v>503.303195903593</v>
      </c>
      <c r="E28" s="668" t="n">
        <f aca="false">IF('Project Assumptions'!$C$67="NO",0,IF(E1&gt;ProjectLife,0,IF(E25&lt;0,-E25,0)))</f>
        <v>350.376586814516</v>
      </c>
      <c r="F28" s="668" t="n">
        <f aca="false">IF('Project Assumptions'!$C$67="NO",0,IF(F1&gt;ProjectLife,0,IF(F25&lt;0,-F25,0)))</f>
        <v>192.142272967174</v>
      </c>
      <c r="G28" s="668" t="n">
        <f aca="false">IF('Project Assumptions'!$C$67="NO",0,IF(G1&gt;ProjectLife,0,IF(G25&lt;0,-G25,0)))</f>
        <v>0</v>
      </c>
      <c r="H28" s="668" t="n">
        <f aca="false">IF('Project Assumptions'!$C$67="NO",0,IF(H1&gt;ProjectLife,0,IF(H25&lt;0,-H25,0)))</f>
        <v>0</v>
      </c>
      <c r="I28" s="668" t="n">
        <f aca="false">IF('Project Assumptions'!$C$67="NO",0,IF(I1&gt;ProjectLife,0,IF(I25&lt;0,-I25,0)))</f>
        <v>0</v>
      </c>
      <c r="J28" s="668" t="n">
        <f aca="false">IF('Project Assumptions'!$C$67="NO",0,IF(J1&gt;ProjectLife,0,IF(J25&lt;0,-J25,0)))</f>
        <v>0</v>
      </c>
      <c r="K28" s="668" t="n">
        <f aca="false">IF('Project Assumptions'!$C$67="NO",0,IF(K1&gt;ProjectLife,0,IF(K25&lt;0,-K25,0)))</f>
        <v>0</v>
      </c>
      <c r="L28" s="668" t="n">
        <f aca="false">IF('Project Assumptions'!$C$67="NO",0,IF(L1&gt;ProjectLife,0,IF(L25&lt;0,-L25,0)))</f>
        <v>0</v>
      </c>
      <c r="M28" s="668" t="n">
        <f aca="false">IF('Project Assumptions'!$C$67="NO",0,IF(M1&gt;ProjectLife,0,IF(M25&lt;0,-M25,0)))</f>
        <v>0</v>
      </c>
      <c r="N28" s="668" t="n">
        <f aca="false">IF('Project Assumptions'!$C$67="NO",0,IF(N1&gt;ProjectLife,0,IF(N25&lt;0,-N25,0)))</f>
        <v>0</v>
      </c>
      <c r="O28" s="668" t="n">
        <f aca="false">IF('Project Assumptions'!$C$67="NO",0,IF(O1&gt;ProjectLife,0,IF(O25&lt;0,-O25,0)))</f>
        <v>0</v>
      </c>
      <c r="P28" s="668" t="n">
        <f aca="false">IF('Project Assumptions'!$C$67="NO",0,IF(P1&gt;ProjectLife,0,IF(P25&lt;0,-P25,0)))</f>
        <v>0</v>
      </c>
      <c r="Q28" s="668" t="n">
        <f aca="false">IF('Project Assumptions'!$C$67="NO",0,IF(Q1&gt;ProjectLife,0,IF(Q25&lt;0,-Q25,0)))</f>
        <v>0</v>
      </c>
      <c r="R28" s="668" t="n">
        <f aca="false">IF('Project Assumptions'!$C$67="NO",0,IF(R1&gt;ProjectLife,0,IF(R25&lt;0,-R25,0)))</f>
        <v>0</v>
      </c>
      <c r="S28" s="668" t="n">
        <f aca="false">IF('Project Assumptions'!$C$67="NO",0,IF(S1&gt;ProjectLife,0,IF(S25&lt;0,-S25,0)))</f>
        <v>0</v>
      </c>
      <c r="T28" s="668" t="n">
        <f aca="false">IF('Project Assumptions'!$C$67="NO",0,IF(T1&gt;ProjectLife,0,IF(T25&lt;0,-T25,0)))</f>
        <v>0</v>
      </c>
      <c r="U28" s="668" t="n">
        <f aca="false">IF('Project Assumptions'!$C$67="NO",0,IF(U1&gt;ProjectLife,0,IF(U25&lt;0,-U25,0)))</f>
        <v>0</v>
      </c>
      <c r="V28" s="668" t="n">
        <f aca="false">IF('Project Assumptions'!$C$67="NO",0,IF(V1&gt;ProjectLife,0,IF(V25&lt;0,-V25,0)))</f>
        <v>0</v>
      </c>
      <c r="W28" s="668" t="n">
        <f aca="false">IF('Project Assumptions'!$C$67="NO",0,IF(W1&gt;ProjectLife,0,IF(W25&lt;0,-W25,0)))</f>
        <v>0</v>
      </c>
      <c r="X28" s="668" t="n">
        <f aca="false">IF('Project Assumptions'!$C$67="NO",0,IF(X1&gt;ProjectLife,0,IF(X25&lt;0,-X25,0)))</f>
        <v>0</v>
      </c>
      <c r="Y28" s="668" t="n">
        <f aca="false">IF('Project Assumptions'!$C$67="NO",0,IF(Y1&gt;ProjectLife,0,IF(Y25&lt;0,-Y25,0)))</f>
        <v>0</v>
      </c>
      <c r="Z28" s="668" t="n">
        <f aca="false">IF('Project Assumptions'!$C$67="NO",0,IF(Z1&gt;ProjectLife,0,IF(Z25&lt;0,-Z25,0)))</f>
        <v>0</v>
      </c>
      <c r="AA28" s="668" t="n">
        <f aca="false">IF('Project Assumptions'!$C$67="NO",0,IF(AA1&gt;ProjectLife,0,IF(AA25&lt;0,-AA25,0)))</f>
        <v>0</v>
      </c>
      <c r="AB28" s="675" t="n">
        <f aca="false">IF('Project Assumptions'!$C$67="NO",0,IF(AB1&gt;ProjectLife,0,IF(AB25&lt;0,-AB25,0)))</f>
        <v>0</v>
      </c>
    </row>
    <row r="29" customFormat="false" ht="11.25" hidden="false" customHeight="false" outlineLevel="0" collapsed="false">
      <c r="A29" s="720" t="s">
        <v>611</v>
      </c>
      <c r="B29" s="30"/>
      <c r="C29" s="810" t="s">
        <v>612</v>
      </c>
      <c r="D29" s="811" t="n">
        <v>0</v>
      </c>
      <c r="E29" s="812" t="n">
        <v>0</v>
      </c>
      <c r="F29" s="812" t="n">
        <v>0</v>
      </c>
      <c r="G29" s="812" t="n">
        <v>0</v>
      </c>
      <c r="H29" s="812" t="n">
        <v>0</v>
      </c>
      <c r="I29" s="812" t="n">
        <v>0</v>
      </c>
      <c r="J29" s="812" t="n">
        <v>0</v>
      </c>
      <c r="K29" s="812" t="n">
        <v>0</v>
      </c>
      <c r="L29" s="812" t="n">
        <v>0</v>
      </c>
      <c r="M29" s="812" t="n">
        <v>0</v>
      </c>
      <c r="N29" s="812" t="n">
        <v>0</v>
      </c>
      <c r="O29" s="812" t="n">
        <v>0</v>
      </c>
      <c r="P29" s="812" t="n">
        <v>0</v>
      </c>
      <c r="Q29" s="812" t="n">
        <v>0</v>
      </c>
      <c r="R29" s="812" t="n">
        <v>0</v>
      </c>
      <c r="S29" s="812" t="n">
        <v>0</v>
      </c>
      <c r="T29" s="812" t="n">
        <v>0</v>
      </c>
      <c r="U29" s="812" t="n">
        <v>0</v>
      </c>
      <c r="V29" s="812" t="n">
        <v>0</v>
      </c>
      <c r="W29" s="813" t="n">
        <v>0</v>
      </c>
      <c r="X29" s="33" t="n">
        <f aca="false">IF(P28&gt;(SUM(Q30:W30)+SUM(P29:W29))*-1,P28-(SUM(P30:W30)+SUM(P29:W29))*-1,0)</f>
        <v>0</v>
      </c>
      <c r="Y29" s="668"/>
      <c r="Z29" s="668"/>
      <c r="AA29" s="668"/>
      <c r="AB29" s="675"/>
    </row>
    <row r="30" customFormat="false" ht="11.25" hidden="false" customHeight="false" outlineLevel="0" collapsed="false">
      <c r="A30" s="410" t="s">
        <v>613</v>
      </c>
      <c r="B30" s="641"/>
      <c r="C30" s="385"/>
      <c r="D30" s="511" t="n">
        <f aca="false">IF('Project Assumptions'!$C$67="No",0,IF(D1&lt;='Project Assumptions'!$C$67,IF(D25&lt;0,0,IF(D27&gt;D25,-D25,-D27)),0))</f>
        <v>0</v>
      </c>
      <c r="E30" s="511" t="n">
        <f aca="false">IF('Project Assumptions'!$C$67="No",0,IF(E1&lt;='Project Assumptions'!$C$67,IF(E25&lt;0,0,IF(E27&gt;E25,-E25,-E27)),0))</f>
        <v>0</v>
      </c>
      <c r="F30" s="511" t="n">
        <f aca="false">IF('Project Assumptions'!$C$67="No",0,IF(F1&lt;='Project Assumptions'!$C$67,IF(F25&lt;0,0,IF(F27&gt;F25,-F25,-F27)),0))</f>
        <v>0</v>
      </c>
      <c r="G30" s="511" t="n">
        <f aca="false">IF('Project Assumptions'!$C$67="No",0,IF(G1&lt;='Project Assumptions'!$C$67,IF(G25&lt;0,0,IF(G27&gt;G25,-G25,-G27)),0))</f>
        <v>-379.4690308902</v>
      </c>
      <c r="H30" s="511" t="n">
        <f aca="false">IF('Project Assumptions'!$C$67="No",0,IF(H1&lt;='Project Assumptions'!$C$67,IF(H25&lt;0,0,IF(H27&gt;H25,-H25,-H27)),0))</f>
        <v>-666.353024795084</v>
      </c>
      <c r="I30" s="511" t="n">
        <f aca="false">IF('Project Assumptions'!$C$67="No",0,IF(I1&lt;='Project Assumptions'!$C$67,IF(I25&lt;0,0,IF(I27&gt;I25,-I25,-I27)),0))</f>
        <v>-0</v>
      </c>
      <c r="J30" s="511" t="n">
        <f aca="false">IF('Project Assumptions'!$C$67="No",0,IF(J1&lt;='Project Assumptions'!$C$67,IF(J25&lt;0,0,IF(J27&gt;J25,-J25,-J27)),0))</f>
        <v>-0</v>
      </c>
      <c r="K30" s="511" t="n">
        <f aca="false">IF('Project Assumptions'!$C$67="No",0,IF(K1&lt;='Project Assumptions'!$C$67,IF(K25&lt;0,0,IF(K27&gt;K25,-K25,-K27)),0))</f>
        <v>-0</v>
      </c>
      <c r="L30" s="511" t="n">
        <f aca="false">IF('Project Assumptions'!$C$67="No",0,IF(L1&lt;='Project Assumptions'!$C$67,IF(L25&lt;0,0,IF(L27&gt;L25,-L25,-L27)),0))</f>
        <v>-0</v>
      </c>
      <c r="M30" s="511" t="n">
        <f aca="false">IF('Project Assumptions'!$C$67="No",0,IF(M1&lt;='Project Assumptions'!$C$67,IF(M25&lt;0,0,IF(M27&gt;M25,-M25,-M27)),0))</f>
        <v>-0</v>
      </c>
      <c r="N30" s="511" t="n">
        <f aca="false">IF('Project Assumptions'!$C$67="No",0,IF(N1&lt;='Project Assumptions'!$C$67,IF(N25&lt;0,0,IF(N27&gt;N25,-N25,-N27)),0))</f>
        <v>-0</v>
      </c>
      <c r="O30" s="511" t="n">
        <f aca="false">IF('Project Assumptions'!$C$67="No",0,IF(O1&lt;='Project Assumptions'!$C$67,IF(O25&lt;0,0,IF(O27&gt;O25,-O25,-O27)),0))</f>
        <v>-0</v>
      </c>
      <c r="P30" s="511" t="n">
        <f aca="false">IF('Project Assumptions'!$C$67="No",0,IF(P1&lt;='Project Assumptions'!$C$67,IF(P25&lt;0,0,IF(P27&gt;P25,-P25,-P27)),0))</f>
        <v>-0</v>
      </c>
      <c r="Q30" s="511" t="n">
        <f aca="false">IF('Project Assumptions'!$C$67="No",0,IF(Q1&lt;='Project Assumptions'!$C$67,IF(Q25&lt;0,0,IF(Q27&gt;Q25,-Q25,-Q27)),0))</f>
        <v>-0</v>
      </c>
      <c r="R30" s="511" t="n">
        <f aca="false">IF('Project Assumptions'!$C$67="No",0,IF(R1&lt;='Project Assumptions'!$C$67,IF(R25&lt;0,0,IF(R27&gt;R25,-R25,-R27)),0))</f>
        <v>-0</v>
      </c>
      <c r="S30" s="511" t="n">
        <f aca="false">IF('Project Assumptions'!$C$67="No",0,IF(S1&lt;='Project Assumptions'!$C$67,IF(S25&lt;0,0,IF(S27&gt;S25,-S25,-S27)),0))</f>
        <v>-0</v>
      </c>
      <c r="T30" s="511" t="n">
        <f aca="false">IF('Project Assumptions'!$C$67="No",0,IF(T1&lt;='Project Assumptions'!$C$67,IF(T25&lt;0,0,IF(T27&gt;T25,-T25,-T27)),0))</f>
        <v>-0</v>
      </c>
      <c r="U30" s="511" t="n">
        <f aca="false">IF('Project Assumptions'!$C$67="No",0,IF(U1&lt;='Project Assumptions'!$C$67,IF(U25&lt;0,0,IF(U27&gt;U25,-U25,-U27)),0))</f>
        <v>-0</v>
      </c>
      <c r="V30" s="511" t="n">
        <f aca="false">IF('Project Assumptions'!$C$67="No",0,IF(V1&lt;='Project Assumptions'!$C$67,IF(V25&lt;0,0,IF(V27&gt;V25,-V25,-V27)),0))</f>
        <v>-0</v>
      </c>
      <c r="W30" s="511" t="n">
        <f aca="false">IF('Project Assumptions'!$C$67="No",0,IF(W1&lt;='Project Assumptions'!$C$67,IF(W25&lt;0,0,IF(W27&gt;W25,-W25,-W27)),0))</f>
        <v>-0</v>
      </c>
      <c r="X30" s="511" t="n">
        <f aca="false">IF('Project Assumptions'!$C$67="No",0,IF(X1&lt;='Project Assumptions'!$C$67,IF(X25&lt;0,0,IF(X27&gt;X25,-X25,-X27)),0))</f>
        <v>-0</v>
      </c>
      <c r="Y30" s="511" t="n">
        <f aca="false">IF('Project Assumptions'!$C$67="No",0,IF(Y1&lt;='Project Assumptions'!$C$67,IF(Y25&lt;0,0,IF(Y27&gt;Y25,-Y25,-Y27)),0))</f>
        <v>-0</v>
      </c>
      <c r="Z30" s="511" t="n">
        <f aca="false">IF('Project Assumptions'!$C$67="No",0,IF(Z1&lt;='Project Assumptions'!$C$67,IF(Z25&lt;0,0,IF(Z27&gt;Z25,-Z25,-Z27)),0))</f>
        <v>-0</v>
      </c>
      <c r="AA30" s="511" t="n">
        <f aca="false">IF('Project Assumptions'!$C$67="No",0,IF(AA1&lt;='Project Assumptions'!$C$67,IF(AA25&lt;0,0,IF(AA27&gt;AA25,-AA25,-AA27)),0))</f>
        <v>-0</v>
      </c>
      <c r="AB30" s="512" t="n">
        <f aca="false">IF('Project Assumptions'!$C$67="No",0,IF(AB1&lt;='Project Assumptions'!$C$67,IF(AB25&lt;0,0,IF(AB27&gt;AB25,-AB25,-AB27)),0))</f>
        <v>-0</v>
      </c>
    </row>
    <row r="31" customFormat="false" ht="11.25" hidden="false" customHeight="false" outlineLevel="0" collapsed="false">
      <c r="A31" s="410" t="s">
        <v>614</v>
      </c>
      <c r="B31" s="641"/>
      <c r="C31" s="385"/>
      <c r="D31" s="511" t="n">
        <f aca="false">SUM(D27:D30)</f>
        <v>503.303195903593</v>
      </c>
      <c r="E31" s="511" t="n">
        <f aca="false">SUM(E27:E30)</f>
        <v>853.679782718109</v>
      </c>
      <c r="F31" s="511" t="n">
        <f aca="false">SUM(F27:F30)</f>
        <v>1045.82205568528</v>
      </c>
      <c r="G31" s="511" t="n">
        <f aca="false">SUM(G27:G30)</f>
        <v>666.353024795084</v>
      </c>
      <c r="H31" s="511" t="n">
        <f aca="false">SUM(H27:H30)</f>
        <v>0</v>
      </c>
      <c r="I31" s="511" t="n">
        <f aca="false">SUM(I27:I30)</f>
        <v>0</v>
      </c>
      <c r="J31" s="511" t="n">
        <f aca="false">SUM(J27:J30)</f>
        <v>0</v>
      </c>
      <c r="K31" s="511" t="n">
        <f aca="false">SUM(K27:K30)</f>
        <v>0</v>
      </c>
      <c r="L31" s="511" t="n">
        <f aca="false">SUM(L27:L30)</f>
        <v>0</v>
      </c>
      <c r="M31" s="511" t="n">
        <f aca="false">SUM(M27:M30)</f>
        <v>0</v>
      </c>
      <c r="N31" s="511" t="n">
        <f aca="false">SUM(N27:N30)</f>
        <v>0</v>
      </c>
      <c r="O31" s="511" t="n">
        <f aca="false">SUM(O27:O30)</f>
        <v>0</v>
      </c>
      <c r="P31" s="511" t="n">
        <f aca="false">SUM(P27:P30)</f>
        <v>0</v>
      </c>
      <c r="Q31" s="511" t="n">
        <f aca="false">SUM(Q27:Q30)</f>
        <v>0</v>
      </c>
      <c r="R31" s="511" t="n">
        <f aca="false">SUM(R27:R30)</f>
        <v>0</v>
      </c>
      <c r="S31" s="511" t="n">
        <f aca="false">SUM(S27:S30)</f>
        <v>0</v>
      </c>
      <c r="T31" s="511" t="n">
        <f aca="false">SUM(T27:T30)</f>
        <v>0</v>
      </c>
      <c r="U31" s="511" t="n">
        <f aca="false">SUM(U27:U30)</f>
        <v>0</v>
      </c>
      <c r="V31" s="511" t="n">
        <f aca="false">SUM(V27:V30)</f>
        <v>0</v>
      </c>
      <c r="W31" s="511" t="n">
        <f aca="false">SUM(W27:W30)</f>
        <v>0</v>
      </c>
      <c r="X31" s="511" t="n">
        <f aca="false">SUM(X27:X30)</f>
        <v>0</v>
      </c>
      <c r="Y31" s="511" t="n">
        <f aca="false">SUM(Y27:Y30)</f>
        <v>0</v>
      </c>
      <c r="Z31" s="511" t="n">
        <f aca="false">SUM(Z27:Z30)</f>
        <v>0</v>
      </c>
      <c r="AA31" s="511" t="n">
        <f aca="false">SUM(AA27:AA30)</f>
        <v>0</v>
      </c>
      <c r="AB31" s="512" t="n">
        <f aca="false">SUM(AB27:AB30)</f>
        <v>0</v>
      </c>
    </row>
    <row r="32" customFormat="false" ht="11.25" hidden="false" customHeight="false" outlineLevel="0" collapsed="false">
      <c r="A32" s="410"/>
      <c r="B32" s="385"/>
      <c r="C32" s="385"/>
      <c r="D32" s="385"/>
      <c r="E32" s="385"/>
      <c r="F32" s="385"/>
      <c r="G32" s="385"/>
      <c r="H32" s="385"/>
      <c r="I32" s="385"/>
      <c r="J32" s="385"/>
      <c r="K32" s="385"/>
      <c r="L32" s="385"/>
      <c r="M32" s="385"/>
      <c r="N32" s="385"/>
      <c r="O32" s="385"/>
      <c r="P32" s="385"/>
      <c r="Q32" s="385"/>
      <c r="R32" s="385"/>
      <c r="S32" s="385"/>
      <c r="T32" s="385"/>
      <c r="U32" s="385"/>
      <c r="V32" s="385"/>
      <c r="W32" s="385"/>
      <c r="X32" s="385"/>
      <c r="Y32" s="385"/>
      <c r="Z32" s="385"/>
      <c r="AA32" s="385"/>
      <c r="AB32" s="415"/>
    </row>
    <row r="33" customFormat="false" ht="12.75" hidden="false" customHeight="false" outlineLevel="0" collapsed="false">
      <c r="A33" s="814" t="s">
        <v>615</v>
      </c>
      <c r="B33" s="815"/>
      <c r="C33" s="816"/>
      <c r="D33" s="817" t="n">
        <f aca="false">IF(D25&lt;0,0,D25+D30)</f>
        <v>0</v>
      </c>
      <c r="E33" s="817" t="n">
        <f aca="false">IF(E25&lt;0,0,E25+E30)</f>
        <v>0</v>
      </c>
      <c r="F33" s="817" t="n">
        <f aca="false">IF(F25&lt;0,0,F25+F30)</f>
        <v>0</v>
      </c>
      <c r="G33" s="817" t="n">
        <f aca="false">IF(G25&lt;0,0,G25+G30)</f>
        <v>0</v>
      </c>
      <c r="H33" s="817" t="n">
        <f aca="false">IF(H25&lt;0,0,H25+H30)</f>
        <v>198.607069783582</v>
      </c>
      <c r="I33" s="817" t="n">
        <f aca="false">IF(I25&lt;0,0,I25+I30)</f>
        <v>1042.69144767515</v>
      </c>
      <c r="J33" s="817" t="n">
        <f aca="false">IF(J25&lt;0,0,J25+J30)</f>
        <v>1161.48574228377</v>
      </c>
      <c r="K33" s="817" t="n">
        <f aca="false">IF(K25&lt;0,0,K25+K30)</f>
        <v>1277.90563632693</v>
      </c>
      <c r="L33" s="817" t="n">
        <f aca="false">IF(L25&lt;0,0,L25+L30)</f>
        <v>1341.82106844655</v>
      </c>
      <c r="M33" s="817" t="n">
        <f aca="false">IF(M25&lt;0,0,M25+M30)</f>
        <v>1485.82514992163</v>
      </c>
      <c r="N33" s="817" t="n">
        <f aca="false">IF(N25&lt;0,0,N25+N30)</f>
        <v>1590.91935117276</v>
      </c>
      <c r="O33" s="817" t="n">
        <f aca="false">IF(O25&lt;0,0,O25+O30)</f>
        <v>1693.84937359084</v>
      </c>
      <c r="P33" s="817" t="n">
        <f aca="false">IF(P25&lt;0,0,P25+P30)</f>
        <v>1741.98465827167</v>
      </c>
      <c r="Q33" s="817" t="n">
        <f aca="false">IF(Q25&lt;0,0,Q25+Q30)</f>
        <v>1786.02093390657</v>
      </c>
      <c r="R33" s="817" t="n">
        <f aca="false">IF(R25&lt;0,0,R25+R30)</f>
        <v>1831.53581169749</v>
      </c>
      <c r="S33" s="817" t="n">
        <f aca="false">IF(S25&lt;0,0,S25+S30)</f>
        <v>2292.62542911805</v>
      </c>
      <c r="T33" s="817" t="n">
        <f aca="false">IF(T25&lt;0,0,T25+T30)</f>
        <v>2752.14991650468</v>
      </c>
      <c r="U33" s="817" t="n">
        <f aca="false">IF(U25&lt;0,0,U25+U30)</f>
        <v>2815.37473701189</v>
      </c>
      <c r="V33" s="817" t="n">
        <f aca="false">IF(V25&lt;0,0,V25+V30)</f>
        <v>2886.3390558738</v>
      </c>
      <c r="W33" s="817" t="n">
        <f aca="false">IF(W25&lt;0,0,W25+W30)</f>
        <v>2969.68711030474</v>
      </c>
      <c r="X33" s="817" t="n">
        <f aca="false">IF(X25&lt;0,0,X25+X30)</f>
        <v>1118.13134358939</v>
      </c>
      <c r="Y33" s="817" t="n">
        <f aca="false">IF(Y25&lt;0,0,Y25+Y30)</f>
        <v>0</v>
      </c>
      <c r="Z33" s="817" t="n">
        <f aca="false">IF(Z25&lt;0,0,Z25+Z30)</f>
        <v>0</v>
      </c>
      <c r="AA33" s="817" t="n">
        <f aca="false">IF(AA25&lt;0,0,AA25+AA30)</f>
        <v>0</v>
      </c>
      <c r="AB33" s="818" t="n">
        <f aca="false">IF(AB25&lt;0,0,AB25+AB30)</f>
        <v>0</v>
      </c>
      <c r="AC33" s="0"/>
      <c r="AD33" s="819"/>
    </row>
    <row r="36" customFormat="false" ht="12" hidden="false" customHeight="true" outlineLevel="0" collapsed="false">
      <c r="A36" s="820"/>
      <c r="B36" s="385"/>
      <c r="C36" s="32"/>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85"/>
      <c r="AD36" s="385"/>
      <c r="AE36" s="798"/>
      <c r="AF36" s="798"/>
      <c r="AG36" s="799"/>
      <c r="AH36" s="799"/>
      <c r="AI36" s="799"/>
      <c r="AJ36" s="799"/>
      <c r="AK36" s="799"/>
      <c r="AL36" s="799"/>
      <c r="AM36" s="799"/>
      <c r="AN36" s="799"/>
      <c r="AO36" s="799"/>
      <c r="AP36" s="799"/>
      <c r="AQ36" s="799"/>
      <c r="AR36" s="799"/>
      <c r="AS36" s="799"/>
      <c r="AT36" s="799"/>
      <c r="AU36" s="799"/>
      <c r="AV36" s="799"/>
      <c r="AW36" s="799"/>
      <c r="AX36" s="799"/>
      <c r="AY36" s="799"/>
      <c r="AZ36" s="799"/>
      <c r="BA36" s="799"/>
      <c r="BB36" s="799"/>
      <c r="BC36" s="799"/>
      <c r="BD36" s="799"/>
      <c r="BE36" s="799"/>
      <c r="BF36" s="799"/>
      <c r="BG36" s="799"/>
      <c r="BH36" s="799"/>
      <c r="BI36" s="799"/>
      <c r="BJ36" s="799"/>
      <c r="BK36" s="799"/>
      <c r="BL36" s="799"/>
      <c r="BM36" s="799"/>
      <c r="BN36" s="799"/>
      <c r="BO36" s="799"/>
      <c r="BP36" s="799"/>
      <c r="BQ36" s="799"/>
      <c r="BR36" s="799"/>
      <c r="BS36" s="799"/>
      <c r="BT36" s="799"/>
      <c r="BU36" s="799"/>
      <c r="BV36" s="799"/>
      <c r="BW36" s="799"/>
      <c r="BX36" s="799"/>
      <c r="BY36" s="799"/>
      <c r="BZ36" s="799"/>
      <c r="CA36" s="799"/>
      <c r="CB36" s="799"/>
      <c r="CC36" s="799"/>
      <c r="CD36" s="799"/>
      <c r="CE36" s="799"/>
      <c r="CF36" s="799"/>
      <c r="CG36" s="799"/>
      <c r="CH36" s="799"/>
      <c r="CI36" s="799"/>
      <c r="CJ36" s="799"/>
      <c r="CK36" s="799"/>
      <c r="CL36" s="799"/>
      <c r="CM36" s="799"/>
      <c r="CN36" s="799"/>
      <c r="CO36" s="799"/>
      <c r="CP36" s="799"/>
      <c r="CQ36" s="799"/>
      <c r="CR36" s="799"/>
      <c r="CS36" s="799"/>
      <c r="CT36" s="799"/>
      <c r="CU36" s="799"/>
      <c r="CV36" s="799"/>
      <c r="CW36" s="799"/>
      <c r="CX36" s="799"/>
      <c r="CY36" s="799"/>
      <c r="CZ36" s="799"/>
      <c r="DA36" s="799"/>
      <c r="DB36" s="799"/>
      <c r="DC36" s="799"/>
      <c r="DD36" s="799"/>
      <c r="DE36" s="799"/>
      <c r="DF36" s="799"/>
      <c r="DG36" s="799"/>
      <c r="DH36" s="799"/>
      <c r="DI36" s="799"/>
      <c r="DJ36" s="799"/>
      <c r="DK36" s="799"/>
      <c r="DL36" s="799"/>
      <c r="DM36" s="799"/>
      <c r="DN36" s="799"/>
      <c r="DO36" s="799"/>
      <c r="DP36" s="799"/>
      <c r="DQ36" s="799"/>
      <c r="DR36" s="799"/>
      <c r="DS36" s="799"/>
      <c r="DT36" s="799"/>
      <c r="DU36" s="799"/>
      <c r="DV36" s="799"/>
      <c r="DW36" s="799"/>
      <c r="DX36" s="799"/>
      <c r="DY36" s="799"/>
      <c r="DZ36" s="799"/>
      <c r="EA36" s="799"/>
      <c r="EB36" s="799"/>
      <c r="EC36" s="799"/>
      <c r="ED36" s="799"/>
      <c r="EE36" s="799"/>
      <c r="EF36" s="799"/>
      <c r="EG36" s="799"/>
      <c r="EH36" s="799"/>
      <c r="EI36" s="799"/>
      <c r="EJ36" s="799"/>
      <c r="EK36" s="799"/>
      <c r="EL36" s="799"/>
      <c r="EM36" s="799"/>
      <c r="EN36" s="799"/>
      <c r="EO36" s="799"/>
      <c r="EP36" s="799"/>
      <c r="EQ36" s="799"/>
      <c r="ER36" s="799"/>
      <c r="ES36" s="799"/>
      <c r="ET36" s="799"/>
      <c r="EU36" s="799"/>
      <c r="EV36" s="799"/>
      <c r="EW36" s="799"/>
      <c r="EX36" s="799"/>
      <c r="EY36" s="799"/>
      <c r="EZ36" s="799"/>
      <c r="FA36" s="799"/>
      <c r="FB36" s="799"/>
      <c r="FC36" s="799"/>
      <c r="FD36" s="799"/>
      <c r="FE36" s="799"/>
      <c r="FF36" s="799"/>
      <c r="FG36" s="799"/>
      <c r="FH36" s="799"/>
      <c r="FI36" s="799"/>
      <c r="FJ36" s="799"/>
      <c r="FK36" s="799"/>
      <c r="FL36" s="799"/>
      <c r="FM36" s="799"/>
      <c r="FN36" s="799"/>
      <c r="FO36" s="799"/>
      <c r="FP36" s="799"/>
      <c r="FQ36" s="799"/>
      <c r="FR36" s="799"/>
      <c r="FS36" s="799"/>
      <c r="FT36" s="799"/>
      <c r="FU36" s="799"/>
      <c r="FV36" s="799"/>
      <c r="FW36" s="799"/>
      <c r="FX36" s="799"/>
      <c r="FY36" s="799"/>
      <c r="FZ36" s="799"/>
      <c r="GA36" s="799"/>
      <c r="GB36" s="799"/>
      <c r="GC36" s="799"/>
      <c r="GD36" s="799"/>
      <c r="GE36" s="799"/>
      <c r="GF36" s="799"/>
      <c r="GG36" s="799"/>
      <c r="GH36" s="799"/>
      <c r="GI36" s="799"/>
      <c r="GJ36" s="799"/>
      <c r="GK36" s="799"/>
      <c r="GL36" s="799"/>
      <c r="GM36" s="799"/>
      <c r="GN36" s="799"/>
      <c r="GO36" s="799"/>
      <c r="GP36" s="799"/>
      <c r="GQ36" s="799"/>
      <c r="GR36" s="799"/>
      <c r="GS36" s="799"/>
      <c r="GT36" s="799"/>
      <c r="GU36" s="799"/>
      <c r="GV36" s="799"/>
      <c r="GW36" s="799"/>
      <c r="GX36" s="799"/>
      <c r="GY36" s="799"/>
      <c r="GZ36" s="799"/>
      <c r="HA36" s="799"/>
      <c r="HB36" s="799"/>
      <c r="HC36" s="799"/>
      <c r="HD36" s="799"/>
      <c r="HE36" s="799"/>
      <c r="HF36" s="799"/>
      <c r="HG36" s="799"/>
      <c r="HH36" s="799"/>
      <c r="HI36" s="799"/>
      <c r="HJ36" s="799"/>
      <c r="HK36" s="799"/>
      <c r="HL36" s="799"/>
      <c r="HM36" s="799"/>
      <c r="HN36" s="799"/>
      <c r="HO36" s="799"/>
      <c r="HP36" s="799"/>
      <c r="HQ36" s="799"/>
      <c r="HR36" s="799"/>
      <c r="HS36" s="799"/>
      <c r="HT36" s="799"/>
      <c r="HU36" s="799"/>
      <c r="HV36" s="799"/>
      <c r="HW36" s="799"/>
      <c r="HX36" s="799"/>
      <c r="HY36" s="799"/>
      <c r="HZ36" s="799"/>
      <c r="IA36" s="799"/>
      <c r="IB36" s="799"/>
      <c r="IC36" s="799"/>
      <c r="ID36" s="799"/>
      <c r="IE36" s="799"/>
      <c r="IF36" s="799"/>
      <c r="IG36" s="799"/>
      <c r="IH36" s="799"/>
      <c r="II36" s="799"/>
      <c r="IJ36" s="799"/>
      <c r="IK36" s="799"/>
      <c r="IL36" s="799"/>
      <c r="IM36" s="799"/>
      <c r="IN36" s="799"/>
      <c r="IO36" s="799"/>
      <c r="IP36" s="799"/>
      <c r="IQ36" s="799"/>
      <c r="IR36" s="799"/>
      <c r="IS36" s="799"/>
      <c r="IT36" s="799"/>
      <c r="IU36" s="799"/>
      <c r="IV36" s="32"/>
      <c r="IW36" s="32"/>
    </row>
    <row r="37" customFormat="false" ht="12" hidden="false" customHeight="true" outlineLevel="0" collapsed="false">
      <c r="A37" s="821" t="s">
        <v>616</v>
      </c>
      <c r="B37" s="381"/>
      <c r="C37" s="381"/>
      <c r="D37" s="381"/>
      <c r="E37" s="381"/>
      <c r="F37" s="381"/>
      <c r="G37" s="381"/>
      <c r="H37" s="381"/>
      <c r="I37" s="381"/>
      <c r="J37" s="381"/>
      <c r="K37" s="381"/>
      <c r="L37" s="381"/>
      <c r="M37" s="381"/>
      <c r="N37" s="381"/>
      <c r="O37" s="381"/>
      <c r="P37" s="381"/>
      <c r="Q37" s="381"/>
      <c r="R37" s="381"/>
      <c r="S37" s="381"/>
      <c r="T37" s="381"/>
      <c r="U37" s="381"/>
      <c r="V37" s="381"/>
      <c r="W37" s="381"/>
      <c r="X37" s="381"/>
      <c r="Y37" s="381"/>
      <c r="Z37" s="381"/>
      <c r="AA37" s="381"/>
      <c r="AB37" s="517"/>
      <c r="AC37" s="385"/>
      <c r="AD37" s="385"/>
    </row>
    <row r="38" customFormat="false" ht="12" hidden="false" customHeight="true" outlineLevel="0" collapsed="false">
      <c r="A38" s="720" t="s">
        <v>602</v>
      </c>
      <c r="B38" s="385"/>
      <c r="C38" s="385"/>
      <c r="D38" s="822" t="n">
        <f aca="false">D18</f>
        <v>-512.68056633143</v>
      </c>
      <c r="E38" s="822" t="n">
        <f aca="false">E18</f>
        <v>6928.93953391495</v>
      </c>
      <c r="F38" s="822" t="n">
        <f aca="false">F18</f>
        <v>7213.52628741304</v>
      </c>
      <c r="G38" s="822" t="n">
        <f aca="false">G18</f>
        <v>12680.6805838509</v>
      </c>
      <c r="H38" s="822" t="n">
        <f aca="false">H18</f>
        <v>17241.5030700717</v>
      </c>
      <c r="I38" s="822" t="n">
        <f aca="false">I18</f>
        <v>18192.2609745443</v>
      </c>
      <c r="J38" s="822" t="n">
        <f aca="false">J18</f>
        <v>19064.7985269851</v>
      </c>
      <c r="K38" s="822" t="n">
        <f aca="false">K18</f>
        <v>20493.1424939112</v>
      </c>
      <c r="L38" s="822" t="n">
        <f aca="false">L18</f>
        <v>21250.6812683521</v>
      </c>
      <c r="M38" s="822" t="n">
        <f aca="false">M18</f>
        <v>23013.3790223318</v>
      </c>
      <c r="N38" s="822" t="n">
        <f aca="false">N18</f>
        <v>24270.0543923062</v>
      </c>
      <c r="O38" s="822" t="n">
        <f aca="false">O18</f>
        <v>25534.8847637769</v>
      </c>
      <c r="P38" s="822" t="n">
        <f aca="false">P18</f>
        <v>26101.1490238081</v>
      </c>
      <c r="Q38" s="822" t="n">
        <f aca="false">Q18</f>
        <v>26652.1157979069</v>
      </c>
      <c r="R38" s="822" t="n">
        <f aca="false">R18</f>
        <v>27186.6175501817</v>
      </c>
      <c r="S38" s="822" t="n">
        <f aca="false">S18</f>
        <v>27703.4304603248</v>
      </c>
      <c r="T38" s="822" t="n">
        <f aca="false">T18</f>
        <v>28201.2720973295</v>
      </c>
      <c r="U38" s="822" t="n">
        <f aca="false">U18</f>
        <v>28967.6335580229</v>
      </c>
      <c r="V38" s="822" t="n">
        <f aca="false">V18</f>
        <v>29827.8071199855</v>
      </c>
      <c r="W38" s="822" t="n">
        <f aca="false">W18</f>
        <v>30838.0865676332</v>
      </c>
      <c r="X38" s="822" t="n">
        <f aca="false">X18</f>
        <v>8394.98636502287</v>
      </c>
      <c r="Y38" s="822" t="n">
        <f aca="false">Y18</f>
        <v>0</v>
      </c>
      <c r="Z38" s="822" t="n">
        <f aca="false">Z18</f>
        <v>0</v>
      </c>
      <c r="AA38" s="822" t="n">
        <f aca="false">AA18</f>
        <v>0</v>
      </c>
      <c r="AB38" s="823" t="n">
        <f aca="false">AB18</f>
        <v>0</v>
      </c>
      <c r="AC38" s="822"/>
      <c r="AD38" s="822"/>
    </row>
    <row r="39" customFormat="false" ht="12" hidden="false" customHeight="true" outlineLevel="0" collapsed="false">
      <c r="A39" s="720" t="s">
        <v>603</v>
      </c>
      <c r="B39" s="385"/>
      <c r="C39" s="385"/>
      <c r="D39" s="824" t="n">
        <f aca="false">D19</f>
        <v>3246.97253416667</v>
      </c>
      <c r="E39" s="824" t="n">
        <f aca="false">E19</f>
        <v>5566.23863</v>
      </c>
      <c r="F39" s="824" t="n">
        <f aca="false">F19</f>
        <v>5566.23863</v>
      </c>
      <c r="G39" s="824" t="n">
        <f aca="false">G19</f>
        <v>5566.23863</v>
      </c>
      <c r="H39" s="824" t="n">
        <f aca="false">H19</f>
        <v>5566.23863</v>
      </c>
      <c r="I39" s="824" t="n">
        <f aca="false">I19</f>
        <v>5328.16991333333</v>
      </c>
      <c r="J39" s="824" t="n">
        <f aca="false">J19</f>
        <v>5158.12083</v>
      </c>
      <c r="K39" s="824" t="n">
        <f aca="false">K19</f>
        <v>5158.12083</v>
      </c>
      <c r="L39" s="824" t="n">
        <f aca="false">L19</f>
        <v>5158.12083</v>
      </c>
      <c r="M39" s="824" t="n">
        <f aca="false">M19</f>
        <v>5158.12083</v>
      </c>
      <c r="N39" s="824" t="n">
        <f aca="false">N19</f>
        <v>5158.12083</v>
      </c>
      <c r="O39" s="824" t="n">
        <f aca="false">O19</f>
        <v>5158.12083</v>
      </c>
      <c r="P39" s="824" t="n">
        <f aca="false">P19</f>
        <v>5158.12083</v>
      </c>
      <c r="Q39" s="824" t="n">
        <f aca="false">Q19</f>
        <v>5158.12083</v>
      </c>
      <c r="R39" s="824" t="n">
        <f aca="false">R19</f>
        <v>5158.12083</v>
      </c>
      <c r="S39" s="824" t="n">
        <f aca="false">S19</f>
        <v>5158.12083</v>
      </c>
      <c r="T39" s="824" t="n">
        <f aca="false">T19</f>
        <v>5158.12083</v>
      </c>
      <c r="U39" s="824" t="n">
        <f aca="false">U19</f>
        <v>5158.12083</v>
      </c>
      <c r="V39" s="824" t="n">
        <f aca="false">V19</f>
        <v>5158.12083</v>
      </c>
      <c r="W39" s="824" t="n">
        <f aca="false">W19</f>
        <v>5158.12083</v>
      </c>
      <c r="X39" s="824" t="n">
        <f aca="false">X19</f>
        <v>5158.12083</v>
      </c>
      <c r="Y39" s="824" t="n">
        <f aca="false">Y19</f>
        <v>0</v>
      </c>
      <c r="Z39" s="824" t="n">
        <f aca="false">Z19</f>
        <v>0</v>
      </c>
      <c r="AA39" s="824" t="n">
        <f aca="false">AA19</f>
        <v>0</v>
      </c>
      <c r="AB39" s="825" t="n">
        <f aca="false">AB19</f>
        <v>0</v>
      </c>
      <c r="AC39" s="721"/>
      <c r="AD39" s="721"/>
    </row>
    <row r="40" customFormat="false" ht="12" hidden="false" customHeight="true" outlineLevel="0" collapsed="false">
      <c r="A40" s="761"/>
      <c r="B40" s="33"/>
      <c r="C40" s="32"/>
      <c r="D40" s="33" t="n">
        <f aca="false">SUM(D38:D39)</f>
        <v>2734.29196783524</v>
      </c>
      <c r="E40" s="33" t="n">
        <f aca="false">SUM(E38:E39)</f>
        <v>12495.178163915</v>
      </c>
      <c r="F40" s="33" t="n">
        <f aca="false">SUM(F38:F39)</f>
        <v>12779.764917413</v>
      </c>
      <c r="G40" s="33" t="n">
        <f aca="false">SUM(G38:G39)</f>
        <v>18246.9192138509</v>
      </c>
      <c r="H40" s="33" t="n">
        <f aca="false">SUM(H38:H39)</f>
        <v>22807.7417000717</v>
      </c>
      <c r="I40" s="33" t="n">
        <f aca="false">SUM(I38:I39)</f>
        <v>23520.4308878776</v>
      </c>
      <c r="J40" s="33" t="n">
        <f aca="false">SUM(J38:J39)</f>
        <v>24222.9193569851</v>
      </c>
      <c r="K40" s="33" t="n">
        <f aca="false">SUM(K38:K39)</f>
        <v>25651.2633239112</v>
      </c>
      <c r="L40" s="33" t="n">
        <f aca="false">SUM(L38:L39)</f>
        <v>26408.8020983521</v>
      </c>
      <c r="M40" s="33" t="n">
        <f aca="false">SUM(M38:M39)</f>
        <v>28171.4998523318</v>
      </c>
      <c r="N40" s="33" t="n">
        <f aca="false">SUM(N38:N39)</f>
        <v>29428.1752223062</v>
      </c>
      <c r="O40" s="33" t="n">
        <f aca="false">SUM(O38:O39)</f>
        <v>30693.0055937769</v>
      </c>
      <c r="P40" s="33" t="n">
        <f aca="false">SUM(P38:P39)</f>
        <v>31259.2698538081</v>
      </c>
      <c r="Q40" s="33" t="n">
        <f aca="false">SUM(Q38:Q39)</f>
        <v>31810.2366279069</v>
      </c>
      <c r="R40" s="33" t="n">
        <f aca="false">SUM(R38:R39)</f>
        <v>32344.7383801817</v>
      </c>
      <c r="S40" s="33" t="n">
        <f aca="false">SUM(S38:S39)</f>
        <v>32861.5512903248</v>
      </c>
      <c r="T40" s="33" t="n">
        <f aca="false">SUM(T38:T39)</f>
        <v>33359.3929273295</v>
      </c>
      <c r="U40" s="33" t="n">
        <f aca="false">SUM(U38:U39)</f>
        <v>34125.7543880229</v>
      </c>
      <c r="V40" s="33" t="n">
        <f aca="false">SUM(V38:V39)</f>
        <v>34985.9279499855</v>
      </c>
      <c r="W40" s="33" t="n">
        <f aca="false">SUM(W38:W39)</f>
        <v>35996.2073976332</v>
      </c>
      <c r="X40" s="33" t="n">
        <f aca="false">SUM(X38:X39)</f>
        <v>13553.1071950229</v>
      </c>
      <c r="Y40" s="33" t="n">
        <f aca="false">SUM(Y38:Y39)</f>
        <v>0</v>
      </c>
      <c r="Z40" s="33" t="n">
        <f aca="false">SUM(Z38:Z39)</f>
        <v>0</v>
      </c>
      <c r="AA40" s="33" t="n">
        <f aca="false">SUM(AA38:AA39)</f>
        <v>0</v>
      </c>
      <c r="AB40" s="724" t="n">
        <f aca="false">SUM(AB38:AB39)</f>
        <v>0</v>
      </c>
      <c r="AC40" s="33"/>
      <c r="AD40" s="33"/>
      <c r="AE40" s="33"/>
      <c r="AF40" s="33"/>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c r="CQ40" s="32"/>
      <c r="CR40" s="32"/>
      <c r="CS40" s="32"/>
      <c r="CT40" s="32"/>
      <c r="CU40" s="32"/>
      <c r="CV40" s="32"/>
      <c r="CW40" s="32"/>
      <c r="CX40" s="32"/>
      <c r="CY40" s="32"/>
      <c r="CZ40" s="32"/>
      <c r="DA40" s="32"/>
      <c r="DB40" s="32"/>
      <c r="DC40" s="32"/>
      <c r="DD40" s="32"/>
      <c r="DE40" s="32"/>
      <c r="DF40" s="32"/>
      <c r="DG40" s="32"/>
      <c r="DH40" s="32"/>
      <c r="DI40" s="32"/>
      <c r="DJ40" s="32"/>
      <c r="DK40" s="32"/>
      <c r="DL40" s="32"/>
      <c r="DM40" s="32"/>
      <c r="DN40" s="32"/>
      <c r="DO40" s="32"/>
      <c r="DP40" s="32"/>
      <c r="DQ40" s="32"/>
      <c r="DR40" s="32"/>
      <c r="DS40" s="32"/>
      <c r="DT40" s="32"/>
      <c r="DU40" s="32"/>
      <c r="DV40" s="32"/>
      <c r="DW40" s="32"/>
      <c r="DX40" s="32"/>
      <c r="DY40" s="32"/>
      <c r="DZ40" s="32"/>
      <c r="EA40" s="32"/>
      <c r="EB40" s="32"/>
      <c r="EC40" s="32"/>
      <c r="ED40" s="32"/>
      <c r="EE40" s="32"/>
      <c r="EF40" s="32"/>
      <c r="EG40" s="32"/>
      <c r="EH40" s="32"/>
      <c r="EI40" s="32"/>
      <c r="EJ40" s="32"/>
      <c r="EK40" s="32"/>
      <c r="EL40" s="32"/>
      <c r="EM40" s="32"/>
      <c r="EN40" s="32"/>
      <c r="EO40" s="32"/>
      <c r="EP40" s="32"/>
      <c r="EQ40" s="32"/>
      <c r="ER40" s="32"/>
      <c r="ES40" s="32"/>
      <c r="ET40" s="32"/>
      <c r="EU40" s="32"/>
      <c r="EV40" s="32"/>
      <c r="EW40" s="32"/>
      <c r="EX40" s="32"/>
      <c r="EY40" s="32"/>
      <c r="EZ40" s="32"/>
      <c r="FA40" s="32"/>
      <c r="FB40" s="32"/>
      <c r="FC40" s="32"/>
      <c r="FD40" s="32"/>
      <c r="FE40" s="32"/>
      <c r="FF40" s="32"/>
      <c r="FG40" s="32"/>
      <c r="FH40" s="32"/>
      <c r="FI40" s="32"/>
      <c r="FJ40" s="32"/>
      <c r="FK40" s="32"/>
      <c r="FL40" s="32"/>
      <c r="FM40" s="32"/>
      <c r="FN40" s="32"/>
      <c r="FO40" s="32"/>
      <c r="FP40" s="32"/>
      <c r="FQ40" s="32"/>
      <c r="FR40" s="32"/>
      <c r="FS40" s="32"/>
      <c r="FT40" s="32"/>
      <c r="FU40" s="32"/>
      <c r="FV40" s="32"/>
      <c r="FW40" s="32"/>
      <c r="FX40" s="32"/>
      <c r="FY40" s="32"/>
      <c r="FZ40" s="32"/>
      <c r="GA40" s="32"/>
      <c r="GB40" s="32"/>
      <c r="GC40" s="32"/>
      <c r="GD40" s="32"/>
      <c r="GE40" s="32"/>
      <c r="GF40" s="32"/>
      <c r="GG40" s="32"/>
      <c r="GH40" s="32"/>
      <c r="GI40" s="32"/>
      <c r="GJ40" s="32"/>
      <c r="GK40" s="32"/>
      <c r="GL40" s="32"/>
      <c r="GM40" s="32"/>
      <c r="GN40" s="32"/>
      <c r="GO40" s="32"/>
      <c r="GP40" s="32"/>
      <c r="GQ40" s="32"/>
      <c r="GR40" s="32"/>
      <c r="GS40" s="32"/>
      <c r="GT40" s="32"/>
      <c r="GU40" s="32"/>
      <c r="GV40" s="32"/>
      <c r="GW40" s="32"/>
      <c r="GX40" s="32"/>
      <c r="GY40" s="32"/>
      <c r="GZ40" s="32"/>
      <c r="HA40" s="32"/>
      <c r="HB40" s="32"/>
      <c r="HC40" s="32"/>
      <c r="HD40" s="32"/>
      <c r="HE40" s="32"/>
      <c r="HF40" s="32"/>
      <c r="HG40" s="32"/>
      <c r="HH40" s="32"/>
      <c r="HI40" s="32"/>
      <c r="HJ40" s="32"/>
      <c r="HK40" s="32"/>
      <c r="HL40" s="32"/>
      <c r="HM40" s="32"/>
      <c r="HN40" s="32"/>
      <c r="HO40" s="32"/>
      <c r="HP40" s="32"/>
      <c r="HQ40" s="32"/>
      <c r="HR40" s="32"/>
      <c r="HS40" s="32"/>
      <c r="HT40" s="32"/>
      <c r="HU40" s="32"/>
      <c r="HV40" s="32"/>
      <c r="HW40" s="32"/>
      <c r="HX40" s="32"/>
      <c r="HY40" s="32"/>
      <c r="HZ40" s="32"/>
      <c r="IA40" s="32"/>
      <c r="IB40" s="32"/>
      <c r="IC40" s="32"/>
      <c r="ID40" s="32"/>
      <c r="IE40" s="32"/>
      <c r="IF40" s="32"/>
      <c r="IG40" s="32"/>
      <c r="IH40" s="32"/>
      <c r="II40" s="32"/>
      <c r="IJ40" s="32"/>
      <c r="IK40" s="32"/>
      <c r="IL40" s="32"/>
      <c r="IM40" s="32"/>
      <c r="IN40" s="32"/>
      <c r="IO40" s="32"/>
      <c r="IP40" s="32"/>
      <c r="IQ40" s="32"/>
      <c r="IR40" s="32"/>
      <c r="IS40" s="32"/>
      <c r="IT40" s="32"/>
      <c r="IU40" s="32"/>
      <c r="IV40" s="32"/>
      <c r="IW40" s="32"/>
    </row>
    <row r="41" customFormat="false" ht="12" hidden="false" customHeight="true" outlineLevel="0" collapsed="false">
      <c r="A41" s="720" t="s">
        <v>617</v>
      </c>
      <c r="B41" s="33"/>
      <c r="C41" s="32"/>
      <c r="D41" s="33" t="n">
        <f aca="false">IF(D3&lt;='Project Assumptions'!$I$15,Depreciation!D15*-1,0)</f>
        <v>-8834.93676666667</v>
      </c>
      <c r="E41" s="33" t="n">
        <f aca="false">IF(E3&lt;='Project Assumptions'!$I$15,Depreciation!E15*-1,0)</f>
        <v>-16742.167095</v>
      </c>
      <c r="F41" s="33" t="n">
        <f aca="false">IF(F3&lt;='Project Assumptions'!$I$15,Depreciation!F15*-1,0)</f>
        <v>-15108.7621655</v>
      </c>
      <c r="G41" s="33" t="n">
        <f aca="false">IF(G3&lt;='Project Assumptions'!$I$15,Depreciation!G15*-1,0)</f>
        <v>-13647.294597</v>
      </c>
      <c r="H41" s="33" t="n">
        <f aca="false">IF(H3&lt;='Project Assumptions'!$I$15,Depreciation!H15*-1,0)</f>
        <v>-12323.3769173</v>
      </c>
      <c r="I41" s="33" t="n">
        <f aca="false">IF(I3&lt;='Project Assumptions'!$I$15,Depreciation!I15*-1,0)</f>
        <v>-10881.7466736333</v>
      </c>
      <c r="J41" s="33" t="n">
        <f aca="false">IF(J3&lt;='Project Assumptions'!$I$15,Depreciation!J15*-1,0)</f>
        <v>-10144.304299</v>
      </c>
      <c r="K41" s="33" t="n">
        <f aca="false">IF(K3&lt;='Project Assumptions'!$I$15,Depreciation!K15*-1,0)</f>
        <v>-10161.4980351</v>
      </c>
      <c r="L41" s="33" t="n">
        <f aca="false">IF(L3&lt;='Project Assumptions'!$I$15,Depreciation!L15*-1,0)</f>
        <v>-10144.304299</v>
      </c>
      <c r="M41" s="33" t="n">
        <f aca="false">IF(M3&lt;='Project Assumptions'!$I$15,Depreciation!M15*-1,0)</f>
        <v>-10161.4980351</v>
      </c>
      <c r="N41" s="33" t="n">
        <f aca="false">IF(N3&lt;='Project Assumptions'!$I$15,Depreciation!N15*-1,0)</f>
        <v>-10144.304299</v>
      </c>
      <c r="O41" s="33" t="n">
        <f aca="false">IF(O3&lt;='Project Assumptions'!$I$15,Depreciation!O15*-1,0)</f>
        <v>-10161.4980351</v>
      </c>
      <c r="P41" s="33" t="n">
        <f aca="false">IF(P3&lt;='Project Assumptions'!$I$15,Depreciation!P15*-1,0)</f>
        <v>-10144.304299</v>
      </c>
      <c r="Q41" s="33" t="n">
        <f aca="false">IF(Q3&lt;='Project Assumptions'!$I$15,Depreciation!Q15*-1,0)</f>
        <v>-10161.4980351</v>
      </c>
      <c r="R41" s="33" t="n">
        <f aca="false">IF(R3&lt;='Project Assumptions'!$I$15,Depreciation!R15*-1,0)</f>
        <v>-10144.304299</v>
      </c>
      <c r="S41" s="33" t="n">
        <f aca="false">IF(S3&lt;='Project Assumptions'!$I$15,Depreciation!S15*-1,0)</f>
        <v>-5072.1521495</v>
      </c>
      <c r="T41" s="33" t="n">
        <f aca="false">IF(T3&lt;='Project Assumptions'!$I$15,Depreciation!T15*-1,0)</f>
        <v>-0</v>
      </c>
      <c r="U41" s="33" t="n">
        <f aca="false">IF(U3&lt;='Project Assumptions'!$I$15,Depreciation!U15*-1,0)</f>
        <v>-0</v>
      </c>
      <c r="V41" s="33" t="n">
        <f aca="false">IF(V3&lt;='Project Assumptions'!$I$15,Depreciation!V15*-1,0)</f>
        <v>-0</v>
      </c>
      <c r="W41" s="33" t="n">
        <f aca="false">IF(W3&lt;='Project Assumptions'!$I$15,Depreciation!W15*-1,0)</f>
        <v>-0</v>
      </c>
      <c r="X41" s="33" t="n">
        <f aca="false">IF(X3&lt;='Project Assumptions'!$I$15+1,Depreciation!X15*-1,0)</f>
        <v>-0</v>
      </c>
      <c r="Y41" s="33" t="n">
        <f aca="false">IF(Y3&lt;='Project Assumptions'!$I$15,Depreciation!Y15*-1,0)</f>
        <v>0</v>
      </c>
      <c r="Z41" s="33" t="n">
        <f aca="false">IF(Z3&lt;='Project Assumptions'!$I$15,Depreciation!Z15*-1,0)</f>
        <v>0</v>
      </c>
      <c r="AA41" s="33" t="n">
        <f aca="false">IF(AA3&lt;='Project Assumptions'!$I$15,Depreciation!AA15*-1,0)</f>
        <v>0</v>
      </c>
      <c r="AB41" s="724" t="n">
        <f aca="false">IF(AB3&lt;='Project Assumptions'!$I$15,Depreciation!AB15*-1,0)</f>
        <v>0</v>
      </c>
      <c r="AC41" s="33"/>
      <c r="AD41" s="33"/>
      <c r="AE41" s="33"/>
      <c r="AF41" s="33"/>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c r="CQ41" s="32"/>
      <c r="CR41" s="32"/>
      <c r="CS41" s="32"/>
      <c r="CT41" s="32"/>
      <c r="CU41" s="32"/>
      <c r="CV41" s="32"/>
      <c r="CW41" s="32"/>
      <c r="CX41" s="32"/>
      <c r="CY41" s="32"/>
      <c r="CZ41" s="32"/>
      <c r="DA41" s="32"/>
      <c r="DB41" s="32"/>
      <c r="DC41" s="32"/>
      <c r="DD41" s="32"/>
      <c r="DE41" s="32"/>
      <c r="DF41" s="32"/>
      <c r="DG41" s="32"/>
      <c r="DH41" s="32"/>
      <c r="DI41" s="32"/>
      <c r="DJ41" s="32"/>
      <c r="DK41" s="32"/>
      <c r="DL41" s="32"/>
      <c r="DM41" s="32"/>
      <c r="DN41" s="32"/>
      <c r="DO41" s="32"/>
      <c r="DP41" s="32"/>
      <c r="DQ41" s="32"/>
      <c r="DR41" s="32"/>
      <c r="DS41" s="32"/>
      <c r="DT41" s="32"/>
      <c r="DU41" s="32"/>
      <c r="DV41" s="32"/>
      <c r="DW41" s="32"/>
      <c r="DX41" s="32"/>
      <c r="DY41" s="32"/>
      <c r="DZ41" s="32"/>
      <c r="EA41" s="32"/>
      <c r="EB41" s="32"/>
      <c r="EC41" s="32"/>
      <c r="ED41" s="32"/>
      <c r="EE41" s="32"/>
      <c r="EF41" s="32"/>
      <c r="EG41" s="32"/>
      <c r="EH41" s="32"/>
      <c r="EI41" s="32"/>
      <c r="EJ41" s="32"/>
      <c r="EK41" s="32"/>
      <c r="EL41" s="32"/>
      <c r="EM41" s="32"/>
      <c r="EN41" s="32"/>
      <c r="EO41" s="32"/>
      <c r="EP41" s="32"/>
      <c r="EQ41" s="32"/>
      <c r="ER41" s="32"/>
      <c r="ES41" s="32"/>
      <c r="ET41" s="32"/>
      <c r="EU41" s="32"/>
      <c r="EV41" s="32"/>
      <c r="EW41" s="32"/>
      <c r="EX41" s="32"/>
      <c r="EY41" s="32"/>
      <c r="EZ41" s="32"/>
      <c r="FA41" s="32"/>
      <c r="FB41" s="32"/>
      <c r="FC41" s="32"/>
      <c r="FD41" s="32"/>
      <c r="FE41" s="32"/>
      <c r="FF41" s="32"/>
      <c r="FG41" s="32"/>
      <c r="FH41" s="32"/>
      <c r="FI41" s="32"/>
      <c r="FJ41" s="32"/>
      <c r="FK41" s="32"/>
      <c r="FL41" s="32"/>
      <c r="FM41" s="32"/>
      <c r="FN41" s="32"/>
      <c r="FO41" s="32"/>
      <c r="FP41" s="32"/>
      <c r="FQ41" s="32"/>
      <c r="FR41" s="32"/>
      <c r="FS41" s="32"/>
      <c r="FT41" s="32"/>
      <c r="FU41" s="32"/>
      <c r="FV41" s="32"/>
      <c r="FW41" s="32"/>
      <c r="FX41" s="32"/>
      <c r="FY41" s="32"/>
      <c r="FZ41" s="32"/>
      <c r="GA41" s="32"/>
      <c r="GB41" s="32"/>
      <c r="GC41" s="32"/>
      <c r="GD41" s="32"/>
      <c r="GE41" s="32"/>
      <c r="GF41" s="32"/>
      <c r="GG41" s="32"/>
      <c r="GH41" s="32"/>
      <c r="GI41" s="32"/>
      <c r="GJ41" s="32"/>
      <c r="GK41" s="32"/>
      <c r="GL41" s="32"/>
      <c r="GM41" s="32"/>
      <c r="GN41" s="32"/>
      <c r="GO41" s="32"/>
      <c r="GP41" s="32"/>
      <c r="GQ41" s="32"/>
      <c r="GR41" s="32"/>
      <c r="GS41" s="32"/>
      <c r="GT41" s="32"/>
      <c r="GU41" s="32"/>
      <c r="GV41" s="32"/>
      <c r="GW41" s="32"/>
      <c r="GX41" s="32"/>
      <c r="GY41" s="32"/>
      <c r="GZ41" s="32"/>
      <c r="HA41" s="32"/>
      <c r="HB41" s="32"/>
      <c r="HC41" s="32"/>
      <c r="HD41" s="32"/>
      <c r="HE41" s="32"/>
      <c r="HF41" s="32"/>
      <c r="HG41" s="32"/>
      <c r="HH41" s="32"/>
      <c r="HI41" s="32"/>
      <c r="HJ41" s="32"/>
      <c r="HK41" s="32"/>
      <c r="HL41" s="32"/>
      <c r="HM41" s="32"/>
      <c r="HN41" s="32"/>
      <c r="HO41" s="32"/>
      <c r="HP41" s="32"/>
      <c r="HQ41" s="32"/>
      <c r="HR41" s="32"/>
      <c r="HS41" s="32"/>
      <c r="HT41" s="32"/>
      <c r="HU41" s="32"/>
      <c r="HV41" s="32"/>
      <c r="HW41" s="32"/>
      <c r="HX41" s="32"/>
      <c r="HY41" s="32"/>
      <c r="HZ41" s="32"/>
      <c r="IA41" s="32"/>
      <c r="IB41" s="32"/>
      <c r="IC41" s="32"/>
      <c r="ID41" s="32"/>
      <c r="IE41" s="32"/>
      <c r="IF41" s="32"/>
      <c r="IG41" s="32"/>
      <c r="IH41" s="32"/>
      <c r="II41" s="32"/>
      <c r="IJ41" s="32"/>
      <c r="IK41" s="32"/>
      <c r="IL41" s="32"/>
      <c r="IM41" s="32"/>
      <c r="IN41" s="32"/>
      <c r="IO41" s="32"/>
      <c r="IP41" s="32"/>
      <c r="IQ41" s="32"/>
      <c r="IR41" s="32"/>
      <c r="IS41" s="32"/>
      <c r="IT41" s="32"/>
      <c r="IU41" s="32"/>
      <c r="IV41" s="32"/>
      <c r="IW41" s="32"/>
    </row>
    <row r="42" customFormat="false" ht="13.5" hidden="false" customHeight="false" outlineLevel="0" collapsed="false">
      <c r="A42" s="410" t="s">
        <v>618</v>
      </c>
      <c r="B42" s="385"/>
      <c r="C42" s="385"/>
      <c r="D42" s="824" t="n">
        <f aca="false">-D33</f>
        <v>-0</v>
      </c>
      <c r="E42" s="824" t="n">
        <f aca="false">-E33</f>
        <v>-0</v>
      </c>
      <c r="F42" s="824" t="n">
        <f aca="false">-F33</f>
        <v>-0</v>
      </c>
      <c r="G42" s="824" t="n">
        <f aca="false">-G33</f>
        <v>-0</v>
      </c>
      <c r="H42" s="824" t="n">
        <f aca="false">-H33</f>
        <v>-198.607069783582</v>
      </c>
      <c r="I42" s="824" t="n">
        <f aca="false">-I33</f>
        <v>-1042.69144767515</v>
      </c>
      <c r="J42" s="824" t="n">
        <f aca="false">-J33</f>
        <v>-1161.48574228377</v>
      </c>
      <c r="K42" s="824" t="n">
        <f aca="false">-K33</f>
        <v>-1277.90563632693</v>
      </c>
      <c r="L42" s="824" t="n">
        <f aca="false">-L33</f>
        <v>-1341.82106844655</v>
      </c>
      <c r="M42" s="824" t="n">
        <f aca="false">-M33</f>
        <v>-1485.82514992163</v>
      </c>
      <c r="N42" s="824" t="n">
        <f aca="false">-N33</f>
        <v>-1590.91935117276</v>
      </c>
      <c r="O42" s="824" t="n">
        <f aca="false">-O33</f>
        <v>-1693.84937359084</v>
      </c>
      <c r="P42" s="824" t="n">
        <f aca="false">-P33</f>
        <v>-1741.98465827167</v>
      </c>
      <c r="Q42" s="824" t="n">
        <f aca="false">-Q33</f>
        <v>-1786.02093390657</v>
      </c>
      <c r="R42" s="824" t="n">
        <f aca="false">-R33</f>
        <v>-1831.53581169749</v>
      </c>
      <c r="S42" s="824" t="n">
        <f aca="false">-S33</f>
        <v>-2292.62542911805</v>
      </c>
      <c r="T42" s="824" t="n">
        <f aca="false">-T33</f>
        <v>-2752.14991650468</v>
      </c>
      <c r="U42" s="824" t="n">
        <f aca="false">-U33</f>
        <v>-2815.37473701189</v>
      </c>
      <c r="V42" s="824" t="n">
        <f aca="false">-V33</f>
        <v>-2886.3390558738</v>
      </c>
      <c r="W42" s="824" t="n">
        <f aca="false">-W33</f>
        <v>-2969.68711030474</v>
      </c>
      <c r="X42" s="824" t="n">
        <f aca="false">-X33</f>
        <v>-1118.13134358939</v>
      </c>
      <c r="Y42" s="824" t="n">
        <f aca="false">-Y33</f>
        <v>-0</v>
      </c>
      <c r="Z42" s="824" t="n">
        <f aca="false">-Z33</f>
        <v>-0</v>
      </c>
      <c r="AA42" s="824" t="n">
        <f aca="false">-AA33</f>
        <v>-0</v>
      </c>
      <c r="AB42" s="825" t="n">
        <f aca="false">-AB33</f>
        <v>-0</v>
      </c>
    </row>
    <row r="43" customFormat="false" ht="12" hidden="false" customHeight="true" outlineLevel="0" collapsed="false">
      <c r="A43" s="716" t="s">
        <v>606</v>
      </c>
      <c r="B43" s="826"/>
      <c r="C43" s="806"/>
      <c r="D43" s="827" t="n">
        <f aca="false">SUM(D40:D42)</f>
        <v>-6100.64479883143</v>
      </c>
      <c r="E43" s="827" t="n">
        <f aca="false">SUM(E40:E42)</f>
        <v>-4246.98893108505</v>
      </c>
      <c r="F43" s="827" t="n">
        <f aca="false">SUM(F40:F42)</f>
        <v>-2328.99724808696</v>
      </c>
      <c r="G43" s="827" t="n">
        <f aca="false">SUM(G40:G42)</f>
        <v>4599.6246168509</v>
      </c>
      <c r="H43" s="827" t="n">
        <f aca="false">SUM(H40:H42)</f>
        <v>10285.7577129881</v>
      </c>
      <c r="I43" s="827" t="n">
        <f aca="false">SUM(I40:I42)</f>
        <v>11595.9927665691</v>
      </c>
      <c r="J43" s="827" t="n">
        <f aca="false">SUM(J40:J42)</f>
        <v>12917.1293157013</v>
      </c>
      <c r="K43" s="827" t="n">
        <f aca="false">SUM(K40:K42)</f>
        <v>14211.8596524843</v>
      </c>
      <c r="L43" s="827" t="n">
        <f aca="false">SUM(L40:L42)</f>
        <v>14922.6767309056</v>
      </c>
      <c r="M43" s="827" t="n">
        <f aca="false">SUM(M40:M42)</f>
        <v>16524.1766673102</v>
      </c>
      <c r="N43" s="827" t="n">
        <f aca="false">SUM(N40:N42)</f>
        <v>17692.9515721334</v>
      </c>
      <c r="O43" s="827" t="n">
        <f aca="false">SUM(O40:O42)</f>
        <v>18837.6581850861</v>
      </c>
      <c r="P43" s="827" t="n">
        <f aca="false">SUM(P40:P42)</f>
        <v>19372.9808965364</v>
      </c>
      <c r="Q43" s="827" t="n">
        <f aca="false">SUM(Q40:Q42)</f>
        <v>19862.7176589003</v>
      </c>
      <c r="R43" s="827" t="n">
        <f aca="false">SUM(R40:R42)</f>
        <v>20368.8982694842</v>
      </c>
      <c r="S43" s="827" t="n">
        <f aca="false">SUM(S40:S42)</f>
        <v>25496.7737117067</v>
      </c>
      <c r="T43" s="827" t="n">
        <f aca="false">SUM(T40:T42)</f>
        <v>30607.2430108248</v>
      </c>
      <c r="U43" s="827" t="n">
        <f aca="false">SUM(U40:U42)</f>
        <v>31310.379651011</v>
      </c>
      <c r="V43" s="827" t="n">
        <f aca="false">SUM(V40:V42)</f>
        <v>32099.5888941117</v>
      </c>
      <c r="W43" s="827" t="n">
        <f aca="false">SUM(W40:W42)</f>
        <v>33026.5202873284</v>
      </c>
      <c r="X43" s="827" t="n">
        <f aca="false">SUM(X40:X42)</f>
        <v>12434.9758514335</v>
      </c>
      <c r="Y43" s="827" t="n">
        <f aca="false">SUM(Y40:Y42)</f>
        <v>0</v>
      </c>
      <c r="Z43" s="827" t="n">
        <f aca="false">SUM(Z40:Z42)</f>
        <v>0</v>
      </c>
      <c r="AA43" s="827" t="n">
        <f aca="false">SUM(AA40:AA42)</f>
        <v>0</v>
      </c>
      <c r="AB43" s="828" t="n">
        <f aca="false">SUM(AB40:AB42)</f>
        <v>0</v>
      </c>
      <c r="AC43" s="33"/>
      <c r="AD43" s="33"/>
      <c r="AE43" s="33"/>
      <c r="AF43" s="33"/>
      <c r="AG43" s="32"/>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c r="CQ43" s="32"/>
      <c r="CR43" s="32"/>
      <c r="CS43" s="32"/>
      <c r="CT43" s="32"/>
      <c r="CU43" s="32"/>
      <c r="CV43" s="32"/>
      <c r="CW43" s="32"/>
      <c r="CX43" s="32"/>
      <c r="CY43" s="32"/>
      <c r="CZ43" s="32"/>
      <c r="DA43" s="32"/>
      <c r="DB43" s="32"/>
      <c r="DC43" s="32"/>
      <c r="DD43" s="32"/>
      <c r="DE43" s="32"/>
      <c r="DF43" s="32"/>
      <c r="DG43" s="32"/>
      <c r="DH43" s="32"/>
      <c r="DI43" s="32"/>
      <c r="DJ43" s="32"/>
      <c r="DK43" s="32"/>
      <c r="DL43" s="32"/>
      <c r="DM43" s="32"/>
      <c r="DN43" s="32"/>
      <c r="DO43" s="32"/>
      <c r="DP43" s="32"/>
      <c r="DQ43" s="32"/>
      <c r="DR43" s="32"/>
      <c r="DS43" s="32"/>
      <c r="DT43" s="32"/>
      <c r="DU43" s="32"/>
      <c r="DV43" s="32"/>
      <c r="DW43" s="32"/>
      <c r="DX43" s="32"/>
      <c r="DY43" s="32"/>
      <c r="DZ43" s="32"/>
      <c r="EA43" s="32"/>
      <c r="EB43" s="32"/>
      <c r="EC43" s="32"/>
      <c r="ED43" s="32"/>
      <c r="EE43" s="32"/>
      <c r="EF43" s="32"/>
      <c r="EG43" s="32"/>
      <c r="EH43" s="32"/>
      <c r="EI43" s="32"/>
      <c r="EJ43" s="32"/>
      <c r="EK43" s="32"/>
      <c r="EL43" s="32"/>
      <c r="EM43" s="32"/>
      <c r="EN43" s="32"/>
      <c r="EO43" s="32"/>
      <c r="EP43" s="32"/>
      <c r="EQ43" s="32"/>
      <c r="ER43" s="32"/>
      <c r="ES43" s="32"/>
      <c r="ET43" s="32"/>
      <c r="EU43" s="32"/>
      <c r="EV43" s="32"/>
      <c r="EW43" s="32"/>
      <c r="EX43" s="32"/>
      <c r="EY43" s="32"/>
      <c r="EZ43" s="32"/>
      <c r="FA43" s="32"/>
      <c r="FB43" s="32"/>
      <c r="FC43" s="32"/>
      <c r="FD43" s="32"/>
      <c r="FE43" s="32"/>
      <c r="FF43" s="32"/>
      <c r="FG43" s="32"/>
      <c r="FH43" s="32"/>
      <c r="FI43" s="32"/>
      <c r="FJ43" s="32"/>
      <c r="FK43" s="32"/>
      <c r="FL43" s="32"/>
      <c r="FM43" s="32"/>
      <c r="FN43" s="32"/>
      <c r="FO43" s="32"/>
      <c r="FP43" s="32"/>
      <c r="FQ43" s="32"/>
      <c r="FR43" s="32"/>
      <c r="FS43" s="32"/>
      <c r="FT43" s="32"/>
      <c r="FU43" s="32"/>
      <c r="FV43" s="32"/>
      <c r="FW43" s="32"/>
      <c r="FX43" s="32"/>
      <c r="FY43" s="32"/>
      <c r="FZ43" s="32"/>
      <c r="GA43" s="32"/>
      <c r="GB43" s="32"/>
      <c r="GC43" s="32"/>
      <c r="GD43" s="32"/>
      <c r="GE43" s="32"/>
      <c r="GF43" s="32"/>
      <c r="GG43" s="32"/>
      <c r="GH43" s="32"/>
      <c r="GI43" s="32"/>
      <c r="GJ43" s="32"/>
      <c r="GK43" s="32"/>
      <c r="GL43" s="32"/>
      <c r="GM43" s="32"/>
      <c r="GN43" s="32"/>
      <c r="GO43" s="32"/>
      <c r="GP43" s="32"/>
      <c r="GQ43" s="32"/>
      <c r="GR43" s="32"/>
      <c r="GS43" s="32"/>
      <c r="GT43" s="32"/>
      <c r="GU43" s="32"/>
      <c r="GV43" s="32"/>
      <c r="GW43" s="32"/>
      <c r="GX43" s="32"/>
      <c r="GY43" s="32"/>
      <c r="GZ43" s="32"/>
      <c r="HA43" s="32"/>
      <c r="HB43" s="32"/>
      <c r="HC43" s="32"/>
      <c r="HD43" s="32"/>
      <c r="HE43" s="32"/>
      <c r="HF43" s="32"/>
      <c r="HG43" s="32"/>
      <c r="HH43" s="32"/>
      <c r="HI43" s="32"/>
      <c r="HJ43" s="32"/>
      <c r="HK43" s="32"/>
      <c r="HL43" s="32"/>
      <c r="HM43" s="32"/>
      <c r="HN43" s="32"/>
      <c r="HO43" s="32"/>
      <c r="HP43" s="32"/>
      <c r="HQ43" s="32"/>
      <c r="HR43" s="32"/>
      <c r="HS43" s="32"/>
      <c r="HT43" s="32"/>
      <c r="HU43" s="32"/>
      <c r="HV43" s="32"/>
      <c r="HW43" s="32"/>
      <c r="HX43" s="32"/>
      <c r="HY43" s="32"/>
      <c r="HZ43" s="32"/>
      <c r="IA43" s="32"/>
      <c r="IB43" s="32"/>
      <c r="IC43" s="32"/>
      <c r="ID43" s="32"/>
      <c r="IE43" s="32"/>
      <c r="IF43" s="32"/>
      <c r="IG43" s="32"/>
      <c r="IH43" s="32"/>
      <c r="II43" s="32"/>
      <c r="IJ43" s="32"/>
      <c r="IK43" s="32"/>
      <c r="IL43" s="32"/>
      <c r="IM43" s="32"/>
      <c r="IN43" s="32"/>
      <c r="IO43" s="32"/>
      <c r="IP43" s="32"/>
      <c r="IQ43" s="32"/>
      <c r="IR43" s="32"/>
      <c r="IS43" s="32"/>
      <c r="IT43" s="32"/>
      <c r="IU43" s="32"/>
      <c r="IV43" s="32"/>
      <c r="IW43" s="32"/>
    </row>
    <row r="44" customFormat="false" ht="12" hidden="false" customHeight="true" outlineLevel="0" collapsed="false">
      <c r="A44" s="720"/>
      <c r="B44" s="385"/>
      <c r="C44" s="385"/>
      <c r="D44" s="385"/>
      <c r="E44" s="385"/>
      <c r="F44" s="385"/>
      <c r="G44" s="385"/>
      <c r="H44" s="385"/>
      <c r="I44" s="385"/>
      <c r="J44" s="385"/>
      <c r="K44" s="385"/>
      <c r="L44" s="385"/>
      <c r="M44" s="385"/>
      <c r="N44" s="385"/>
      <c r="O44" s="385"/>
      <c r="P44" s="385"/>
      <c r="Q44" s="385"/>
      <c r="R44" s="385"/>
      <c r="S44" s="385"/>
      <c r="T44" s="385"/>
      <c r="U44" s="385"/>
      <c r="V44" s="385"/>
      <c r="W44" s="385"/>
      <c r="X44" s="385"/>
      <c r="Y44" s="385"/>
      <c r="Z44" s="385"/>
      <c r="AA44" s="385"/>
      <c r="AB44" s="415"/>
      <c r="AC44" s="385"/>
      <c r="AD44" s="385"/>
    </row>
    <row r="45" customFormat="false" ht="12" hidden="false" customHeight="true" outlineLevel="0" collapsed="false">
      <c r="A45" s="720" t="s">
        <v>619</v>
      </c>
      <c r="B45" s="385"/>
      <c r="C45" s="385"/>
      <c r="D45" s="406" t="n">
        <f aca="false">IF(D3&gt;ProjectLife,0,'Project Assumptions'!$N$62)</f>
        <v>0.35</v>
      </c>
      <c r="E45" s="406" t="n">
        <f aca="false">IF(E3&gt;ProjectLife,0,'Project Assumptions'!$N$62)</f>
        <v>0.35</v>
      </c>
      <c r="F45" s="406" t="n">
        <f aca="false">IF(F3&gt;ProjectLife,0,'Project Assumptions'!$N$62)</f>
        <v>0.35</v>
      </c>
      <c r="G45" s="406" t="n">
        <f aca="false">IF(G3&gt;ProjectLife,0,'Project Assumptions'!$N$62)</f>
        <v>0.35</v>
      </c>
      <c r="H45" s="406" t="n">
        <f aca="false">IF(H3&gt;ProjectLife,0,'Project Assumptions'!$N$62)</f>
        <v>0.35</v>
      </c>
      <c r="I45" s="406" t="n">
        <f aca="false">IF(I3&gt;ProjectLife,0,'Project Assumptions'!$N$62)</f>
        <v>0.35</v>
      </c>
      <c r="J45" s="406" t="n">
        <f aca="false">IF(J3&gt;ProjectLife,0,'Project Assumptions'!$N$62)</f>
        <v>0.35</v>
      </c>
      <c r="K45" s="406" t="n">
        <f aca="false">IF(K3&gt;ProjectLife,0,'Project Assumptions'!$N$62)</f>
        <v>0.35</v>
      </c>
      <c r="L45" s="406" t="n">
        <f aca="false">IF(L3&gt;ProjectLife,0,'Project Assumptions'!$N$62)</f>
        <v>0.35</v>
      </c>
      <c r="M45" s="406" t="n">
        <f aca="false">IF(M3&gt;ProjectLife,0,'Project Assumptions'!$N$62)</f>
        <v>0.35</v>
      </c>
      <c r="N45" s="406" t="n">
        <f aca="false">IF(N3&gt;ProjectLife,0,'Project Assumptions'!$N$62)</f>
        <v>0.35</v>
      </c>
      <c r="O45" s="406" t="n">
        <f aca="false">IF(O3&gt;ProjectLife,0,'Project Assumptions'!$N$62)</f>
        <v>0.35</v>
      </c>
      <c r="P45" s="406" t="n">
        <f aca="false">IF(P3&gt;ProjectLife,0,'Project Assumptions'!$N$62)</f>
        <v>0.35</v>
      </c>
      <c r="Q45" s="406" t="n">
        <f aca="false">IF(Q3&gt;ProjectLife,0,'Project Assumptions'!$N$62)</f>
        <v>0.35</v>
      </c>
      <c r="R45" s="406" t="n">
        <f aca="false">IF(R3&gt;ProjectLife,0,'Project Assumptions'!$N$62)</f>
        <v>0.35</v>
      </c>
      <c r="S45" s="406" t="n">
        <f aca="false">IF(S3&gt;ProjectLife,0,'Project Assumptions'!$N$62)</f>
        <v>0.35</v>
      </c>
      <c r="T45" s="406" t="n">
        <f aca="false">IF(T3&gt;ProjectLife,0,'Project Assumptions'!$N$62)</f>
        <v>0.35</v>
      </c>
      <c r="U45" s="406" t="n">
        <f aca="false">IF(U3&gt;ProjectLife,0,'Project Assumptions'!$N$62)</f>
        <v>0.35</v>
      </c>
      <c r="V45" s="406" t="n">
        <f aca="false">IF(V3&gt;ProjectLife,0,'Project Assumptions'!$N$62)</f>
        <v>0.35</v>
      </c>
      <c r="W45" s="406" t="n">
        <f aca="false">IF(W3&gt;ProjectLife,0,'Project Assumptions'!$N$62)</f>
        <v>0.35</v>
      </c>
      <c r="X45" s="406" t="n">
        <f aca="false">IF(X3&gt;ProjectLife+1,0,'Project Assumptions'!$N$62)</f>
        <v>0.35</v>
      </c>
      <c r="Y45" s="406" t="n">
        <f aca="false">IF(Y3&gt;ProjectLife,0,'Project Assumptions'!$N$62)</f>
        <v>0</v>
      </c>
      <c r="Z45" s="406" t="n">
        <f aca="false">IF(Z3&gt;ProjectLife,0,'Project Assumptions'!$N$62)</f>
        <v>0</v>
      </c>
      <c r="AA45" s="406" t="n">
        <f aca="false">IF(AA3&gt;ProjectLife,0,'Project Assumptions'!$N$62)</f>
        <v>0</v>
      </c>
      <c r="AB45" s="829" t="n">
        <f aca="false">IF(AB3&gt;ProjectLife,0,'Project Assumptions'!$N$62)</f>
        <v>0</v>
      </c>
      <c r="AC45" s="385"/>
      <c r="AD45" s="385"/>
    </row>
    <row r="46" customFormat="false" ht="12" hidden="false" customHeight="true" outlineLevel="0" collapsed="false">
      <c r="A46" s="720" t="s">
        <v>620</v>
      </c>
      <c r="B46" s="33"/>
      <c r="C46" s="32"/>
      <c r="D46" s="33" t="n">
        <f aca="false">D43*D45</f>
        <v>-2135.225679591</v>
      </c>
      <c r="E46" s="33" t="n">
        <f aca="false">E43*E45</f>
        <v>-1486.44612587977</v>
      </c>
      <c r="F46" s="33" t="n">
        <f aca="false">F43*F45</f>
        <v>-815.149036830435</v>
      </c>
      <c r="G46" s="33" t="n">
        <f aca="false">G43*G45</f>
        <v>1609.86861589782</v>
      </c>
      <c r="H46" s="33" t="n">
        <f aca="false">H43*H45</f>
        <v>3600.01519954584</v>
      </c>
      <c r="I46" s="33" t="n">
        <f aca="false">I43*I45</f>
        <v>4058.59746829919</v>
      </c>
      <c r="J46" s="33" t="n">
        <f aca="false">J43*J45</f>
        <v>4520.99526049545</v>
      </c>
      <c r="K46" s="33" t="n">
        <f aca="false">K43*K45</f>
        <v>4974.15087836951</v>
      </c>
      <c r="L46" s="33" t="n">
        <f aca="false">L43*L45</f>
        <v>5222.93685581695</v>
      </c>
      <c r="M46" s="33" t="n">
        <f aca="false">M43*M45</f>
        <v>5783.46183355858</v>
      </c>
      <c r="N46" s="33" t="n">
        <f aca="false">N43*N45</f>
        <v>6192.5330502467</v>
      </c>
      <c r="O46" s="33" t="n">
        <f aca="false">O43*O45</f>
        <v>6593.18036478012</v>
      </c>
      <c r="P46" s="33" t="n">
        <f aca="false">P43*P45</f>
        <v>6780.54331378775</v>
      </c>
      <c r="Q46" s="33" t="n">
        <f aca="false">Q43*Q45</f>
        <v>6951.95118061512</v>
      </c>
      <c r="R46" s="33" t="n">
        <f aca="false">R43*R45</f>
        <v>7129.11439431948</v>
      </c>
      <c r="S46" s="33" t="n">
        <f aca="false">S43*S45</f>
        <v>8923.87079909736</v>
      </c>
      <c r="T46" s="33" t="n">
        <f aca="false">T43*T45</f>
        <v>10712.5350537887</v>
      </c>
      <c r="U46" s="33" t="n">
        <f aca="false">U43*U45</f>
        <v>10958.6328778538</v>
      </c>
      <c r="V46" s="33" t="n">
        <f aca="false">V43*V45</f>
        <v>11234.8561129391</v>
      </c>
      <c r="W46" s="33" t="n">
        <f aca="false">W43*W45</f>
        <v>11559.282100565</v>
      </c>
      <c r="X46" s="33" t="n">
        <f aca="false">X43*X45</f>
        <v>4352.24154800172</v>
      </c>
      <c r="Y46" s="33" t="n">
        <f aca="false">Y43*Y45</f>
        <v>0</v>
      </c>
      <c r="Z46" s="33" t="n">
        <f aca="false">Z43*Z45</f>
        <v>0</v>
      </c>
      <c r="AA46" s="33" t="n">
        <f aca="false">AA43*AA45</f>
        <v>0</v>
      </c>
      <c r="AB46" s="724" t="n">
        <f aca="false">AB43*AB45</f>
        <v>0</v>
      </c>
      <c r="AC46" s="33"/>
      <c r="AD46" s="33"/>
      <c r="AE46" s="33"/>
      <c r="AF46" s="33"/>
      <c r="AG46" s="32"/>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c r="CQ46" s="32"/>
      <c r="CR46" s="32"/>
      <c r="CS46" s="32"/>
      <c r="CT46" s="32"/>
      <c r="CU46" s="32"/>
      <c r="CV46" s="32"/>
      <c r="CW46" s="32"/>
      <c r="CX46" s="32"/>
      <c r="CY46" s="32"/>
      <c r="CZ46" s="32"/>
      <c r="DA46" s="32"/>
      <c r="DB46" s="32"/>
      <c r="DC46" s="32"/>
      <c r="DD46" s="32"/>
      <c r="DE46" s="32"/>
      <c r="DF46" s="32"/>
      <c r="DG46" s="32"/>
      <c r="DH46" s="32"/>
      <c r="DI46" s="32"/>
      <c r="DJ46" s="32"/>
      <c r="DK46" s="32"/>
      <c r="DL46" s="32"/>
      <c r="DM46" s="32"/>
      <c r="DN46" s="32"/>
      <c r="DO46" s="32"/>
      <c r="DP46" s="32"/>
      <c r="DQ46" s="32"/>
      <c r="DR46" s="32"/>
      <c r="DS46" s="32"/>
      <c r="DT46" s="32"/>
      <c r="DU46" s="32"/>
      <c r="DV46" s="32"/>
      <c r="DW46" s="32"/>
      <c r="DX46" s="32"/>
      <c r="DY46" s="32"/>
      <c r="DZ46" s="32"/>
      <c r="EA46" s="32"/>
      <c r="EB46" s="32"/>
      <c r="EC46" s="32"/>
      <c r="ED46" s="32"/>
      <c r="EE46" s="32"/>
      <c r="EF46" s="32"/>
      <c r="EG46" s="32"/>
      <c r="EH46" s="32"/>
      <c r="EI46" s="32"/>
      <c r="EJ46" s="32"/>
      <c r="EK46" s="32"/>
      <c r="EL46" s="32"/>
      <c r="EM46" s="32"/>
      <c r="EN46" s="32"/>
      <c r="EO46" s="32"/>
      <c r="EP46" s="32"/>
      <c r="EQ46" s="32"/>
      <c r="ER46" s="32"/>
      <c r="ES46" s="32"/>
      <c r="ET46" s="32"/>
      <c r="EU46" s="32"/>
      <c r="EV46" s="32"/>
      <c r="EW46" s="32"/>
      <c r="EX46" s="32"/>
      <c r="EY46" s="32"/>
      <c r="EZ46" s="32"/>
      <c r="FA46" s="32"/>
      <c r="FB46" s="32"/>
      <c r="FC46" s="32"/>
      <c r="FD46" s="32"/>
      <c r="FE46" s="32"/>
      <c r="FF46" s="32"/>
      <c r="FG46" s="32"/>
      <c r="FH46" s="32"/>
      <c r="FI46" s="32"/>
      <c r="FJ46" s="32"/>
      <c r="FK46" s="32"/>
      <c r="FL46" s="32"/>
      <c r="FM46" s="32"/>
      <c r="FN46" s="32"/>
      <c r="FO46" s="32"/>
      <c r="FP46" s="32"/>
      <c r="FQ46" s="32"/>
      <c r="FR46" s="32"/>
      <c r="FS46" s="32"/>
      <c r="FT46" s="32"/>
      <c r="FU46" s="32"/>
      <c r="FV46" s="32"/>
      <c r="FW46" s="32"/>
      <c r="FX46" s="32"/>
      <c r="FY46" s="32"/>
      <c r="FZ46" s="32"/>
      <c r="GA46" s="32"/>
      <c r="GB46" s="32"/>
      <c r="GC46" s="32"/>
      <c r="GD46" s="32"/>
      <c r="GE46" s="32"/>
      <c r="GF46" s="32"/>
      <c r="GG46" s="32"/>
      <c r="GH46" s="32"/>
      <c r="GI46" s="32"/>
      <c r="GJ46" s="32"/>
      <c r="GK46" s="32"/>
      <c r="GL46" s="32"/>
      <c r="GM46" s="32"/>
      <c r="GN46" s="32"/>
      <c r="GO46" s="32"/>
      <c r="GP46" s="32"/>
      <c r="GQ46" s="32"/>
      <c r="GR46" s="32"/>
      <c r="GS46" s="32"/>
      <c r="GT46" s="32"/>
      <c r="GU46" s="32"/>
      <c r="GV46" s="32"/>
      <c r="GW46" s="32"/>
      <c r="GX46" s="32"/>
      <c r="GY46" s="32"/>
      <c r="GZ46" s="32"/>
      <c r="HA46" s="32"/>
      <c r="HB46" s="32"/>
      <c r="HC46" s="32"/>
      <c r="HD46" s="32"/>
      <c r="HE46" s="32"/>
      <c r="HF46" s="32"/>
      <c r="HG46" s="32"/>
      <c r="HH46" s="32"/>
      <c r="HI46" s="32"/>
      <c r="HJ46" s="32"/>
      <c r="HK46" s="32"/>
      <c r="HL46" s="32"/>
      <c r="HM46" s="32"/>
      <c r="HN46" s="32"/>
      <c r="HO46" s="32"/>
      <c r="HP46" s="32"/>
      <c r="HQ46" s="32"/>
      <c r="HR46" s="32"/>
      <c r="HS46" s="32"/>
      <c r="HT46" s="32"/>
      <c r="HU46" s="32"/>
      <c r="HV46" s="32"/>
      <c r="HW46" s="32"/>
      <c r="HX46" s="32"/>
      <c r="HY46" s="32"/>
      <c r="HZ46" s="32"/>
      <c r="IA46" s="32"/>
      <c r="IB46" s="32"/>
      <c r="IC46" s="32"/>
      <c r="ID46" s="32"/>
      <c r="IE46" s="32"/>
      <c r="IF46" s="32"/>
      <c r="IG46" s="32"/>
      <c r="IH46" s="32"/>
      <c r="II46" s="32"/>
      <c r="IJ46" s="32"/>
      <c r="IK46" s="32"/>
      <c r="IL46" s="32"/>
      <c r="IM46" s="32"/>
      <c r="IN46" s="32"/>
      <c r="IO46" s="32"/>
      <c r="IP46" s="32"/>
      <c r="IQ46" s="32"/>
      <c r="IR46" s="32"/>
      <c r="IS46" s="32"/>
      <c r="IT46" s="32"/>
      <c r="IU46" s="32"/>
      <c r="IV46" s="32"/>
      <c r="IW46" s="32"/>
    </row>
    <row r="47" customFormat="false" ht="12" hidden="false" customHeight="true" outlineLevel="0" collapsed="false">
      <c r="A47" s="720"/>
      <c r="B47" s="830"/>
      <c r="C47" s="799"/>
      <c r="D47" s="385"/>
      <c r="E47" s="385"/>
      <c r="F47" s="385"/>
      <c r="G47" s="385"/>
      <c r="H47" s="385"/>
      <c r="I47" s="385"/>
      <c r="J47" s="385"/>
      <c r="K47" s="385"/>
      <c r="L47" s="385"/>
      <c r="M47" s="385"/>
      <c r="N47" s="385"/>
      <c r="O47" s="385"/>
      <c r="P47" s="385"/>
      <c r="Q47" s="385"/>
      <c r="R47" s="385"/>
      <c r="S47" s="385"/>
      <c r="T47" s="385"/>
      <c r="U47" s="385"/>
      <c r="V47" s="385"/>
      <c r="W47" s="385"/>
      <c r="X47" s="385"/>
      <c r="Y47" s="385"/>
      <c r="Z47" s="385"/>
      <c r="AA47" s="385"/>
      <c r="AB47" s="415"/>
      <c r="AC47" s="385"/>
      <c r="AD47" s="385"/>
      <c r="AE47" s="798"/>
      <c r="AF47" s="798"/>
      <c r="AG47" s="799"/>
      <c r="AH47" s="799"/>
      <c r="AI47" s="799"/>
      <c r="AJ47" s="799"/>
      <c r="AK47" s="799"/>
      <c r="AL47" s="799"/>
      <c r="AM47" s="799"/>
      <c r="AN47" s="799"/>
      <c r="AO47" s="799"/>
      <c r="AP47" s="799"/>
      <c r="AQ47" s="799"/>
      <c r="AR47" s="799"/>
      <c r="AS47" s="799"/>
      <c r="AT47" s="799"/>
      <c r="AU47" s="799"/>
      <c r="AV47" s="799"/>
      <c r="AW47" s="799"/>
      <c r="AX47" s="799"/>
      <c r="AY47" s="799"/>
      <c r="AZ47" s="799"/>
      <c r="BA47" s="799"/>
      <c r="BB47" s="799"/>
      <c r="BC47" s="799"/>
      <c r="BD47" s="799"/>
      <c r="BE47" s="799"/>
      <c r="BF47" s="799"/>
      <c r="BG47" s="799"/>
      <c r="BH47" s="799"/>
      <c r="BI47" s="799"/>
      <c r="BJ47" s="799"/>
      <c r="BK47" s="799"/>
      <c r="BL47" s="799"/>
      <c r="BM47" s="799"/>
      <c r="BN47" s="799"/>
      <c r="BO47" s="799"/>
      <c r="BP47" s="799"/>
      <c r="BQ47" s="799"/>
      <c r="BR47" s="799"/>
      <c r="BS47" s="799"/>
      <c r="BT47" s="799"/>
      <c r="BU47" s="799"/>
      <c r="BV47" s="799"/>
      <c r="BW47" s="799"/>
      <c r="BX47" s="799"/>
      <c r="BY47" s="799"/>
      <c r="BZ47" s="799"/>
      <c r="CA47" s="799"/>
      <c r="CB47" s="799"/>
      <c r="CC47" s="799"/>
      <c r="CD47" s="799"/>
      <c r="CE47" s="799"/>
      <c r="CF47" s="799"/>
      <c r="CG47" s="799"/>
      <c r="CH47" s="799"/>
      <c r="CI47" s="799"/>
      <c r="CJ47" s="799"/>
      <c r="CK47" s="799"/>
      <c r="CL47" s="799"/>
      <c r="CM47" s="799"/>
      <c r="CN47" s="799"/>
      <c r="CO47" s="799"/>
      <c r="CP47" s="799"/>
      <c r="CQ47" s="799"/>
      <c r="CR47" s="799"/>
      <c r="CS47" s="799"/>
      <c r="CT47" s="799"/>
      <c r="CU47" s="799"/>
      <c r="CV47" s="799"/>
      <c r="CW47" s="799"/>
      <c r="CX47" s="799"/>
      <c r="CY47" s="799"/>
      <c r="CZ47" s="799"/>
      <c r="DA47" s="799"/>
      <c r="DB47" s="799"/>
      <c r="DC47" s="799"/>
      <c r="DD47" s="799"/>
      <c r="DE47" s="799"/>
      <c r="DF47" s="799"/>
      <c r="DG47" s="799"/>
      <c r="DH47" s="799"/>
      <c r="DI47" s="799"/>
      <c r="DJ47" s="799"/>
      <c r="DK47" s="799"/>
      <c r="DL47" s="799"/>
      <c r="DM47" s="799"/>
      <c r="DN47" s="799"/>
      <c r="DO47" s="799"/>
      <c r="DP47" s="799"/>
      <c r="DQ47" s="799"/>
      <c r="DR47" s="799"/>
      <c r="DS47" s="799"/>
      <c r="DT47" s="799"/>
      <c r="DU47" s="799"/>
      <c r="DV47" s="799"/>
      <c r="DW47" s="799"/>
      <c r="DX47" s="799"/>
      <c r="DY47" s="799"/>
      <c r="DZ47" s="799"/>
      <c r="EA47" s="799"/>
      <c r="EB47" s="799"/>
      <c r="EC47" s="799"/>
      <c r="ED47" s="799"/>
      <c r="EE47" s="799"/>
      <c r="EF47" s="799"/>
      <c r="EG47" s="799"/>
      <c r="EH47" s="799"/>
      <c r="EI47" s="799"/>
      <c r="EJ47" s="799"/>
      <c r="EK47" s="799"/>
      <c r="EL47" s="799"/>
      <c r="EM47" s="799"/>
      <c r="EN47" s="799"/>
      <c r="EO47" s="799"/>
      <c r="EP47" s="799"/>
      <c r="EQ47" s="799"/>
      <c r="ER47" s="799"/>
      <c r="ES47" s="799"/>
      <c r="ET47" s="799"/>
      <c r="EU47" s="799"/>
      <c r="EV47" s="799"/>
      <c r="EW47" s="799"/>
      <c r="EX47" s="799"/>
      <c r="EY47" s="799"/>
      <c r="EZ47" s="799"/>
      <c r="FA47" s="799"/>
      <c r="FB47" s="799"/>
      <c r="FC47" s="799"/>
      <c r="FD47" s="799"/>
      <c r="FE47" s="799"/>
      <c r="FF47" s="799"/>
      <c r="FG47" s="799"/>
      <c r="FH47" s="799"/>
      <c r="FI47" s="799"/>
      <c r="FJ47" s="799"/>
      <c r="FK47" s="799"/>
      <c r="FL47" s="799"/>
      <c r="FM47" s="799"/>
      <c r="FN47" s="799"/>
      <c r="FO47" s="799"/>
      <c r="FP47" s="799"/>
      <c r="FQ47" s="799"/>
      <c r="FR47" s="799"/>
      <c r="FS47" s="799"/>
      <c r="FT47" s="799"/>
      <c r="FU47" s="799"/>
      <c r="FV47" s="799"/>
      <c r="FW47" s="799"/>
      <c r="FX47" s="799"/>
      <c r="FY47" s="799"/>
      <c r="FZ47" s="799"/>
      <c r="GA47" s="799"/>
      <c r="GB47" s="799"/>
      <c r="GC47" s="799"/>
      <c r="GD47" s="799"/>
      <c r="GE47" s="799"/>
      <c r="GF47" s="799"/>
      <c r="GG47" s="799"/>
      <c r="GH47" s="799"/>
      <c r="GI47" s="799"/>
      <c r="GJ47" s="799"/>
      <c r="GK47" s="799"/>
      <c r="GL47" s="799"/>
      <c r="GM47" s="799"/>
      <c r="GN47" s="799"/>
      <c r="GO47" s="799"/>
      <c r="GP47" s="799"/>
      <c r="GQ47" s="799"/>
      <c r="GR47" s="799"/>
      <c r="GS47" s="799"/>
      <c r="GT47" s="799"/>
      <c r="GU47" s="799"/>
      <c r="GV47" s="799"/>
      <c r="GW47" s="799"/>
      <c r="GX47" s="799"/>
      <c r="GY47" s="799"/>
      <c r="GZ47" s="799"/>
      <c r="HA47" s="799"/>
      <c r="HB47" s="799"/>
      <c r="HC47" s="799"/>
      <c r="HD47" s="799"/>
      <c r="HE47" s="799"/>
      <c r="HF47" s="799"/>
      <c r="HG47" s="799"/>
      <c r="HH47" s="799"/>
      <c r="HI47" s="799"/>
      <c r="HJ47" s="799"/>
      <c r="HK47" s="799"/>
      <c r="HL47" s="799"/>
      <c r="HM47" s="799"/>
      <c r="HN47" s="799"/>
      <c r="HO47" s="799"/>
      <c r="HP47" s="799"/>
      <c r="HQ47" s="799"/>
      <c r="HR47" s="799"/>
      <c r="HS47" s="799"/>
      <c r="HT47" s="799"/>
      <c r="HU47" s="799"/>
      <c r="HV47" s="799"/>
      <c r="HW47" s="799"/>
      <c r="HX47" s="799"/>
      <c r="HY47" s="799"/>
      <c r="HZ47" s="799"/>
      <c r="IA47" s="799"/>
      <c r="IB47" s="799"/>
      <c r="IC47" s="799"/>
      <c r="ID47" s="799"/>
      <c r="IE47" s="799"/>
      <c r="IF47" s="799"/>
      <c r="IG47" s="799"/>
      <c r="IH47" s="799"/>
      <c r="II47" s="799"/>
      <c r="IJ47" s="799"/>
      <c r="IK47" s="799"/>
      <c r="IL47" s="799"/>
      <c r="IM47" s="799"/>
      <c r="IN47" s="799"/>
      <c r="IO47" s="799"/>
      <c r="IP47" s="799"/>
      <c r="IQ47" s="799"/>
      <c r="IR47" s="799"/>
      <c r="IS47" s="799"/>
      <c r="IT47" s="799"/>
      <c r="IU47" s="799"/>
      <c r="IV47" s="799"/>
      <c r="IW47" s="799"/>
    </row>
    <row r="48" customFormat="false" ht="11.25" hidden="false" customHeight="false" outlineLevel="0" collapsed="false">
      <c r="A48" s="410" t="s">
        <v>621</v>
      </c>
      <c r="B48" s="641"/>
      <c r="C48" s="831"/>
      <c r="D48" s="33" t="n">
        <f aca="false">IF(D3&gt;'Project Assumptions'!$I$15,0,IF(C48-C49+IF(D46&lt;0,-1*D46,0)&gt;0,C48-C49+IF(D46&lt;0,-1*D46,0),0))</f>
        <v>2135.225679591</v>
      </c>
      <c r="E48" s="33" t="n">
        <f aca="false">IF(E3&gt;'Project Assumptions'!$I$15,0,IF(D48-D49+IF(E46&lt;0,-1*E46,0)&gt;0,D48-D49+IF(E46&lt;0,-1*E46,0),0))</f>
        <v>3621.67180547077</v>
      </c>
      <c r="F48" s="33" t="n">
        <f aca="false">IF(F3&gt;'Project Assumptions'!$I$15,0,IF(E48-E49+IF(F46&lt;0,-1*F46,0)&gt;0,E48-E49+IF(F46&lt;0,-1*F46,0),0))</f>
        <v>4436.8208423012</v>
      </c>
      <c r="G48" s="33" t="n">
        <f aca="false">IF(G3&gt;'Project Assumptions'!$I$15,0,IF(F48-F49+IF(G46&lt;0,-1*G46,0)&gt;0,F48-F49+IF(G46&lt;0,-1*G46,0),0))</f>
        <v>4436.8208423012</v>
      </c>
      <c r="H48" s="33" t="n">
        <f aca="false">IF(H3&gt;'Project Assumptions'!$I$15,0,IF(G48-G49+IF(H46&lt;0,-1*H46,0)&gt;0,G48-G49+IF(H46&lt;0,-1*H46,0),0))</f>
        <v>2826.95222640339</v>
      </c>
      <c r="I48" s="33" t="n">
        <f aca="false">IF(I3&gt;'Project Assumptions'!$I$15,0,IF(H48-H49+IF(I46&lt;0,-1*I46,0)&gt;0,H48-H49+IF(I46&lt;0,-1*I46,0),0))</f>
        <v>0</v>
      </c>
      <c r="J48" s="33" t="n">
        <f aca="false">IF(J3&gt;'Project Assumptions'!$I$15,0,IF(I48-I49+IF(J46&lt;0,-1*J46,0)&gt;0,I48-I49+IF(J46&lt;0,-1*J46,0),0))</f>
        <v>0</v>
      </c>
      <c r="K48" s="33" t="n">
        <f aca="false">IF(K3&gt;'Project Assumptions'!$I$15,0,IF(J48-J49+IF(K46&lt;0,-1*K46,0)&gt;0,J48-J49+IF(K46&lt;0,-1*K46,0),0))</f>
        <v>0</v>
      </c>
      <c r="L48" s="33" t="n">
        <f aca="false">IF(L3&gt;'Project Assumptions'!$I$15,0,IF(K48-K49+IF(L46&lt;0,-1*L46,0)&gt;0,K48-K49+IF(L46&lt;0,-1*L46,0),0))</f>
        <v>0</v>
      </c>
      <c r="M48" s="33" t="n">
        <f aca="false">IF(M3&gt;'Project Assumptions'!$I$15,0,IF(L48-L49+IF(M46&lt;0,-1*M46,0)&gt;0,L48-L49+IF(M46&lt;0,-1*M46,0),0))</f>
        <v>0</v>
      </c>
      <c r="N48" s="33" t="n">
        <f aca="false">IF(N3&gt;'Project Assumptions'!$I$15,0,IF(M48-M49+IF(N46&lt;0,-1*N46,0)&gt;0,M48-M49+IF(N46&lt;0,-1*N46,0),0))</f>
        <v>0</v>
      </c>
      <c r="O48" s="33" t="n">
        <f aca="false">IF(O3&gt;'Project Assumptions'!$I$15,0,IF(N48-N49+IF(O46&lt;0,-1*O46,0)&gt;0,N48-N49+IF(O46&lt;0,-1*O46,0),0))</f>
        <v>0</v>
      </c>
      <c r="P48" s="33" t="n">
        <f aca="false">IF(P3&gt;'Project Assumptions'!$I$15,0,IF(O48-O49+IF(P46&lt;0,-1*P46,0)&gt;0,O48-O49+IF(P46&lt;0,-1*P46,0),0))</f>
        <v>0</v>
      </c>
      <c r="Q48" s="33" t="n">
        <f aca="false">IF(Q3&gt;'Project Assumptions'!$I$15,0,IF(P48-P49+IF(Q46&lt;0,-1*Q46,0)&gt;0,P48-P49+IF(Q46&lt;0,-1*Q46,0),0))</f>
        <v>0</v>
      </c>
      <c r="R48" s="33" t="n">
        <f aca="false">IF(R3&gt;'Project Assumptions'!$I$15,0,IF(Q48-Q49+IF(R46&lt;0,-1*R46,0)&gt;0,Q48-Q49+IF(R46&lt;0,-1*R46,0),0))</f>
        <v>0</v>
      </c>
      <c r="S48" s="33" t="n">
        <f aca="false">IF(S3&gt;'Project Assumptions'!$I$15,0,IF(R48-R49+IF(S46&lt;0,-1*S46,0)&gt;0,R48-R49+IF(S46&lt;0,-1*S46,0),0))</f>
        <v>0</v>
      </c>
      <c r="T48" s="33" t="n">
        <f aca="false">IF(T3&gt;'Project Assumptions'!$I$15,0,IF(S48-S49+IF(T46&lt;0,-1*T46,0)&gt;0,S48-S49+IF(T46&lt;0,-1*T46,0),0))</f>
        <v>0</v>
      </c>
      <c r="U48" s="33" t="n">
        <f aca="false">IF(U3&gt;'Project Assumptions'!$I$15,0,IF(T48-T49+IF(U46&lt;0,-1*U46,0)&gt;0,T48-T49+IF(U46&lt;0,-1*U46,0),0))</f>
        <v>0</v>
      </c>
      <c r="V48" s="33" t="n">
        <f aca="false">IF(V3&gt;'Project Assumptions'!$I$15,0,IF(U48-U49+IF(V46&lt;0,-1*V46,0)&gt;0,U48-U49+IF(V46&lt;0,-1*V46,0),0))</f>
        <v>0</v>
      </c>
      <c r="W48" s="33" t="n">
        <f aca="false">IF(W3&gt;'Project Assumptions'!$I$15,0,IF(V48-V49+IF(W46&lt;0,-1*W46,0)&gt;0,V48-V49+IF(W46&lt;0,-1*W46,0),0))</f>
        <v>0</v>
      </c>
      <c r="X48" s="33" t="n">
        <f aca="false">IF(X3&gt;'Project Assumptions'!$I$15,0,IF(W48-W49+IF(X46&lt;0,-1*X46,0)&gt;0,W48-W49+IF(X46&lt;0,-1*X46,0),0))</f>
        <v>0</v>
      </c>
      <c r="Y48" s="33" t="n">
        <f aca="false">IF(Y3&gt;'Project Assumptions'!$I$15,0,IF(X48-X49+IF(Y46&lt;0,-1*Y46,0)&gt;0,X48-X49+IF(Y46&lt;0,-1*Y46,0),0))</f>
        <v>0</v>
      </c>
      <c r="Z48" s="33" t="n">
        <f aca="false">IF(Z3&gt;'Project Assumptions'!$I$15,0,IF(Y48-Y49+IF(Z46&lt;0,-1*Z46,0)&gt;0,Y48-Y49+IF(Z46&lt;0,-1*Z46,0),0))</f>
        <v>0</v>
      </c>
      <c r="AA48" s="33" t="n">
        <f aca="false">IF(AA3&gt;'Project Assumptions'!$I$15,0,IF(Z48-Z49+IF(AA46&lt;0,-1*AA46,0)&gt;0,Z48-Z49+IF(AA46&lt;0,-1*AA46,0),0))</f>
        <v>0</v>
      </c>
      <c r="AB48" s="724" t="n">
        <f aca="false">IF(AB3&gt;'Project Assumptions'!$I$15,0,IF(AA48-AA49+IF(AB46&lt;0,-1*AB46,0)&gt;0,AA48-AA49+IF(AB46&lt;0,-1*AB46,0),0))</f>
        <v>0</v>
      </c>
      <c r="AC48" s="385"/>
      <c r="AD48" s="385"/>
      <c r="AG48" s="832"/>
      <c r="AH48" s="832"/>
      <c r="AI48" s="832"/>
      <c r="AJ48" s="832"/>
      <c r="AK48" s="832"/>
      <c r="AL48" s="832"/>
      <c r="AM48" s="832"/>
      <c r="AN48" s="832"/>
      <c r="AO48" s="832"/>
      <c r="AP48" s="832"/>
      <c r="AQ48" s="832"/>
      <c r="AR48" s="832"/>
      <c r="AS48" s="832"/>
      <c r="AT48" s="832"/>
      <c r="AU48" s="832"/>
      <c r="AV48" s="832"/>
      <c r="AW48" s="832"/>
      <c r="AX48" s="832"/>
      <c r="AY48" s="832"/>
      <c r="AZ48" s="832"/>
      <c r="BA48" s="832"/>
      <c r="BB48" s="832"/>
      <c r="BC48" s="832"/>
      <c r="BD48" s="832"/>
      <c r="BE48" s="832"/>
      <c r="BF48" s="832"/>
      <c r="BG48" s="832"/>
      <c r="BH48" s="832"/>
      <c r="BI48" s="832"/>
      <c r="BJ48" s="832"/>
      <c r="BK48" s="832"/>
      <c r="BL48" s="832"/>
      <c r="BM48" s="832"/>
      <c r="BN48" s="832"/>
      <c r="BO48" s="832"/>
      <c r="BP48" s="832"/>
      <c r="BQ48" s="832"/>
      <c r="BR48" s="832"/>
      <c r="BS48" s="832"/>
      <c r="BT48" s="832"/>
      <c r="BU48" s="832"/>
      <c r="BV48" s="832"/>
      <c r="BW48" s="832"/>
      <c r="BX48" s="832"/>
      <c r="BY48" s="832"/>
      <c r="BZ48" s="832"/>
      <c r="CA48" s="832"/>
      <c r="CB48" s="832"/>
      <c r="CC48" s="832"/>
      <c r="CD48" s="832"/>
      <c r="CE48" s="832"/>
      <c r="CF48" s="832"/>
      <c r="CG48" s="832"/>
      <c r="CH48" s="832"/>
      <c r="CI48" s="832"/>
      <c r="CJ48" s="832"/>
      <c r="CK48" s="832"/>
      <c r="CL48" s="832"/>
      <c r="CM48" s="832"/>
      <c r="CN48" s="832"/>
      <c r="CO48" s="832"/>
      <c r="CP48" s="832"/>
      <c r="CQ48" s="832"/>
      <c r="CR48" s="832"/>
      <c r="CS48" s="832"/>
      <c r="CT48" s="832"/>
      <c r="CU48" s="832"/>
      <c r="CV48" s="832"/>
      <c r="CW48" s="832"/>
      <c r="CX48" s="832"/>
      <c r="CY48" s="832"/>
      <c r="CZ48" s="832"/>
      <c r="DA48" s="832"/>
      <c r="DB48" s="832"/>
      <c r="DC48" s="832"/>
      <c r="DD48" s="832"/>
      <c r="DE48" s="832"/>
      <c r="DF48" s="832"/>
      <c r="DG48" s="832"/>
      <c r="DH48" s="832"/>
      <c r="DI48" s="832"/>
      <c r="DJ48" s="832"/>
      <c r="DK48" s="832"/>
      <c r="DL48" s="832"/>
      <c r="DM48" s="832"/>
      <c r="DN48" s="832"/>
      <c r="DO48" s="832"/>
      <c r="DP48" s="832"/>
      <c r="DQ48" s="832"/>
      <c r="DR48" s="832"/>
      <c r="DS48" s="832"/>
      <c r="DT48" s="832"/>
      <c r="DU48" s="832"/>
      <c r="DV48" s="832"/>
      <c r="DW48" s="832"/>
      <c r="DX48" s="832"/>
      <c r="DY48" s="832"/>
      <c r="DZ48" s="832"/>
      <c r="EA48" s="832"/>
      <c r="EB48" s="832"/>
      <c r="EC48" s="832"/>
      <c r="ED48" s="832"/>
      <c r="EE48" s="832"/>
      <c r="EF48" s="832"/>
      <c r="EG48" s="832"/>
      <c r="EH48" s="832"/>
      <c r="EI48" s="832"/>
      <c r="EJ48" s="832"/>
      <c r="EK48" s="832"/>
      <c r="EL48" s="832"/>
      <c r="EM48" s="832"/>
      <c r="EN48" s="832"/>
      <c r="EO48" s="832"/>
      <c r="EP48" s="832"/>
      <c r="EQ48" s="832"/>
      <c r="ER48" s="832"/>
      <c r="ES48" s="832"/>
      <c r="ET48" s="832"/>
      <c r="EU48" s="832"/>
      <c r="EV48" s="832"/>
      <c r="EW48" s="832"/>
      <c r="EX48" s="832"/>
      <c r="EY48" s="832"/>
      <c r="EZ48" s="832"/>
      <c r="FA48" s="832"/>
      <c r="FB48" s="832"/>
      <c r="FC48" s="832"/>
      <c r="FD48" s="832"/>
      <c r="FE48" s="832"/>
      <c r="FF48" s="832"/>
      <c r="FG48" s="832"/>
      <c r="FH48" s="832"/>
      <c r="FI48" s="832"/>
      <c r="FJ48" s="832"/>
      <c r="FK48" s="832"/>
      <c r="FL48" s="832"/>
      <c r="FM48" s="832"/>
      <c r="FN48" s="832"/>
      <c r="FO48" s="832"/>
      <c r="FP48" s="832"/>
      <c r="FQ48" s="832"/>
      <c r="FR48" s="832"/>
      <c r="FS48" s="832"/>
      <c r="FT48" s="832"/>
      <c r="FU48" s="832"/>
      <c r="FV48" s="832"/>
      <c r="FW48" s="832"/>
      <c r="FX48" s="832"/>
      <c r="FY48" s="832"/>
      <c r="FZ48" s="832"/>
      <c r="GA48" s="832"/>
      <c r="GB48" s="832"/>
      <c r="GC48" s="832"/>
      <c r="GD48" s="832"/>
      <c r="GE48" s="832"/>
      <c r="GF48" s="832"/>
      <c r="GG48" s="832"/>
      <c r="GH48" s="832"/>
      <c r="GI48" s="832"/>
      <c r="GJ48" s="832"/>
      <c r="GK48" s="832"/>
      <c r="GL48" s="832"/>
      <c r="GM48" s="832"/>
      <c r="GN48" s="832"/>
      <c r="GO48" s="832"/>
      <c r="GP48" s="832"/>
      <c r="GQ48" s="832"/>
      <c r="GR48" s="832"/>
      <c r="GS48" s="832"/>
      <c r="GT48" s="832"/>
      <c r="GU48" s="832"/>
      <c r="GV48" s="832"/>
      <c r="GW48" s="832"/>
      <c r="GX48" s="832"/>
      <c r="GY48" s="832"/>
      <c r="GZ48" s="832"/>
      <c r="HA48" s="832"/>
      <c r="HB48" s="832"/>
      <c r="HC48" s="832"/>
      <c r="HD48" s="832"/>
      <c r="HE48" s="832"/>
      <c r="HF48" s="832"/>
      <c r="HG48" s="832"/>
      <c r="HH48" s="832"/>
      <c r="HI48" s="832"/>
      <c r="HJ48" s="832"/>
      <c r="HK48" s="832"/>
      <c r="HL48" s="832"/>
      <c r="HM48" s="832"/>
      <c r="HN48" s="832"/>
      <c r="HO48" s="832"/>
      <c r="HP48" s="832"/>
      <c r="HQ48" s="832"/>
      <c r="HR48" s="832"/>
      <c r="HS48" s="832"/>
      <c r="HT48" s="832"/>
      <c r="HU48" s="832"/>
      <c r="HV48" s="832"/>
      <c r="HW48" s="832"/>
      <c r="HX48" s="832"/>
      <c r="HY48" s="832"/>
      <c r="HZ48" s="832"/>
      <c r="IA48" s="832"/>
      <c r="IB48" s="832"/>
      <c r="IC48" s="832"/>
      <c r="ID48" s="832"/>
      <c r="IE48" s="832"/>
      <c r="IF48" s="832"/>
      <c r="IG48" s="832"/>
      <c r="IH48" s="832"/>
      <c r="II48" s="832"/>
      <c r="IJ48" s="832"/>
      <c r="IK48" s="832"/>
      <c r="IL48" s="832"/>
      <c r="IM48" s="832"/>
      <c r="IN48" s="832"/>
      <c r="IO48" s="832"/>
      <c r="IP48" s="832"/>
      <c r="IQ48" s="832"/>
      <c r="IR48" s="832"/>
      <c r="IS48" s="832"/>
      <c r="IT48" s="832"/>
      <c r="IU48" s="832"/>
      <c r="IV48" s="832"/>
      <c r="IW48" s="832"/>
    </row>
    <row r="49" customFormat="false" ht="11.25" hidden="false" customHeight="false" outlineLevel="0" collapsed="false">
      <c r="A49" s="410" t="s">
        <v>613</v>
      </c>
      <c r="B49" s="641"/>
      <c r="C49" s="831"/>
      <c r="D49" s="33" t="n">
        <f aca="false">IF('Project Assumptions'!$C$66="No",0,IF(D3&lt;='Project Assumptions'!$C$68,IF(D46&lt;0,0,IF(D48&gt;D46,D46,D48)),0))</f>
        <v>0</v>
      </c>
      <c r="E49" s="33" t="n">
        <f aca="false">IF('Project Assumptions'!$C$66="No",0,IF(E3&lt;='Project Assumptions'!$C$68,IF(E46&lt;0,0,IF(E48&gt;E46,E46,E48)),0))</f>
        <v>0</v>
      </c>
      <c r="F49" s="33" t="n">
        <f aca="false">IF('Project Assumptions'!$C$66="No",0,IF(F3&lt;='Project Assumptions'!$C$68,IF(F46&lt;0,0,IF(F48&gt;F46,F46,F48)),0))</f>
        <v>0</v>
      </c>
      <c r="G49" s="33" t="n">
        <f aca="false">IF('Project Assumptions'!$C$66="No",0,IF(G3&lt;='Project Assumptions'!$C$68,IF(G46&lt;0,0,IF(G48&gt;G46,G46,G48)),0))</f>
        <v>1609.86861589782</v>
      </c>
      <c r="H49" s="33" t="n">
        <f aca="false">IF('Project Assumptions'!$C$66="No",0,IF(H3&lt;='Project Assumptions'!$C$68,IF(H46&lt;0,0,IF(H48&gt;H46,H46,H48)),0))</f>
        <v>2826.95222640339</v>
      </c>
      <c r="I49" s="33" t="n">
        <f aca="false">IF('Project Assumptions'!$C$66="No",0,IF(I3&lt;='Project Assumptions'!$C$68,IF(I46&lt;0,0,IF(I48&gt;I46,I46,I48)),0))</f>
        <v>0</v>
      </c>
      <c r="J49" s="33" t="n">
        <f aca="false">IF('Project Assumptions'!$C$66="No",0,IF(J3&lt;='Project Assumptions'!$C$68,IF(J46&lt;0,0,IF(J48&gt;J46,J46,J48)),0))</f>
        <v>0</v>
      </c>
      <c r="K49" s="33" t="n">
        <f aca="false">IF('Project Assumptions'!$C$66="No",0,IF(K3&lt;='Project Assumptions'!$C$68,IF(K46&lt;0,0,IF(K48&gt;K46,K46,K48)),0))</f>
        <v>0</v>
      </c>
      <c r="L49" s="33" t="n">
        <f aca="false">IF('Project Assumptions'!$C$66="No",0,IF(L3&lt;='Project Assumptions'!$C$68,IF(L46&lt;0,0,IF(L48&gt;L46,L46,L48)),0))</f>
        <v>0</v>
      </c>
      <c r="M49" s="33" t="n">
        <f aca="false">IF('Project Assumptions'!$C$66="No",0,IF(M3&lt;='Project Assumptions'!$C$68,IF(M46&lt;0,0,IF(M48&gt;M46,M46,M48)),0))</f>
        <v>0</v>
      </c>
      <c r="N49" s="33" t="n">
        <f aca="false">IF('Project Assumptions'!$C$66="No",0,IF(N3&lt;='Project Assumptions'!$C$68,IF(N46&lt;0,0,IF(N48&gt;N46,N46,N48)),0))</f>
        <v>0</v>
      </c>
      <c r="O49" s="33" t="n">
        <f aca="false">IF('Project Assumptions'!$C$66="No",0,IF(O3&lt;='Project Assumptions'!$C$68,IF(O46&lt;0,0,IF(O48&gt;O46,O46,O48)),0))</f>
        <v>0</v>
      </c>
      <c r="P49" s="33" t="n">
        <f aca="false">IF('Project Assumptions'!$C$66="No",0,IF(P3&lt;='Project Assumptions'!$C$68,IF(P46&lt;0,0,IF(P48&gt;P46,P46,P48)),0))</f>
        <v>0</v>
      </c>
      <c r="Q49" s="33" t="n">
        <f aca="false">IF('Project Assumptions'!$C$66="No",0,IF(Q3&lt;='Project Assumptions'!$C$68,IF(Q46&lt;0,0,IF(Q48&gt;Q46,Q46,Q48)),0))</f>
        <v>0</v>
      </c>
      <c r="R49" s="33" t="n">
        <f aca="false">IF('Project Assumptions'!$C$66="No",0,IF(R3&lt;='Project Assumptions'!$C$68,IF(R46&lt;0,0,IF(R48&gt;R46,R46,R48)),0))</f>
        <v>0</v>
      </c>
      <c r="S49" s="33" t="n">
        <f aca="false">IF('Project Assumptions'!$C$66="No",0,IF(S3&lt;='Project Assumptions'!$C$68,IF(S46&lt;0,0,IF(S48&gt;S46,S46,S48)),0))</f>
        <v>0</v>
      </c>
      <c r="T49" s="33" t="n">
        <f aca="false">IF('Project Assumptions'!$C$66="No",0,IF(T3&lt;='Project Assumptions'!$C$68,IF(T46&lt;0,0,IF(T48&gt;T46,T46,T48)),0))</f>
        <v>0</v>
      </c>
      <c r="U49" s="33" t="n">
        <f aca="false">IF('Project Assumptions'!$C$66="No",0,IF(U3&lt;='Project Assumptions'!$C$68,IF(U46&lt;0,0,IF(U48&gt;U46,U46,U48)),0))</f>
        <v>0</v>
      </c>
      <c r="V49" s="33" t="n">
        <f aca="false">IF('Project Assumptions'!$C$66="No",0,IF(V3&lt;='Project Assumptions'!$C$68,IF(V46&lt;0,0,IF(V48&gt;V46,V46,V48)),0))</f>
        <v>0</v>
      </c>
      <c r="W49" s="33" t="n">
        <f aca="false">IF('Project Assumptions'!$C$66="No",0,IF(W3&lt;='Project Assumptions'!$C$68,IF(W46&lt;0,0,IF(W48&gt;W46,W46,W48)),0))</f>
        <v>0</v>
      </c>
      <c r="X49" s="33" t="n">
        <f aca="false">IF('Project Assumptions'!$C$66="No",0,IF(X3&lt;='Project Assumptions'!$C$68,IF(X46&lt;0,0,IF(X48&gt;X46,X46,X48)),0))</f>
        <v>0</v>
      </c>
      <c r="Y49" s="33" t="n">
        <f aca="false">IF('Project Assumptions'!$C$66="No",0,IF(Y3&lt;='Project Assumptions'!$C$68,IF(Y46&lt;0,0,IF(Y48&gt;Y46,Y46,Y48)),0))</f>
        <v>0</v>
      </c>
      <c r="Z49" s="33" t="n">
        <f aca="false">IF('Project Assumptions'!$C$66="No",0,IF(Z3&lt;='Project Assumptions'!$C$68,IF(Z46&lt;0,0,IF(Z48&gt;Z46,Z46,Z48)),0))</f>
        <v>0</v>
      </c>
      <c r="AA49" s="33" t="n">
        <f aca="false">IF('Project Assumptions'!$C$66="No",0,IF(AA3&lt;='Project Assumptions'!$C$68,IF(AA46&lt;0,0,IF(AA48&gt;AA46,AA46,AA48)),0))</f>
        <v>0</v>
      </c>
      <c r="AB49" s="724" t="n">
        <f aca="false">IF('Project Assumptions'!$C$66="No",0,IF(AB3&lt;='Project Assumptions'!$C$68,IF(AB46&lt;0,0,IF(AB48&gt;AB46,AB46,AB48)),0))</f>
        <v>0</v>
      </c>
      <c r="AG49" s="832"/>
      <c r="AH49" s="832"/>
      <c r="AI49" s="832"/>
      <c r="AJ49" s="832"/>
      <c r="AK49" s="832"/>
      <c r="AL49" s="832"/>
      <c r="AM49" s="832"/>
      <c r="AN49" s="832"/>
      <c r="AO49" s="832"/>
      <c r="AP49" s="832"/>
      <c r="AQ49" s="832"/>
      <c r="AR49" s="832"/>
      <c r="AS49" s="832"/>
      <c r="AT49" s="832"/>
      <c r="AU49" s="832"/>
      <c r="AV49" s="832"/>
      <c r="AW49" s="832"/>
      <c r="AX49" s="832"/>
      <c r="AY49" s="832"/>
      <c r="AZ49" s="832"/>
      <c r="BA49" s="832"/>
      <c r="BB49" s="832"/>
      <c r="BC49" s="832"/>
      <c r="BD49" s="832"/>
      <c r="BE49" s="832"/>
      <c r="BF49" s="832"/>
      <c r="BG49" s="832"/>
      <c r="BH49" s="832"/>
      <c r="BI49" s="832"/>
      <c r="BJ49" s="832"/>
      <c r="BK49" s="832"/>
      <c r="BL49" s="832"/>
      <c r="BM49" s="832"/>
      <c r="BN49" s="832"/>
      <c r="BO49" s="832"/>
      <c r="BP49" s="832"/>
      <c r="BQ49" s="832"/>
      <c r="BR49" s="832"/>
      <c r="BS49" s="832"/>
      <c r="BT49" s="832"/>
      <c r="BU49" s="832"/>
      <c r="BV49" s="832"/>
      <c r="BW49" s="832"/>
      <c r="BX49" s="832"/>
      <c r="BY49" s="832"/>
      <c r="BZ49" s="832"/>
      <c r="CA49" s="832"/>
      <c r="CB49" s="832"/>
      <c r="CC49" s="832"/>
      <c r="CD49" s="832"/>
      <c r="CE49" s="832"/>
      <c r="CF49" s="832"/>
      <c r="CG49" s="832"/>
      <c r="CH49" s="832"/>
      <c r="CI49" s="832"/>
      <c r="CJ49" s="832"/>
      <c r="CK49" s="832"/>
      <c r="CL49" s="832"/>
      <c r="CM49" s="832"/>
      <c r="CN49" s="832"/>
      <c r="CO49" s="832"/>
      <c r="CP49" s="832"/>
      <c r="CQ49" s="832"/>
      <c r="CR49" s="832"/>
      <c r="CS49" s="832"/>
      <c r="CT49" s="832"/>
      <c r="CU49" s="832"/>
      <c r="CV49" s="832"/>
      <c r="CW49" s="832"/>
      <c r="CX49" s="832"/>
      <c r="CY49" s="832"/>
      <c r="CZ49" s="832"/>
      <c r="DA49" s="832"/>
      <c r="DB49" s="832"/>
      <c r="DC49" s="832"/>
      <c r="DD49" s="832"/>
      <c r="DE49" s="832"/>
      <c r="DF49" s="832"/>
      <c r="DG49" s="832"/>
      <c r="DH49" s="832"/>
      <c r="DI49" s="832"/>
      <c r="DJ49" s="832"/>
      <c r="DK49" s="832"/>
      <c r="DL49" s="832"/>
      <c r="DM49" s="832"/>
      <c r="DN49" s="832"/>
      <c r="DO49" s="832"/>
      <c r="DP49" s="832"/>
      <c r="DQ49" s="832"/>
      <c r="DR49" s="832"/>
      <c r="DS49" s="832"/>
      <c r="DT49" s="832"/>
      <c r="DU49" s="832"/>
      <c r="DV49" s="832"/>
      <c r="DW49" s="832"/>
      <c r="DX49" s="832"/>
      <c r="DY49" s="832"/>
      <c r="DZ49" s="832"/>
      <c r="EA49" s="832"/>
      <c r="EB49" s="832"/>
      <c r="EC49" s="832"/>
      <c r="ED49" s="832"/>
      <c r="EE49" s="832"/>
      <c r="EF49" s="832"/>
      <c r="EG49" s="832"/>
      <c r="EH49" s="832"/>
      <c r="EI49" s="832"/>
      <c r="EJ49" s="832"/>
      <c r="EK49" s="832"/>
      <c r="EL49" s="832"/>
      <c r="EM49" s="832"/>
      <c r="EN49" s="832"/>
      <c r="EO49" s="832"/>
      <c r="EP49" s="832"/>
      <c r="EQ49" s="832"/>
      <c r="ER49" s="832"/>
      <c r="ES49" s="832"/>
      <c r="ET49" s="832"/>
      <c r="EU49" s="832"/>
      <c r="EV49" s="832"/>
      <c r="EW49" s="832"/>
      <c r="EX49" s="832"/>
      <c r="EY49" s="832"/>
      <c r="EZ49" s="832"/>
      <c r="FA49" s="832"/>
      <c r="FB49" s="832"/>
      <c r="FC49" s="832"/>
      <c r="FD49" s="832"/>
      <c r="FE49" s="832"/>
      <c r="FF49" s="832"/>
      <c r="FG49" s="832"/>
      <c r="FH49" s="832"/>
      <c r="FI49" s="832"/>
      <c r="FJ49" s="832"/>
      <c r="FK49" s="832"/>
      <c r="FL49" s="832"/>
      <c r="FM49" s="832"/>
      <c r="FN49" s="832"/>
      <c r="FO49" s="832"/>
      <c r="FP49" s="832"/>
      <c r="FQ49" s="832"/>
      <c r="FR49" s="832"/>
      <c r="FS49" s="832"/>
      <c r="FT49" s="832"/>
      <c r="FU49" s="832"/>
      <c r="FV49" s="832"/>
      <c r="FW49" s="832"/>
      <c r="FX49" s="832"/>
      <c r="FY49" s="832"/>
      <c r="FZ49" s="832"/>
      <c r="GA49" s="832"/>
      <c r="GB49" s="832"/>
      <c r="GC49" s="832"/>
      <c r="GD49" s="832"/>
      <c r="GE49" s="832"/>
      <c r="GF49" s="832"/>
      <c r="GG49" s="832"/>
      <c r="GH49" s="832"/>
      <c r="GI49" s="832"/>
      <c r="GJ49" s="832"/>
      <c r="GK49" s="832"/>
      <c r="GL49" s="832"/>
      <c r="GM49" s="832"/>
      <c r="GN49" s="832"/>
      <c r="GO49" s="832"/>
      <c r="GP49" s="832"/>
      <c r="GQ49" s="832"/>
      <c r="GR49" s="832"/>
      <c r="GS49" s="832"/>
      <c r="GT49" s="832"/>
      <c r="GU49" s="832"/>
      <c r="GV49" s="832"/>
      <c r="GW49" s="832"/>
      <c r="GX49" s="832"/>
      <c r="GY49" s="832"/>
      <c r="GZ49" s="832"/>
      <c r="HA49" s="832"/>
      <c r="HB49" s="832"/>
      <c r="HC49" s="832"/>
      <c r="HD49" s="832"/>
      <c r="HE49" s="832"/>
      <c r="HF49" s="832"/>
      <c r="HG49" s="832"/>
      <c r="HH49" s="832"/>
      <c r="HI49" s="832"/>
      <c r="HJ49" s="832"/>
      <c r="HK49" s="832"/>
      <c r="HL49" s="832"/>
      <c r="HM49" s="832"/>
      <c r="HN49" s="832"/>
      <c r="HO49" s="832"/>
      <c r="HP49" s="832"/>
      <c r="HQ49" s="832"/>
      <c r="HR49" s="832"/>
      <c r="HS49" s="832"/>
      <c r="HT49" s="832"/>
      <c r="HU49" s="832"/>
      <c r="HV49" s="832"/>
      <c r="HW49" s="832"/>
      <c r="HX49" s="832"/>
      <c r="HY49" s="832"/>
      <c r="HZ49" s="832"/>
      <c r="IA49" s="832"/>
      <c r="IB49" s="832"/>
      <c r="IC49" s="832"/>
      <c r="ID49" s="832"/>
      <c r="IE49" s="832"/>
      <c r="IF49" s="832"/>
      <c r="IG49" s="832"/>
      <c r="IH49" s="832"/>
      <c r="II49" s="832"/>
      <c r="IJ49" s="832"/>
      <c r="IK49" s="832"/>
      <c r="IL49" s="832"/>
      <c r="IM49" s="832"/>
      <c r="IN49" s="832"/>
      <c r="IO49" s="832"/>
      <c r="IP49" s="832"/>
      <c r="IQ49" s="832"/>
      <c r="IR49" s="832"/>
      <c r="IS49" s="832"/>
      <c r="IT49" s="832"/>
      <c r="IU49" s="832"/>
      <c r="IV49" s="832"/>
      <c r="IW49" s="832"/>
    </row>
    <row r="50" customFormat="false" ht="11.25" hidden="false" customHeight="false" outlineLevel="0" collapsed="false">
      <c r="A50" s="410"/>
      <c r="B50" s="641"/>
      <c r="C50" s="831"/>
      <c r="D50" s="33"/>
      <c r="E50" s="33"/>
      <c r="F50" s="33"/>
      <c r="G50" s="33"/>
      <c r="H50" s="33"/>
      <c r="I50" s="33"/>
      <c r="J50" s="33"/>
      <c r="K50" s="33"/>
      <c r="L50" s="33"/>
      <c r="M50" s="33"/>
      <c r="N50" s="33"/>
      <c r="O50" s="33"/>
      <c r="P50" s="33"/>
      <c r="Q50" s="33"/>
      <c r="R50" s="33"/>
      <c r="S50" s="33"/>
      <c r="T50" s="33"/>
      <c r="U50" s="33"/>
      <c r="V50" s="33"/>
      <c r="W50" s="33"/>
      <c r="X50" s="33"/>
      <c r="Y50" s="33"/>
      <c r="Z50" s="33"/>
      <c r="AA50" s="33"/>
      <c r="AB50" s="724"/>
      <c r="AG50" s="832"/>
      <c r="AH50" s="832"/>
      <c r="AI50" s="832"/>
      <c r="AJ50" s="832"/>
      <c r="AK50" s="832"/>
      <c r="AL50" s="832"/>
      <c r="AM50" s="832"/>
      <c r="AN50" s="832"/>
      <c r="AO50" s="832"/>
      <c r="AP50" s="832"/>
      <c r="AQ50" s="832"/>
      <c r="AR50" s="832"/>
      <c r="AS50" s="832"/>
      <c r="AT50" s="832"/>
      <c r="AU50" s="832"/>
      <c r="AV50" s="832"/>
      <c r="AW50" s="832"/>
      <c r="AX50" s="832"/>
      <c r="AY50" s="832"/>
      <c r="AZ50" s="832"/>
      <c r="BA50" s="832"/>
      <c r="BB50" s="832"/>
      <c r="BC50" s="832"/>
      <c r="BD50" s="832"/>
      <c r="BE50" s="832"/>
      <c r="BF50" s="832"/>
      <c r="BG50" s="832"/>
      <c r="BH50" s="832"/>
      <c r="BI50" s="832"/>
      <c r="BJ50" s="832"/>
      <c r="BK50" s="832"/>
      <c r="BL50" s="832"/>
      <c r="BM50" s="832"/>
      <c r="BN50" s="832"/>
      <c r="BO50" s="832"/>
      <c r="BP50" s="832"/>
      <c r="BQ50" s="832"/>
      <c r="BR50" s="832"/>
      <c r="BS50" s="832"/>
      <c r="BT50" s="832"/>
      <c r="BU50" s="832"/>
      <c r="BV50" s="832"/>
      <c r="BW50" s="832"/>
      <c r="BX50" s="832"/>
      <c r="BY50" s="832"/>
      <c r="BZ50" s="832"/>
      <c r="CA50" s="832"/>
      <c r="CB50" s="832"/>
      <c r="CC50" s="832"/>
      <c r="CD50" s="832"/>
      <c r="CE50" s="832"/>
      <c r="CF50" s="832"/>
      <c r="CG50" s="832"/>
      <c r="CH50" s="832"/>
      <c r="CI50" s="832"/>
      <c r="CJ50" s="832"/>
      <c r="CK50" s="832"/>
      <c r="CL50" s="832"/>
      <c r="CM50" s="832"/>
      <c r="CN50" s="832"/>
      <c r="CO50" s="832"/>
      <c r="CP50" s="832"/>
      <c r="CQ50" s="832"/>
      <c r="CR50" s="832"/>
      <c r="CS50" s="832"/>
      <c r="CT50" s="832"/>
      <c r="CU50" s="832"/>
      <c r="CV50" s="832"/>
      <c r="CW50" s="832"/>
      <c r="CX50" s="832"/>
      <c r="CY50" s="832"/>
      <c r="CZ50" s="832"/>
      <c r="DA50" s="832"/>
      <c r="DB50" s="832"/>
      <c r="DC50" s="832"/>
      <c r="DD50" s="832"/>
      <c r="DE50" s="832"/>
      <c r="DF50" s="832"/>
      <c r="DG50" s="832"/>
      <c r="DH50" s="832"/>
      <c r="DI50" s="832"/>
      <c r="DJ50" s="832"/>
      <c r="DK50" s="832"/>
      <c r="DL50" s="832"/>
      <c r="DM50" s="832"/>
      <c r="DN50" s="832"/>
      <c r="DO50" s="832"/>
      <c r="DP50" s="832"/>
      <c r="DQ50" s="832"/>
      <c r="DR50" s="832"/>
      <c r="DS50" s="832"/>
      <c r="DT50" s="832"/>
      <c r="DU50" s="832"/>
      <c r="DV50" s="832"/>
      <c r="DW50" s="832"/>
      <c r="DX50" s="832"/>
      <c r="DY50" s="832"/>
      <c r="DZ50" s="832"/>
      <c r="EA50" s="832"/>
      <c r="EB50" s="832"/>
      <c r="EC50" s="832"/>
      <c r="ED50" s="832"/>
      <c r="EE50" s="832"/>
      <c r="EF50" s="832"/>
      <c r="EG50" s="832"/>
      <c r="EH50" s="832"/>
      <c r="EI50" s="832"/>
      <c r="EJ50" s="832"/>
      <c r="EK50" s="832"/>
      <c r="EL50" s="832"/>
      <c r="EM50" s="832"/>
      <c r="EN50" s="832"/>
      <c r="EO50" s="832"/>
      <c r="EP50" s="832"/>
      <c r="EQ50" s="832"/>
      <c r="ER50" s="832"/>
      <c r="ES50" s="832"/>
      <c r="ET50" s="832"/>
      <c r="EU50" s="832"/>
      <c r="EV50" s="832"/>
      <c r="EW50" s="832"/>
      <c r="EX50" s="832"/>
      <c r="EY50" s="832"/>
      <c r="EZ50" s="832"/>
      <c r="FA50" s="832"/>
      <c r="FB50" s="832"/>
      <c r="FC50" s="832"/>
      <c r="FD50" s="832"/>
      <c r="FE50" s="832"/>
      <c r="FF50" s="832"/>
      <c r="FG50" s="832"/>
      <c r="FH50" s="832"/>
      <c r="FI50" s="832"/>
      <c r="FJ50" s="832"/>
      <c r="FK50" s="832"/>
      <c r="FL50" s="832"/>
      <c r="FM50" s="832"/>
      <c r="FN50" s="832"/>
      <c r="FO50" s="832"/>
      <c r="FP50" s="832"/>
      <c r="FQ50" s="832"/>
      <c r="FR50" s="832"/>
      <c r="FS50" s="832"/>
      <c r="FT50" s="832"/>
      <c r="FU50" s="832"/>
      <c r="FV50" s="832"/>
      <c r="FW50" s="832"/>
      <c r="FX50" s="832"/>
      <c r="FY50" s="832"/>
      <c r="FZ50" s="832"/>
      <c r="GA50" s="832"/>
      <c r="GB50" s="832"/>
      <c r="GC50" s="832"/>
      <c r="GD50" s="832"/>
      <c r="GE50" s="832"/>
      <c r="GF50" s="832"/>
      <c r="GG50" s="832"/>
      <c r="GH50" s="832"/>
      <c r="GI50" s="832"/>
      <c r="GJ50" s="832"/>
      <c r="GK50" s="832"/>
      <c r="GL50" s="832"/>
      <c r="GM50" s="832"/>
      <c r="GN50" s="832"/>
      <c r="GO50" s="832"/>
      <c r="GP50" s="832"/>
      <c r="GQ50" s="832"/>
      <c r="GR50" s="832"/>
      <c r="GS50" s="832"/>
      <c r="GT50" s="832"/>
      <c r="GU50" s="832"/>
      <c r="GV50" s="832"/>
      <c r="GW50" s="832"/>
      <c r="GX50" s="832"/>
      <c r="GY50" s="832"/>
      <c r="GZ50" s="832"/>
      <c r="HA50" s="832"/>
      <c r="HB50" s="832"/>
      <c r="HC50" s="832"/>
      <c r="HD50" s="832"/>
      <c r="HE50" s="832"/>
      <c r="HF50" s="832"/>
      <c r="HG50" s="832"/>
      <c r="HH50" s="832"/>
      <c r="HI50" s="832"/>
      <c r="HJ50" s="832"/>
      <c r="HK50" s="832"/>
      <c r="HL50" s="832"/>
      <c r="HM50" s="832"/>
      <c r="HN50" s="832"/>
      <c r="HO50" s="832"/>
      <c r="HP50" s="832"/>
      <c r="HQ50" s="832"/>
      <c r="HR50" s="832"/>
      <c r="HS50" s="832"/>
      <c r="HT50" s="832"/>
      <c r="HU50" s="832"/>
      <c r="HV50" s="832"/>
      <c r="HW50" s="832"/>
      <c r="HX50" s="832"/>
      <c r="HY50" s="832"/>
      <c r="HZ50" s="832"/>
      <c r="IA50" s="832"/>
      <c r="IB50" s="832"/>
      <c r="IC50" s="832"/>
      <c r="ID50" s="832"/>
      <c r="IE50" s="832"/>
      <c r="IF50" s="832"/>
      <c r="IG50" s="832"/>
      <c r="IH50" s="832"/>
      <c r="II50" s="832"/>
      <c r="IJ50" s="832"/>
      <c r="IK50" s="832"/>
      <c r="IL50" s="832"/>
      <c r="IM50" s="832"/>
      <c r="IN50" s="832"/>
      <c r="IO50" s="832"/>
      <c r="IP50" s="832"/>
      <c r="IQ50" s="832"/>
      <c r="IR50" s="832"/>
      <c r="IS50" s="832"/>
      <c r="IT50" s="832"/>
      <c r="IU50" s="832"/>
      <c r="IV50" s="832"/>
      <c r="IW50" s="832"/>
    </row>
    <row r="51" customFormat="false" ht="11.25" hidden="false" customHeight="false" outlineLevel="0" collapsed="false">
      <c r="A51" s="814" t="s">
        <v>622</v>
      </c>
      <c r="B51" s="833"/>
      <c r="C51" s="834"/>
      <c r="D51" s="835" t="n">
        <f aca="false">IF(AND('Project Assumptions'!$C$66="No",D46&lt;0),D46,IF(AND('Project Assumptions'!$C$66="No",D46&gt;0),D46,IF(D46&lt;0,0,(D46-D49))))</f>
        <v>0</v>
      </c>
      <c r="E51" s="835" t="n">
        <f aca="false">IF(AND('Project Assumptions'!$C$66="No",E46&lt;0),E46,IF(AND('Project Assumptions'!$C$66="No",E46&gt;0),E46,IF(E46&lt;0,0,(E46-E49))))</f>
        <v>0</v>
      </c>
      <c r="F51" s="835" t="n">
        <f aca="false">IF(AND('Project Assumptions'!$C$66="No",F46&lt;0),F46,IF(AND('Project Assumptions'!$C$66="No",F46&gt;0),F46,IF(F46&lt;0,0,(F46-F49))))</f>
        <v>0</v>
      </c>
      <c r="G51" s="835" t="n">
        <f aca="false">IF(AND('Project Assumptions'!$C$66="No",G46&lt;0),G46,IF(AND('Project Assumptions'!$C$66="No",G46&gt;0),G46,IF(G46&lt;0,0,(G46-G49))))</f>
        <v>0</v>
      </c>
      <c r="H51" s="835" t="n">
        <f aca="false">IF(AND('Project Assumptions'!$C$66="No",H46&lt;0),H46,IF(AND('Project Assumptions'!$C$66="No",H46&gt;0),H46,IF(H46&lt;0,0,(H46-H49))))</f>
        <v>773.062973142457</v>
      </c>
      <c r="I51" s="835" t="n">
        <f aca="false">IF(AND('Project Assumptions'!$C$66="No",I46&lt;0),I46,IF(AND('Project Assumptions'!$C$66="No",I46&gt;0),I46,IF(I46&lt;0,0,(I46-I49))))</f>
        <v>4058.59746829919</v>
      </c>
      <c r="J51" s="835" t="n">
        <f aca="false">IF(AND('Project Assumptions'!$C$66="No",J46&lt;0),J46,IF(AND('Project Assumptions'!$C$66="No",J46&gt;0),J46,IF(J46&lt;0,0,(J46-J49))))</f>
        <v>4520.99526049545</v>
      </c>
      <c r="K51" s="835" t="n">
        <f aca="false">IF(AND('Project Assumptions'!$C$66="No",K46&lt;0),K46,IF(AND('Project Assumptions'!$C$66="No",K46&gt;0),K46,IF(K46&lt;0,0,(K46-K49))))</f>
        <v>4974.15087836951</v>
      </c>
      <c r="L51" s="835" t="n">
        <f aca="false">IF(AND('Project Assumptions'!$C$66="No",L46&lt;0),L46,IF(AND('Project Assumptions'!$C$66="No",L46&gt;0),L46,IF(L46&lt;0,0,(L46-L49))))</f>
        <v>5222.93685581695</v>
      </c>
      <c r="M51" s="835" t="n">
        <f aca="false">IF(AND('Project Assumptions'!$C$66="No",M46&lt;0),M46,IF(AND('Project Assumptions'!$C$66="No",M46&gt;0),M46,IF(M46&lt;0,0,(M46-M49))))</f>
        <v>5783.46183355858</v>
      </c>
      <c r="N51" s="835" t="n">
        <f aca="false">IF(AND('Project Assumptions'!$C$66="No",N46&lt;0),N46,IF(AND('Project Assumptions'!$C$66="No",N46&gt;0),N46,IF(N46&lt;0,0,(N46-N49))))</f>
        <v>6192.5330502467</v>
      </c>
      <c r="O51" s="835" t="n">
        <f aca="false">IF(AND('Project Assumptions'!$C$66="No",O46&lt;0),O46,IF(AND('Project Assumptions'!$C$66="No",O46&gt;0),O46,IF(O46&lt;0,0,(O46-O49))))</f>
        <v>6593.18036478012</v>
      </c>
      <c r="P51" s="835" t="n">
        <f aca="false">IF(AND('Project Assumptions'!$C$66="No",P46&lt;0),P46,IF(AND('Project Assumptions'!$C$66="No",P46&gt;0),P46,IF(P46&lt;0,0,(P46-P49))))</f>
        <v>6780.54331378775</v>
      </c>
      <c r="Q51" s="835" t="n">
        <f aca="false">IF(AND('Project Assumptions'!$C$66="No",Q46&lt;0),Q46,IF(AND('Project Assumptions'!$C$66="No",Q46&gt;0),Q46,IF(Q46&lt;0,0,(Q46-Q49))))</f>
        <v>6951.95118061512</v>
      </c>
      <c r="R51" s="835" t="n">
        <f aca="false">IF(AND('Project Assumptions'!$C$66="No",R46&lt;0),R46,IF(AND('Project Assumptions'!$C$66="No",R46&gt;0),R46,IF(R46&lt;0,0,(R46-R49))))</f>
        <v>7129.11439431948</v>
      </c>
      <c r="S51" s="835" t="n">
        <f aca="false">IF(AND('Project Assumptions'!$C$66="No",S46&lt;0),S46,IF(AND('Project Assumptions'!$C$66="No",S46&gt;0),S46,IF(S46&lt;0,0,(S46-S49))))</f>
        <v>8923.87079909736</v>
      </c>
      <c r="T51" s="835" t="n">
        <f aca="false">IF(AND('Project Assumptions'!$C$66="No",T46&lt;0),T46,IF(AND('Project Assumptions'!$C$66="No",T46&gt;0),T46,IF(T46&lt;0,0,(T46-T49))))</f>
        <v>10712.5350537887</v>
      </c>
      <c r="U51" s="835" t="n">
        <f aca="false">IF(AND('Project Assumptions'!$C$66="No",U46&lt;0),U46,IF(AND('Project Assumptions'!$C$66="No",U46&gt;0),U46,IF(U46&lt;0,0,(U46-U49))))</f>
        <v>10958.6328778538</v>
      </c>
      <c r="V51" s="835" t="n">
        <f aca="false">IF(AND('Project Assumptions'!$C$66="No",V46&lt;0),V46,IF(AND('Project Assumptions'!$C$66="No",V46&gt;0),V46,IF(V46&lt;0,0,(V46-V49))))</f>
        <v>11234.8561129391</v>
      </c>
      <c r="W51" s="835" t="n">
        <f aca="false">IF(AND('Project Assumptions'!$C$66="No",W46&lt;0),W46,IF(AND('Project Assumptions'!$C$66="No",W46&gt;0),W46,IF(W46&lt;0,0,(W46-W49))))</f>
        <v>11559.282100565</v>
      </c>
      <c r="X51" s="835" t="n">
        <f aca="false">IF(AND('Project Assumptions'!$C$66="No",X46&lt;0),X46,IF(AND('Project Assumptions'!$C$66="No",X46&gt;0),X46,IF(X46&lt;0,0,(X46-X49))))</f>
        <v>4352.24154800172</v>
      </c>
      <c r="Y51" s="835" t="n">
        <f aca="false">IF(AND('Project Assumptions'!$C$66="No",Y46&lt;0),Y46,IF(AND('Project Assumptions'!$C$66="No",Y46&gt;0),Y46,IF(Y46&lt;0,0,(Y46-Y49))))</f>
        <v>0</v>
      </c>
      <c r="Z51" s="835" t="n">
        <f aca="false">IF(AND('Project Assumptions'!$C$66="No",Z46&lt;0),Z46,IF(AND('Project Assumptions'!$C$66="No",Z46&gt;0),Z46,IF(Z46&lt;0,0,(Z46-Z49))))</f>
        <v>0</v>
      </c>
      <c r="AA51" s="835" t="n">
        <f aca="false">IF(AND('Project Assumptions'!$C$66="No",AA46&lt;0),AA46,IF(AND('Project Assumptions'!$C$66="No",AA46&gt;0),AA46,IF(AA46&lt;0,0,(AA46-AA49))))</f>
        <v>0</v>
      </c>
      <c r="AB51" s="836" t="n">
        <f aca="false">IF(AND('Project Assumptions'!$C$66="No",AB46&lt;0),AB46,IF(AND('Project Assumptions'!$C$66="No",AB46&gt;0),AB46,IF(AB46&lt;0,0,(AB46-AB49))))</f>
        <v>0</v>
      </c>
      <c r="AG51" s="832"/>
      <c r="AH51" s="832"/>
      <c r="AI51" s="832"/>
      <c r="AJ51" s="832"/>
      <c r="AK51" s="832"/>
      <c r="AL51" s="832"/>
      <c r="AM51" s="832"/>
      <c r="AN51" s="832"/>
      <c r="AO51" s="832"/>
      <c r="AP51" s="832"/>
      <c r="AQ51" s="832"/>
      <c r="AR51" s="832"/>
      <c r="AS51" s="832"/>
      <c r="AT51" s="832"/>
      <c r="AU51" s="832"/>
      <c r="AV51" s="832"/>
      <c r="AW51" s="832"/>
      <c r="AX51" s="832"/>
      <c r="AY51" s="832"/>
      <c r="AZ51" s="832"/>
      <c r="BA51" s="832"/>
      <c r="BB51" s="832"/>
      <c r="BC51" s="832"/>
      <c r="BD51" s="832"/>
      <c r="BE51" s="832"/>
      <c r="BF51" s="832"/>
      <c r="BG51" s="832"/>
      <c r="BH51" s="832"/>
      <c r="BI51" s="832"/>
      <c r="BJ51" s="832"/>
      <c r="BK51" s="832"/>
      <c r="BL51" s="832"/>
      <c r="BM51" s="832"/>
      <c r="BN51" s="832"/>
      <c r="BO51" s="832"/>
      <c r="BP51" s="832"/>
      <c r="BQ51" s="832"/>
      <c r="BR51" s="832"/>
      <c r="BS51" s="832"/>
      <c r="BT51" s="832"/>
      <c r="BU51" s="832"/>
      <c r="BV51" s="832"/>
      <c r="BW51" s="832"/>
      <c r="BX51" s="832"/>
      <c r="BY51" s="832"/>
      <c r="BZ51" s="832"/>
      <c r="CA51" s="832"/>
      <c r="CB51" s="832"/>
      <c r="CC51" s="832"/>
      <c r="CD51" s="832"/>
      <c r="CE51" s="832"/>
      <c r="CF51" s="832"/>
      <c r="CG51" s="832"/>
      <c r="CH51" s="832"/>
      <c r="CI51" s="832"/>
      <c r="CJ51" s="832"/>
      <c r="CK51" s="832"/>
      <c r="CL51" s="832"/>
      <c r="CM51" s="832"/>
      <c r="CN51" s="832"/>
      <c r="CO51" s="832"/>
      <c r="CP51" s="832"/>
      <c r="CQ51" s="832"/>
      <c r="CR51" s="832"/>
      <c r="CS51" s="832"/>
      <c r="CT51" s="832"/>
      <c r="CU51" s="832"/>
      <c r="CV51" s="832"/>
      <c r="CW51" s="832"/>
      <c r="CX51" s="832"/>
      <c r="CY51" s="832"/>
      <c r="CZ51" s="832"/>
      <c r="DA51" s="832"/>
      <c r="DB51" s="832"/>
      <c r="DC51" s="832"/>
      <c r="DD51" s="832"/>
      <c r="DE51" s="832"/>
      <c r="DF51" s="832"/>
      <c r="DG51" s="832"/>
      <c r="DH51" s="832"/>
      <c r="DI51" s="832"/>
      <c r="DJ51" s="832"/>
      <c r="DK51" s="832"/>
      <c r="DL51" s="832"/>
      <c r="DM51" s="832"/>
      <c r="DN51" s="832"/>
      <c r="DO51" s="832"/>
      <c r="DP51" s="832"/>
      <c r="DQ51" s="832"/>
      <c r="DR51" s="832"/>
      <c r="DS51" s="832"/>
      <c r="DT51" s="832"/>
      <c r="DU51" s="832"/>
      <c r="DV51" s="832"/>
      <c r="DW51" s="832"/>
      <c r="DX51" s="832"/>
      <c r="DY51" s="832"/>
      <c r="DZ51" s="832"/>
      <c r="EA51" s="832"/>
      <c r="EB51" s="832"/>
      <c r="EC51" s="832"/>
      <c r="ED51" s="832"/>
      <c r="EE51" s="832"/>
      <c r="EF51" s="832"/>
      <c r="EG51" s="832"/>
      <c r="EH51" s="832"/>
      <c r="EI51" s="832"/>
      <c r="EJ51" s="832"/>
      <c r="EK51" s="832"/>
      <c r="EL51" s="832"/>
      <c r="EM51" s="832"/>
      <c r="EN51" s="832"/>
      <c r="EO51" s="832"/>
      <c r="EP51" s="832"/>
      <c r="EQ51" s="832"/>
      <c r="ER51" s="832"/>
      <c r="ES51" s="832"/>
      <c r="ET51" s="832"/>
      <c r="EU51" s="832"/>
      <c r="EV51" s="832"/>
      <c r="EW51" s="832"/>
      <c r="EX51" s="832"/>
      <c r="EY51" s="832"/>
      <c r="EZ51" s="832"/>
      <c r="FA51" s="832"/>
      <c r="FB51" s="832"/>
      <c r="FC51" s="832"/>
      <c r="FD51" s="832"/>
      <c r="FE51" s="832"/>
      <c r="FF51" s="832"/>
      <c r="FG51" s="832"/>
      <c r="FH51" s="832"/>
      <c r="FI51" s="832"/>
      <c r="FJ51" s="832"/>
      <c r="FK51" s="832"/>
      <c r="FL51" s="832"/>
      <c r="FM51" s="832"/>
      <c r="FN51" s="832"/>
      <c r="FO51" s="832"/>
      <c r="FP51" s="832"/>
      <c r="FQ51" s="832"/>
      <c r="FR51" s="832"/>
      <c r="FS51" s="832"/>
      <c r="FT51" s="832"/>
      <c r="FU51" s="832"/>
      <c r="FV51" s="832"/>
      <c r="FW51" s="832"/>
      <c r="FX51" s="832"/>
      <c r="FY51" s="832"/>
      <c r="FZ51" s="832"/>
      <c r="GA51" s="832"/>
      <c r="GB51" s="832"/>
      <c r="GC51" s="832"/>
      <c r="GD51" s="832"/>
      <c r="GE51" s="832"/>
      <c r="GF51" s="832"/>
      <c r="GG51" s="832"/>
      <c r="GH51" s="832"/>
      <c r="GI51" s="832"/>
      <c r="GJ51" s="832"/>
      <c r="GK51" s="832"/>
      <c r="GL51" s="832"/>
      <c r="GM51" s="832"/>
      <c r="GN51" s="832"/>
      <c r="GO51" s="832"/>
      <c r="GP51" s="832"/>
      <c r="GQ51" s="832"/>
      <c r="GR51" s="832"/>
      <c r="GS51" s="832"/>
      <c r="GT51" s="832"/>
      <c r="GU51" s="832"/>
      <c r="GV51" s="832"/>
      <c r="GW51" s="832"/>
      <c r="GX51" s="832"/>
      <c r="GY51" s="832"/>
      <c r="GZ51" s="832"/>
      <c r="HA51" s="832"/>
      <c r="HB51" s="832"/>
      <c r="HC51" s="832"/>
      <c r="HD51" s="832"/>
      <c r="HE51" s="832"/>
      <c r="HF51" s="832"/>
      <c r="HG51" s="832"/>
      <c r="HH51" s="832"/>
      <c r="HI51" s="832"/>
      <c r="HJ51" s="832"/>
      <c r="HK51" s="832"/>
      <c r="HL51" s="832"/>
      <c r="HM51" s="832"/>
      <c r="HN51" s="832"/>
      <c r="HO51" s="832"/>
      <c r="HP51" s="832"/>
      <c r="HQ51" s="832"/>
      <c r="HR51" s="832"/>
      <c r="HS51" s="832"/>
      <c r="HT51" s="832"/>
      <c r="HU51" s="832"/>
      <c r="HV51" s="832"/>
      <c r="HW51" s="832"/>
      <c r="HX51" s="832"/>
      <c r="HY51" s="832"/>
      <c r="HZ51" s="832"/>
      <c r="IA51" s="832"/>
      <c r="IB51" s="832"/>
      <c r="IC51" s="832"/>
      <c r="ID51" s="832"/>
      <c r="IE51" s="832"/>
      <c r="IF51" s="832"/>
      <c r="IG51" s="832"/>
      <c r="IH51" s="832"/>
      <c r="II51" s="832"/>
      <c r="IJ51" s="832"/>
      <c r="IK51" s="832"/>
      <c r="IL51" s="832"/>
      <c r="IM51" s="832"/>
      <c r="IN51" s="832"/>
      <c r="IO51" s="832"/>
      <c r="IP51" s="832"/>
      <c r="IQ51" s="832"/>
      <c r="IR51" s="832"/>
      <c r="IS51" s="832"/>
      <c r="IT51" s="832"/>
      <c r="IU51" s="832"/>
      <c r="IV51" s="832"/>
      <c r="IW51" s="832"/>
    </row>
    <row r="52" customFormat="false" ht="12.75" hidden="false" customHeight="false" outlineLevel="0" collapsed="false">
      <c r="A52" s="265"/>
      <c r="B52" s="641"/>
      <c r="C52" s="33"/>
      <c r="D52" s="33"/>
      <c r="E52" s="33"/>
      <c r="F52" s="33"/>
      <c r="G52" s="33"/>
      <c r="H52" s="33"/>
      <c r="I52" s="33"/>
      <c r="J52" s="33"/>
      <c r="K52" s="33"/>
      <c r="L52" s="33"/>
      <c r="M52" s="33"/>
      <c r="N52" s="33"/>
      <c r="O52" s="33"/>
      <c r="P52" s="33"/>
      <c r="Q52" s="33"/>
      <c r="R52" s="33"/>
      <c r="S52" s="33"/>
      <c r="T52" s="33"/>
      <c r="U52" s="33"/>
      <c r="V52" s="33"/>
      <c r="W52" s="33"/>
      <c r="X52" s="33"/>
      <c r="Y52" s="33"/>
      <c r="Z52" s="33"/>
      <c r="AA52" s="33"/>
    </row>
    <row r="53" customFormat="false" ht="12.75" hidden="false" customHeight="false" outlineLevel="0" collapsed="false">
      <c r="A53" s="837" t="s">
        <v>577</v>
      </c>
      <c r="B53" s="531"/>
      <c r="C53" s="838"/>
      <c r="D53" s="838"/>
      <c r="E53" s="838"/>
      <c r="F53" s="838"/>
      <c r="G53" s="838"/>
      <c r="H53" s="838"/>
      <c r="I53" s="838"/>
      <c r="J53" s="838"/>
      <c r="K53" s="838"/>
      <c r="L53" s="838"/>
      <c r="M53" s="838"/>
      <c r="N53" s="838"/>
      <c r="O53" s="838"/>
      <c r="P53" s="838"/>
      <c r="Q53" s="838"/>
      <c r="R53" s="838"/>
      <c r="S53" s="838"/>
      <c r="T53" s="838"/>
      <c r="U53" s="838"/>
      <c r="V53" s="838"/>
      <c r="W53" s="838"/>
      <c r="X53" s="838"/>
      <c r="Y53" s="838"/>
      <c r="Z53" s="838"/>
      <c r="AA53" s="838"/>
      <c r="AB53" s="517"/>
    </row>
    <row r="54" customFormat="false" ht="11.25" hidden="false" customHeight="false" outlineLevel="0" collapsed="false">
      <c r="A54" s="410"/>
      <c r="B54" s="385"/>
      <c r="C54" s="385"/>
      <c r="D54" s="385"/>
      <c r="E54" s="385"/>
      <c r="F54" s="385"/>
      <c r="G54" s="385"/>
      <c r="H54" s="385"/>
      <c r="I54" s="385"/>
      <c r="J54" s="385"/>
      <c r="K54" s="385"/>
      <c r="L54" s="385"/>
      <c r="M54" s="385"/>
      <c r="N54" s="385"/>
      <c r="O54" s="385"/>
      <c r="P54" s="385"/>
      <c r="Q54" s="385"/>
      <c r="R54" s="385"/>
      <c r="S54" s="385"/>
      <c r="T54" s="385"/>
      <c r="U54" s="385"/>
      <c r="V54" s="385"/>
      <c r="W54" s="385"/>
      <c r="X54" s="385"/>
      <c r="Y54" s="385"/>
      <c r="Z54" s="385"/>
      <c r="AA54" s="385"/>
      <c r="AB54" s="415"/>
    </row>
    <row r="55" customFormat="false" ht="11.25" hidden="false" customHeight="false" outlineLevel="0" collapsed="false">
      <c r="A55" s="410" t="s">
        <v>623</v>
      </c>
      <c r="B55" s="385"/>
      <c r="C55" s="385"/>
      <c r="D55" s="449" t="n">
        <f aca="false">'Cash Flow Statement'!D21+'Cash Flow Statement'!D9</f>
        <v>0</v>
      </c>
      <c r="E55" s="449" t="n">
        <f aca="false">'Cash Flow Statement'!E21+'Cash Flow Statement'!E9</f>
        <v>245.60635648</v>
      </c>
      <c r="F55" s="449" t="n">
        <f aca="false">'Cash Flow Statement'!F21+'Cash Flow Statement'!F9</f>
        <v>245.60635648</v>
      </c>
      <c r="G55" s="449" t="n">
        <f aca="false">'Cash Flow Statement'!G21+'Cash Flow Statement'!G9</f>
        <v>245.60635648</v>
      </c>
      <c r="H55" s="449" t="n">
        <f aca="false">'Cash Flow Statement'!H21+'Cash Flow Statement'!H9</f>
        <v>1217.27639940604</v>
      </c>
      <c r="I55" s="449" t="n">
        <f aca="false">'Cash Flow Statement'!I21+'Cash Flow Statement'!I9</f>
        <v>5346.89527245434</v>
      </c>
      <c r="J55" s="449" t="n">
        <f aca="false">'Cash Flow Statement'!J21+'Cash Flow Statement'!J9</f>
        <v>5928.08735925922</v>
      </c>
      <c r="K55" s="449" t="n">
        <f aca="false">'Cash Flow Statement'!K21+'Cash Flow Statement'!K9</f>
        <v>6497.66287117644</v>
      </c>
      <c r="L55" s="449" t="n">
        <f aca="false">'Cash Flow Statement'!L21+'Cash Flow Statement'!L9</f>
        <v>6810.36428074351</v>
      </c>
      <c r="M55" s="449" t="n">
        <f aca="false">'Cash Flow Statement'!M21+'Cash Flow Statement'!M9</f>
        <v>7514.89333996021</v>
      </c>
      <c r="N55" s="449" t="n">
        <f aca="false">'Cash Flow Statement'!N21+'Cash Flow Statement'!N9</f>
        <v>8029.05875789946</v>
      </c>
      <c r="O55" s="449" t="n">
        <f aca="false">'Cash Flow Statement'!O21+'Cash Flow Statement'!O9</f>
        <v>8532.63609485097</v>
      </c>
      <c r="P55" s="449" t="n">
        <f aca="false">'Cash Flow Statement'!P21+'Cash Flow Statement'!P9</f>
        <v>8768.13432853942</v>
      </c>
      <c r="Q55" s="449" t="n">
        <f aca="false">'Cash Flow Statement'!Q21+'Cash Flow Statement'!Q9</f>
        <v>8983.57847100169</v>
      </c>
      <c r="R55" s="449" t="n">
        <f aca="false">'Cash Flow Statement'!R21+'Cash Flow Statement'!R9</f>
        <v>9206.25656249697</v>
      </c>
      <c r="S55" s="449" t="n">
        <f aca="false">'Cash Flow Statement'!S21+'Cash Flow Statement'!S9</f>
        <v>11462.1025846954</v>
      </c>
      <c r="T55" s="449" t="n">
        <f aca="false">'Cash Flow Statement'!T21+'Cash Flow Statement'!T9</f>
        <v>13710.2913267734</v>
      </c>
      <c r="U55" s="449" t="n">
        <f aca="false">'Cash Flow Statement'!U21+'Cash Flow Statement'!U9</f>
        <v>14019.6139713457</v>
      </c>
      <c r="V55" s="449" t="n">
        <f aca="false">'Cash Flow Statement'!V21+'Cash Flow Statement'!V9</f>
        <v>14366.8015252929</v>
      </c>
      <c r="W55" s="449" t="n">
        <f aca="false">'Cash Flow Statement'!W21+'Cash Flow Statement'!W9</f>
        <v>14774.5755673497</v>
      </c>
      <c r="X55" s="449" t="n">
        <f aca="false">'Cash Flow Statement'!X21+'Cash Flow Statement'!X9</f>
        <v>5715.97924807111</v>
      </c>
      <c r="Y55" s="449" t="n">
        <f aca="false">'Cash Flow Statement'!Y21+'Cash Flow Statement'!Y9</f>
        <v>0</v>
      </c>
      <c r="Z55" s="449" t="n">
        <f aca="false">'Cash Flow Statement'!Z21+'Cash Flow Statement'!Z9</f>
        <v>0</v>
      </c>
      <c r="AA55" s="449" t="n">
        <f aca="false">'Cash Flow Statement'!AA21+'Cash Flow Statement'!AA9</f>
        <v>0</v>
      </c>
      <c r="AB55" s="504" t="n">
        <f aca="false">'Cash Flow Statement'!AB21+'Cash Flow Statement'!AB9</f>
        <v>0</v>
      </c>
    </row>
    <row r="56" customFormat="false" ht="11.25" hidden="false" customHeight="false" outlineLevel="0" collapsed="false">
      <c r="A56" s="410" t="s">
        <v>624</v>
      </c>
      <c r="B56" s="385"/>
      <c r="C56" s="385"/>
      <c r="D56" s="839" t="n">
        <f aca="false">'Book Income Statement'!D74+'Cash Flow Statement'!D8</f>
        <v>38.6756628944766</v>
      </c>
      <c r="E56" s="839" t="n">
        <f aca="false">'Book Income Statement'!E74+'Cash Flow Statement'!E8</f>
        <v>3042.29957585642</v>
      </c>
      <c r="F56" s="839" t="n">
        <f aca="false">'Book Income Statement'!F74+'Cash Flow Statement'!F8</f>
        <v>3157.16590423709</v>
      </c>
      <c r="G56" s="839" t="n">
        <f aca="false">'Book Income Statement'!G74+'Cash Flow Statement'!G8</f>
        <v>5363.84605713682</v>
      </c>
      <c r="H56" s="839" t="n">
        <f aca="false">'Book Income Statement'!H74+'Cash Flow Statement'!H8</f>
        <v>7204.70803313769</v>
      </c>
      <c r="I56" s="839" t="n">
        <f aca="false">'Book Income Statement'!I74+'Cash Flow Statement'!I8</f>
        <v>7588.45769233043</v>
      </c>
      <c r="J56" s="839" t="n">
        <f aca="false">'Book Income Statement'!J74+'Cash Flow Statement'!J8</f>
        <v>7940.63566193434</v>
      </c>
      <c r="K56" s="839" t="n">
        <f aca="false">'Book Income Statement'!K74+'Cash Flow Statement'!K8</f>
        <v>8517.15099558493</v>
      </c>
      <c r="L56" s="839" t="n">
        <f aca="false">'Book Income Statement'!L74+'Cash Flow Statement'!L8</f>
        <v>8822.91258341863</v>
      </c>
      <c r="M56" s="839" t="n">
        <f aca="false">'Book Income Statement'!M74+'Cash Flow Statement'!M8</f>
        <v>9534.38146436869</v>
      </c>
      <c r="N56" s="839" t="n">
        <f aca="false">'Book Income Statement'!N74+'Cash Flow Statement'!N8</f>
        <v>10041.6070605746</v>
      </c>
      <c r="O56" s="839" t="n">
        <f aca="false">'Book Income Statement'!O74+'Cash Flow Statement'!O8</f>
        <v>10552.1242192595</v>
      </c>
      <c r="P56" s="839" t="n">
        <f aca="false">'Book Income Statement'!P74+'Cash Flow Statement'!P8</f>
        <v>10780.6826312145</v>
      </c>
      <c r="Q56" s="839" t="n">
        <f aca="false">'Book Income Statement'!Q74+'Cash Flow Statement'!Q8</f>
        <v>11003.0665954102</v>
      </c>
      <c r="R56" s="839" t="n">
        <f aca="false">'Book Income Statement'!R74+'Cash Flow Statement'!R8</f>
        <v>11218.8048651721</v>
      </c>
      <c r="S56" s="839" t="n">
        <f aca="false">'Book Income Statement'!S74+'Cash Flow Statement'!S8</f>
        <v>11427.4034760286</v>
      </c>
      <c r="T56" s="839" t="n">
        <f aca="false">'Book Income Statement'!T74+'Cash Flow Statement'!T8</f>
        <v>11628.3448067646</v>
      </c>
      <c r="U56" s="839" t="n">
        <f aca="false">'Book Income Statement'!U74+'Cash Flow Statement'!U8</f>
        <v>11937.667451337</v>
      </c>
      <c r="V56" s="839" t="n">
        <f aca="false">'Book Income Statement'!V74+'Cash Flow Statement'!V8</f>
        <v>12284.8550052842</v>
      </c>
      <c r="W56" s="839" t="n">
        <f aca="false">'Book Income Statement'!W74+'Cash Flow Statement'!W8</f>
        <v>12692.6290473409</v>
      </c>
      <c r="X56" s="839" t="n">
        <f aca="false">'Book Income Statement'!X74+'Cash Flow Statement'!X8</f>
        <v>3634.03272806236</v>
      </c>
      <c r="Y56" s="839" t="n">
        <f aca="false">'Book Income Statement'!Y74+'Cash Flow Statement'!Y8</f>
        <v>0</v>
      </c>
      <c r="Z56" s="839" t="n">
        <f aca="false">'Book Income Statement'!Z74+'Cash Flow Statement'!Z8</f>
        <v>0</v>
      </c>
      <c r="AA56" s="839" t="n">
        <f aca="false">'Book Income Statement'!AA74+'Cash Flow Statement'!AA8</f>
        <v>0</v>
      </c>
      <c r="AB56" s="840" t="n">
        <f aca="false">'Book Income Statement'!AB74+'Cash Flow Statement'!AB8</f>
        <v>0</v>
      </c>
    </row>
    <row r="57" customFormat="false" ht="11.25" hidden="false" customHeight="false" outlineLevel="0" collapsed="false">
      <c r="A57" s="410" t="s">
        <v>625</v>
      </c>
      <c r="B57" s="385"/>
      <c r="C57" s="385"/>
      <c r="D57" s="449" t="n">
        <f aca="false">D56-D55</f>
        <v>38.6756628944766</v>
      </c>
      <c r="E57" s="449" t="n">
        <f aca="false">E56-E55</f>
        <v>2796.69321937642</v>
      </c>
      <c r="F57" s="449" t="n">
        <f aca="false">F56-F55</f>
        <v>2911.55954775709</v>
      </c>
      <c r="G57" s="449" t="n">
        <f aca="false">G56-G55</f>
        <v>5118.23970065682</v>
      </c>
      <c r="H57" s="449" t="n">
        <f aca="false">H56-H55</f>
        <v>5987.43163373165</v>
      </c>
      <c r="I57" s="449" t="n">
        <f aca="false">I56-I55</f>
        <v>2241.56241987609</v>
      </c>
      <c r="J57" s="449" t="n">
        <f aca="false">J56-J55</f>
        <v>2012.54830267512</v>
      </c>
      <c r="K57" s="449" t="n">
        <f aca="false">K56-K55</f>
        <v>2019.48812440849</v>
      </c>
      <c r="L57" s="449" t="n">
        <f aca="false">L56-L55</f>
        <v>2012.54830267513</v>
      </c>
      <c r="M57" s="449" t="n">
        <f aca="false">M56-M55</f>
        <v>2019.48812440849</v>
      </c>
      <c r="N57" s="449" t="n">
        <f aca="false">N56-N55</f>
        <v>2012.54830267513</v>
      </c>
      <c r="O57" s="449" t="n">
        <f aca="false">O56-O55</f>
        <v>2019.48812440849</v>
      </c>
      <c r="P57" s="449" t="n">
        <f aca="false">P56-P55</f>
        <v>2012.54830267512</v>
      </c>
      <c r="Q57" s="449" t="n">
        <f aca="false">Q56-Q55</f>
        <v>2019.48812440849</v>
      </c>
      <c r="R57" s="449" t="n">
        <f aca="false">R56-R55</f>
        <v>2012.54830267512</v>
      </c>
      <c r="S57" s="449" t="n">
        <f aca="false">S56-S55</f>
        <v>-34.6991086668131</v>
      </c>
      <c r="T57" s="449" t="n">
        <f aca="false">T56-T55</f>
        <v>-2081.94652000875</v>
      </c>
      <c r="U57" s="449" t="n">
        <f aca="false">U56-U55</f>
        <v>-2081.94652000875</v>
      </c>
      <c r="V57" s="449" t="n">
        <f aca="false">V56-V55</f>
        <v>-2081.94652000875</v>
      </c>
      <c r="W57" s="449" t="n">
        <f aca="false">W56-W55</f>
        <v>-2081.94652000875</v>
      </c>
      <c r="X57" s="449" t="n">
        <f aca="false">X56-X55</f>
        <v>-2081.94652000875</v>
      </c>
      <c r="Y57" s="449" t="n">
        <f aca="false">Y56-Y55</f>
        <v>0</v>
      </c>
      <c r="Z57" s="449" t="n">
        <f aca="false">Z56-Z55</f>
        <v>0</v>
      </c>
      <c r="AA57" s="449" t="n">
        <f aca="false">AA56-AA55</f>
        <v>0</v>
      </c>
      <c r="AB57" s="504" t="n">
        <f aca="false">AB56-AB55</f>
        <v>0</v>
      </c>
    </row>
    <row r="58" customFormat="false" ht="11.25" hidden="false" customHeight="false" outlineLevel="0" collapsed="false">
      <c r="A58" s="410"/>
      <c r="B58" s="385"/>
      <c r="C58" s="385"/>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504"/>
    </row>
    <row r="59" customFormat="false" ht="11.25" hidden="false" customHeight="false" outlineLevel="0" collapsed="false">
      <c r="A59" s="453" t="s">
        <v>626</v>
      </c>
      <c r="B59" s="474"/>
      <c r="C59" s="474"/>
      <c r="D59" s="841" t="n">
        <f aca="false">D57+C59</f>
        <v>38.6756628944766</v>
      </c>
      <c r="E59" s="841" t="n">
        <f aca="false">E57+D59</f>
        <v>2835.3688822709</v>
      </c>
      <c r="F59" s="841" t="n">
        <f aca="false">F57+E59</f>
        <v>5746.92843002799</v>
      </c>
      <c r="G59" s="841" t="n">
        <f aca="false">G57+F59</f>
        <v>10865.1681306848</v>
      </c>
      <c r="H59" s="841" t="n">
        <f aca="false">H57+G59</f>
        <v>16852.5997644165</v>
      </c>
      <c r="I59" s="841" t="n">
        <f aca="false">I57+H59</f>
        <v>19094.1621842926</v>
      </c>
      <c r="J59" s="841" t="n">
        <f aca="false">J57+I59</f>
        <v>21106.7104869677</v>
      </c>
      <c r="K59" s="841" t="n">
        <f aca="false">K57+J59</f>
        <v>23126.1986113762</v>
      </c>
      <c r="L59" s="841" t="n">
        <f aca="false">L57+K59</f>
        <v>25138.7469140513</v>
      </c>
      <c r="M59" s="841" t="n">
        <f aca="false">M57+L59</f>
        <v>27158.2350384598</v>
      </c>
      <c r="N59" s="841" t="n">
        <f aca="false">N57+M59</f>
        <v>29170.7833411349</v>
      </c>
      <c r="O59" s="841" t="n">
        <f aca="false">O57+N59</f>
        <v>31190.2714655434</v>
      </c>
      <c r="P59" s="841" t="n">
        <f aca="false">P57+O59</f>
        <v>33202.8197682185</v>
      </c>
      <c r="Q59" s="841" t="n">
        <f aca="false">Q57+P59</f>
        <v>35222.307892627</v>
      </c>
      <c r="R59" s="841" t="n">
        <f aca="false">R57+Q59</f>
        <v>37234.8561953021</v>
      </c>
      <c r="S59" s="841" t="n">
        <f aca="false">S57+R59</f>
        <v>37200.1570866353</v>
      </c>
      <c r="T59" s="841" t="n">
        <f aca="false">T57+S59</f>
        <v>35118.2105666266</v>
      </c>
      <c r="U59" s="841" t="n">
        <f aca="false">U57+T59</f>
        <v>33036.2640466178</v>
      </c>
      <c r="V59" s="841" t="n">
        <f aca="false">V57+U59</f>
        <v>30954.3175266091</v>
      </c>
      <c r="W59" s="841" t="n">
        <f aca="false">W57+V59</f>
        <v>28872.3710066003</v>
      </c>
      <c r="X59" s="841" t="n">
        <f aca="false">X57+W59</f>
        <v>26790.4244865916</v>
      </c>
      <c r="Y59" s="841" t="n">
        <f aca="false">Y57+X59</f>
        <v>26790.4244865916</v>
      </c>
      <c r="Z59" s="841" t="n">
        <f aca="false">Z57+Y59</f>
        <v>26790.4244865916</v>
      </c>
      <c r="AA59" s="841" t="n">
        <f aca="false">AA57+Z59</f>
        <v>26790.4244865916</v>
      </c>
      <c r="AB59" s="842" t="n">
        <f aca="false">AB57+AA59</f>
        <v>26790.4244865916</v>
      </c>
    </row>
    <row r="61" customFormat="false" ht="12.75" hidden="false" customHeight="false" outlineLevel="0" collapsed="false">
      <c r="A61" s="837" t="s">
        <v>627</v>
      </c>
      <c r="B61" s="381"/>
      <c r="C61" s="381"/>
      <c r="D61" s="381"/>
      <c r="E61" s="381"/>
      <c r="F61" s="381"/>
      <c r="G61" s="381"/>
      <c r="H61" s="381"/>
      <c r="I61" s="381"/>
      <c r="J61" s="381"/>
      <c r="K61" s="381"/>
      <c r="L61" s="381"/>
      <c r="M61" s="381"/>
      <c r="N61" s="381"/>
      <c r="O61" s="381"/>
      <c r="P61" s="381"/>
      <c r="Q61" s="381"/>
      <c r="R61" s="381"/>
      <c r="S61" s="381"/>
      <c r="T61" s="381"/>
      <c r="U61" s="381"/>
      <c r="V61" s="381"/>
      <c r="W61" s="381"/>
      <c r="X61" s="381"/>
      <c r="Y61" s="381"/>
      <c r="Z61" s="381"/>
      <c r="AA61" s="381"/>
      <c r="AB61" s="517"/>
    </row>
    <row r="62" customFormat="false" ht="11.25" hidden="false" customHeight="false" outlineLevel="0" collapsed="false">
      <c r="A62" s="410"/>
      <c r="B62" s="385"/>
      <c r="C62" s="385"/>
      <c r="D62" s="385"/>
      <c r="E62" s="385"/>
      <c r="F62" s="385"/>
      <c r="G62" s="385"/>
      <c r="H62" s="385"/>
      <c r="I62" s="385"/>
      <c r="J62" s="385"/>
      <c r="K62" s="385"/>
      <c r="L62" s="385"/>
      <c r="M62" s="385"/>
      <c r="N62" s="385"/>
      <c r="O62" s="385"/>
      <c r="P62" s="385"/>
      <c r="Q62" s="385"/>
      <c r="R62" s="385"/>
      <c r="S62" s="385"/>
      <c r="T62" s="385"/>
      <c r="U62" s="385"/>
      <c r="V62" s="385"/>
      <c r="W62" s="385"/>
      <c r="X62" s="385"/>
      <c r="Y62" s="385"/>
      <c r="Z62" s="385"/>
      <c r="AA62" s="385"/>
      <c r="AB62" s="415"/>
    </row>
    <row r="63" customFormat="false" ht="11.25" hidden="false" customHeight="false" outlineLevel="0" collapsed="false">
      <c r="A63" s="410" t="s">
        <v>628</v>
      </c>
      <c r="B63" s="385"/>
      <c r="C63" s="385"/>
      <c r="D63" s="746" t="n">
        <f aca="false">'Book Income Statement'!D34+'Book Income Statement'!D42+'Book Income Statement'!D51+'Book Income Statement'!D53+'Book Income Statement'!D28+'Book Income Statement'!D65</f>
        <v>7907.98719241137</v>
      </c>
      <c r="E63" s="746" t="n">
        <f aca="false">'Book Income Statement'!E34+'Book Income Statement'!E42+'Book Income Statement'!E51+'Book Income Statement'!E53+'Book Income Statement'!E28+'Book Income Statement'!E65</f>
        <v>11250.6375152388</v>
      </c>
      <c r="F63" s="746" t="n">
        <f aca="false">'Book Income Statement'!F34+'Book Income Statement'!F42+'Book Income Statement'!F51+'Book Income Statement'!F53+'Book Income Statement'!F28+'Book Income Statement'!F65</f>
        <v>11413.8012911016</v>
      </c>
      <c r="G63" s="746" t="n">
        <f aca="false">'Book Income Statement'!G34+'Book Income Statement'!G42+'Book Income Statement'!G51+'Book Income Statement'!G53+'Book Income Statement'!G28+'Book Income Statement'!G65</f>
        <v>11857.0924725219</v>
      </c>
      <c r="H63" s="746" t="n">
        <f aca="false">'Book Income Statement'!H34+'Book Income Statement'!H42+'Book Income Statement'!H51+'Book Income Statement'!H53+'Book Income Statement'!H28+'Book Income Statement'!H65</f>
        <v>12233.5425114398</v>
      </c>
      <c r="I63" s="746" t="n">
        <f aca="false">'Book Income Statement'!I34+'Book Income Statement'!I42+'Book Income Statement'!I51+'Book Income Statement'!I53+'Book Income Statement'!I28+'Book Income Statement'!I65</f>
        <v>12188.124720522</v>
      </c>
      <c r="J63" s="746" t="n">
        <f aca="false">'Book Income Statement'!J34+'Book Income Statement'!J42+'Book Income Statement'!J51+'Book Income Statement'!J53+'Book Income Statement'!J28+'Book Income Statement'!J65</f>
        <v>12216.5060907099</v>
      </c>
      <c r="K63" s="746" t="n">
        <f aca="false">'Book Income Statement'!K34+'Book Income Statement'!K42+'Book Income Statement'!K51+'Book Income Statement'!K53+'Book Income Statement'!K28+'Book Income Statement'!K65</f>
        <v>12420.8894578368</v>
      </c>
      <c r="L63" s="746" t="n">
        <f aca="false">'Book Income Statement'!L34+'Book Income Statement'!L42+'Book Income Statement'!L51+'Book Income Statement'!L53+'Book Income Statement'!L28+'Book Income Statement'!L65</f>
        <v>12631.4043259775</v>
      </c>
      <c r="M63" s="746" t="n">
        <f aca="false">'Book Income Statement'!M34+'Book Income Statement'!M42+'Book Income Statement'!M51+'Book Income Statement'!M53+'Book Income Statement'!M28+'Book Income Statement'!M65</f>
        <v>12848.2346401624</v>
      </c>
      <c r="N63" s="746" t="n">
        <f aca="false">'Book Income Statement'!N34+'Book Income Statement'!N42+'Book Income Statement'!N51+'Book Income Statement'!N53+'Book Income Statement'!N28+'Book Income Statement'!N65</f>
        <v>13071.5698637729</v>
      </c>
      <c r="O63" s="746" t="n">
        <f aca="false">'Book Income Statement'!O34+'Book Income Statement'!O42+'Book Income Statement'!O51+'Book Income Statement'!O53+'Book Income Statement'!O28+'Book Income Statement'!O65</f>
        <v>13301.6051440917</v>
      </c>
      <c r="P63" s="746" t="n">
        <f aca="false">'Book Income Statement'!P34+'Book Income Statement'!P42+'Book Income Statement'!P51+'Book Income Statement'!P53+'Book Income Statement'!P28+'Book Income Statement'!P65</f>
        <v>13538.54148282</v>
      </c>
      <c r="Q63" s="746" t="n">
        <f aca="false">'Book Income Statement'!Q34+'Book Income Statement'!Q42+'Book Income Statement'!Q51+'Book Income Statement'!Q53+'Book Income Statement'!Q28+'Book Income Statement'!Q65</f>
        <v>13782.5859117102</v>
      </c>
      <c r="R63" s="746" t="n">
        <f aca="false">'Book Income Statement'!R34+'Book Income Statement'!R42+'Book Income Statement'!R51+'Book Income Statement'!R53+'Book Income Statement'!R28+'Book Income Statement'!R65</f>
        <v>14033.9516734671</v>
      </c>
      <c r="S63" s="746" t="n">
        <f aca="false">'Book Income Statement'!S34+'Book Income Statement'!S42+'Book Income Statement'!S51+'Book Income Statement'!S53+'Book Income Statement'!S28+'Book Income Statement'!S65</f>
        <v>14292.8584080767</v>
      </c>
      <c r="T63" s="746" t="n">
        <f aca="false">'Book Income Statement'!T34+'Book Income Statement'!T42+'Book Income Statement'!T51+'Book Income Statement'!T53+'Book Income Statement'!T28+'Book Income Statement'!T65</f>
        <v>14559.5323447246</v>
      </c>
      <c r="U63" s="746" t="n">
        <f aca="false">'Book Income Statement'!U34+'Book Income Statement'!U42+'Book Income Statement'!U51+'Book Income Statement'!U53+'Book Income Statement'!U28+'Book Income Statement'!U65</f>
        <v>14834.206499472</v>
      </c>
      <c r="V63" s="746" t="n">
        <f aca="false">'Book Income Statement'!V34+'Book Income Statement'!V42+'Book Income Statement'!V51+'Book Income Statement'!V53+'Book Income Statement'!V28+'Book Income Statement'!V65</f>
        <v>15117.1208788617</v>
      </c>
      <c r="W63" s="746" t="n">
        <f aca="false">'Book Income Statement'!W34+'Book Income Statement'!W42+'Book Income Statement'!W51+'Book Income Statement'!W53+'Book Income Statement'!W28+'Book Income Statement'!W65</f>
        <v>15408.5226896332</v>
      </c>
      <c r="X63" s="746" t="n">
        <f aca="false">'Book Income Statement'!X34+'Book Income Statement'!X42+'Book Income Statement'!X51+'Book Income Statement'!X53+'Book Income Statement'!X28+'Book Income Statement'!X65</f>
        <v>13096.6684052389</v>
      </c>
      <c r="Y63" s="746" t="n">
        <f aca="false">'Book Income Statement'!Y34+'Book Income Statement'!Y42+'Book Income Statement'!Y51+'Book Income Statement'!Y53+'Book Income Statement'!Y28+'Book Income Statement'!Y65</f>
        <v>0</v>
      </c>
      <c r="Z63" s="746" t="n">
        <f aca="false">'Book Income Statement'!Z34+'Book Income Statement'!Z42+'Book Income Statement'!Z51+'Book Income Statement'!Z53+'Book Income Statement'!Z28+'Book Income Statement'!Z65</f>
        <v>0</v>
      </c>
      <c r="AA63" s="746" t="n">
        <f aca="false">'Book Income Statement'!AA34+'Book Income Statement'!AA42+'Book Income Statement'!AA51+'Book Income Statement'!AA53+'Book Income Statement'!AA28+'Book Income Statement'!AA65</f>
        <v>0</v>
      </c>
      <c r="AB63" s="746" t="n">
        <f aca="false">'Book Income Statement'!AB34+'Book Income Statement'!AB42+'Book Income Statement'!AB51+'Book Income Statement'!AB53+'Book Income Statement'!AB28+'Book Income Statement'!AB65</f>
        <v>0</v>
      </c>
    </row>
    <row r="64" customFormat="false" ht="11.25" hidden="false" customHeight="false" outlineLevel="0" collapsed="false">
      <c r="A64" s="410" t="s">
        <v>629</v>
      </c>
      <c r="B64" s="385"/>
      <c r="C64" s="385"/>
      <c r="D64" s="839" t="n">
        <f aca="false">0.03*D63</f>
        <v>237.239615772341</v>
      </c>
      <c r="E64" s="839" t="n">
        <f aca="false">0.03*E63</f>
        <v>337.519125457165</v>
      </c>
      <c r="F64" s="839" t="n">
        <f aca="false">0.03*F63</f>
        <v>342.414038733048</v>
      </c>
      <c r="G64" s="839" t="n">
        <f aca="false">0.03*G63</f>
        <v>355.712774175656</v>
      </c>
      <c r="H64" s="839" t="n">
        <f aca="false">0.03*H63</f>
        <v>367.006275343195</v>
      </c>
      <c r="I64" s="839" t="n">
        <f aca="false">0.03*I63</f>
        <v>365.643741615659</v>
      </c>
      <c r="J64" s="839" t="n">
        <f aca="false">0.03*J63</f>
        <v>366.495182721296</v>
      </c>
      <c r="K64" s="839" t="n">
        <f aca="false">0.03*K63</f>
        <v>372.626683735103</v>
      </c>
      <c r="L64" s="839" t="n">
        <f aca="false">0.03*L63</f>
        <v>378.942129779324</v>
      </c>
      <c r="M64" s="839" t="n">
        <f aca="false">0.03*M63</f>
        <v>385.447039204872</v>
      </c>
      <c r="N64" s="839" t="n">
        <f aca="false">0.03*N63</f>
        <v>392.147095913186</v>
      </c>
      <c r="O64" s="839" t="n">
        <f aca="false">0.03*O63</f>
        <v>399.04815432275</v>
      </c>
      <c r="P64" s="839" t="n">
        <f aca="false">0.03*P63</f>
        <v>406.1562444846</v>
      </c>
      <c r="Q64" s="839" t="n">
        <f aca="false">0.03*Q63</f>
        <v>413.477577351306</v>
      </c>
      <c r="R64" s="839" t="n">
        <f aca="false">0.03*R63</f>
        <v>421.018550204014</v>
      </c>
      <c r="S64" s="839" t="n">
        <f aca="false">0.03*S63</f>
        <v>428.785752242302</v>
      </c>
      <c r="T64" s="839" t="n">
        <f aca="false">0.03*T63</f>
        <v>436.785970341739</v>
      </c>
      <c r="U64" s="839" t="n">
        <f aca="false">0.03*U63</f>
        <v>445.026194984159</v>
      </c>
      <c r="V64" s="839" t="n">
        <f aca="false">0.03*V63</f>
        <v>453.513626365852</v>
      </c>
      <c r="W64" s="839" t="n">
        <f aca="false">0.03*W63</f>
        <v>462.255680688996</v>
      </c>
      <c r="X64" s="839" t="n">
        <f aca="false">0.03*X63</f>
        <v>392.900052157166</v>
      </c>
      <c r="Y64" s="843" t="n">
        <f aca="false">0.03*Y63</f>
        <v>0</v>
      </c>
      <c r="Z64" s="843" t="n">
        <f aca="false">0.03*Z63</f>
        <v>0</v>
      </c>
      <c r="AA64" s="843" t="n">
        <f aca="false">0.03*AA63</f>
        <v>0</v>
      </c>
      <c r="AB64" s="844" t="n">
        <f aca="false">0.03*AB63</f>
        <v>0</v>
      </c>
    </row>
    <row r="65" customFormat="false" ht="11.25" hidden="false" customHeight="false" outlineLevel="0" collapsed="false">
      <c r="A65" s="410"/>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415"/>
    </row>
    <row r="66" customFormat="false" ht="11.25" hidden="false" customHeight="false" outlineLevel="0" collapsed="false">
      <c r="A66" s="453" t="s">
        <v>630</v>
      </c>
      <c r="B66" s="474"/>
      <c r="C66" s="474"/>
      <c r="D66" s="841" t="n">
        <f aca="false">'Project Assumptions'!$N$68*'Tax Calculations'!D64</f>
        <v>14.2343769463405</v>
      </c>
      <c r="E66" s="841" t="n">
        <f aca="false">'Project Assumptions'!$N$68*'Tax Calculations'!E64</f>
        <v>20.2511475274299</v>
      </c>
      <c r="F66" s="841" t="n">
        <f aca="false">'Project Assumptions'!$N$68*'Tax Calculations'!F64</f>
        <v>20.5448423239829</v>
      </c>
      <c r="G66" s="841" t="n">
        <f aca="false">'Project Assumptions'!$N$68*'Tax Calculations'!G64</f>
        <v>21.3427664505394</v>
      </c>
      <c r="H66" s="841" t="n">
        <f aca="false">'Project Assumptions'!$N$68*'Tax Calculations'!H64</f>
        <v>22.0203765205917</v>
      </c>
      <c r="I66" s="841" t="n">
        <f aca="false">'Project Assumptions'!$N$68*'Tax Calculations'!I64</f>
        <v>21.9386244969395</v>
      </c>
      <c r="J66" s="841" t="n">
        <f aca="false">'Project Assumptions'!$N$68*'Tax Calculations'!J64</f>
        <v>21.9897109632778</v>
      </c>
      <c r="K66" s="841" t="n">
        <f aca="false">'Project Assumptions'!$N$68*'Tax Calculations'!K64</f>
        <v>22.3576010241062</v>
      </c>
      <c r="L66" s="841" t="n">
        <f aca="false">'Project Assumptions'!$N$68*'Tax Calculations'!L64</f>
        <v>22.7365277867595</v>
      </c>
      <c r="M66" s="841" t="n">
        <f aca="false">'Project Assumptions'!$N$68*'Tax Calculations'!M64</f>
        <v>23.1268223522923</v>
      </c>
      <c r="N66" s="841" t="n">
        <f aca="false">'Project Assumptions'!$N$68*'Tax Calculations'!N64</f>
        <v>23.5288257547912</v>
      </c>
      <c r="O66" s="841" t="n">
        <f aca="false">'Project Assumptions'!$N$68*'Tax Calculations'!O64</f>
        <v>23.942889259365</v>
      </c>
      <c r="P66" s="841" t="n">
        <f aca="false">'Project Assumptions'!$N$68*'Tax Calculations'!P64</f>
        <v>24.369374669076</v>
      </c>
      <c r="Q66" s="841" t="n">
        <f aca="false">'Project Assumptions'!$N$68*'Tax Calculations'!Q64</f>
        <v>24.8086546410784</v>
      </c>
      <c r="R66" s="841" t="n">
        <f aca="false">'Project Assumptions'!$N$68*'Tax Calculations'!R64</f>
        <v>25.2611130122408</v>
      </c>
      <c r="S66" s="841" t="n">
        <f aca="false">'Project Assumptions'!$N$68*'Tax Calculations'!S64</f>
        <v>25.7271451345381</v>
      </c>
      <c r="T66" s="841" t="n">
        <f aca="false">'Project Assumptions'!$N$68*'Tax Calculations'!T64</f>
        <v>26.2071582205043</v>
      </c>
      <c r="U66" s="841" t="n">
        <f aca="false">'Project Assumptions'!$N$68*'Tax Calculations'!U64</f>
        <v>26.7015716990496</v>
      </c>
      <c r="V66" s="841" t="n">
        <f aca="false">'Project Assumptions'!$N$68*'Tax Calculations'!V64</f>
        <v>27.2108175819511</v>
      </c>
      <c r="W66" s="841" t="n">
        <f aca="false">'Project Assumptions'!$N$68*'Tax Calculations'!W64</f>
        <v>27.7353408413397</v>
      </c>
      <c r="X66" s="841" t="n">
        <f aca="false">'Project Assumptions'!$N$68*'Tax Calculations'!X64</f>
        <v>23.5740031294299</v>
      </c>
      <c r="Y66" s="841" t="n">
        <f aca="false">'Project Assumptions'!$N$68*'Tax Calculations'!Y64</f>
        <v>0</v>
      </c>
      <c r="Z66" s="841" t="n">
        <f aca="false">'Project Assumptions'!$N$68*'Tax Calculations'!Z64</f>
        <v>0</v>
      </c>
      <c r="AA66" s="841" t="n">
        <f aca="false">'Project Assumptions'!$N$68*'Tax Calculations'!AA64</f>
        <v>0</v>
      </c>
      <c r="AB66" s="842" t="n">
        <f aca="false">'Project Assumptions'!$N$68*'Tax Calculations'!AB64</f>
        <v>0</v>
      </c>
    </row>
  </sheetData>
  <printOptions headings="false" gridLines="false" gridLinesSet="true" horizontalCentered="false" verticalCentered="false"/>
  <pageMargins left="0.25" right="0.25" top="0.2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colBreaks count="2" manualBreakCount="2">
    <brk id="15" man="true" max="65535" min="0"/>
    <brk id="31" man="true" max="65535" min="0"/>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97"/>
  <sheetViews>
    <sheetView showFormulas="false" showGridLines="true" showRowColHeaders="true" showZeros="true" rightToLeft="false" tabSelected="false" showOutlineSymbols="true" defaultGridColor="true" view="pageBreakPreview" topLeftCell="A25" colorId="64" zoomScale="85" zoomScaleNormal="75" zoomScalePageLayoutView="85" workbookViewId="0">
      <selection pane="topLeft" activeCell="E45" activeCellId="0" sqref="E45"/>
    </sheetView>
  </sheetViews>
  <sheetFormatPr defaultColWidth="9.28125" defaultRowHeight="11.25" customHeight="true" zeroHeight="false" outlineLevelRow="1" outlineLevelCol="0"/>
  <cols>
    <col collapsed="false" customWidth="true" hidden="false" outlineLevel="0" max="1" min="1" style="1" width="27.99"/>
    <col collapsed="false" customWidth="false" hidden="false" outlineLevel="0" max="28" min="2" style="1" width="9.28"/>
    <col collapsed="false" customWidth="false" hidden="false" outlineLevel="0" max="257" min="29" style="4" width="9.28"/>
  </cols>
  <sheetData>
    <row r="1" customFormat="false" ht="20.25" hidden="false" customHeight="false" outlineLevel="0" collapsed="false">
      <c r="A1" s="374" t="str">
        <f aca="false">'Project Assumptions'!$A$2</f>
        <v>GLEASON, TN</v>
      </c>
      <c r="B1" s="845"/>
      <c r="C1" s="846"/>
      <c r="D1" s="442"/>
      <c r="E1" s="442"/>
      <c r="F1" s="442"/>
      <c r="G1" s="442"/>
      <c r="H1" s="442"/>
      <c r="I1" s="442"/>
      <c r="J1" s="442"/>
      <c r="K1" s="442"/>
      <c r="L1" s="442"/>
      <c r="M1" s="442"/>
      <c r="N1" s="442"/>
      <c r="O1" s="442"/>
      <c r="P1" s="442"/>
      <c r="Q1" s="442"/>
      <c r="R1" s="442"/>
      <c r="S1" s="442"/>
      <c r="T1" s="442"/>
      <c r="U1" s="442"/>
      <c r="V1" s="442"/>
      <c r="W1" s="442"/>
      <c r="X1" s="442"/>
      <c r="Y1" s="442"/>
      <c r="Z1" s="442"/>
      <c r="AA1" s="442"/>
      <c r="AB1" s="442"/>
      <c r="AC1" s="847"/>
      <c r="AD1" s="847"/>
      <c r="AE1" s="847"/>
      <c r="AF1" s="847"/>
      <c r="AG1" s="847"/>
      <c r="AH1" s="847"/>
      <c r="AI1" s="847"/>
      <c r="AJ1" s="847"/>
      <c r="AK1" s="847"/>
      <c r="AL1" s="847"/>
      <c r="AM1" s="847"/>
      <c r="AN1" s="847"/>
      <c r="AO1" s="847"/>
      <c r="AP1" s="847"/>
      <c r="AQ1" s="847"/>
      <c r="AR1" s="847"/>
      <c r="AS1" s="847"/>
      <c r="AT1" s="847"/>
      <c r="AU1" s="847"/>
      <c r="AV1" s="847"/>
      <c r="AW1" s="847"/>
      <c r="AX1" s="847"/>
      <c r="AY1" s="847"/>
      <c r="AZ1" s="847"/>
      <c r="BA1" s="847"/>
      <c r="BB1" s="847"/>
      <c r="BC1" s="847"/>
      <c r="BD1" s="847"/>
      <c r="BE1" s="847"/>
      <c r="BF1" s="847"/>
      <c r="BG1" s="847"/>
      <c r="BH1" s="847"/>
      <c r="BI1" s="847"/>
      <c r="BJ1" s="847"/>
      <c r="BK1" s="847"/>
      <c r="BL1" s="847"/>
      <c r="BM1" s="847"/>
      <c r="BN1" s="847"/>
      <c r="BO1" s="847"/>
      <c r="BP1" s="847"/>
      <c r="BQ1" s="847"/>
      <c r="BR1" s="847"/>
      <c r="BS1" s="847"/>
      <c r="BT1" s="847"/>
      <c r="BU1" s="847"/>
      <c r="BV1" s="847"/>
      <c r="BW1" s="847"/>
      <c r="BX1" s="847"/>
      <c r="BY1" s="847"/>
      <c r="BZ1" s="847"/>
      <c r="CA1" s="847"/>
      <c r="CB1" s="847"/>
      <c r="CC1" s="847"/>
      <c r="CD1" s="847"/>
      <c r="CE1" s="847"/>
      <c r="CF1" s="847"/>
      <c r="CG1" s="847"/>
      <c r="CH1" s="847"/>
      <c r="CI1" s="847"/>
      <c r="CJ1" s="847"/>
      <c r="CK1" s="847"/>
      <c r="CL1" s="847"/>
      <c r="CM1" s="847"/>
      <c r="CN1" s="847"/>
      <c r="CO1" s="847"/>
      <c r="CP1" s="847"/>
      <c r="CQ1" s="847"/>
      <c r="CR1" s="847"/>
      <c r="CS1" s="847"/>
      <c r="CT1" s="847"/>
      <c r="CU1" s="847"/>
      <c r="CV1" s="847"/>
      <c r="CW1" s="847"/>
      <c r="CX1" s="847"/>
      <c r="CY1" s="847"/>
      <c r="CZ1" s="847"/>
      <c r="DA1" s="847"/>
      <c r="DB1" s="847"/>
      <c r="DC1" s="847"/>
      <c r="DD1" s="847"/>
      <c r="DE1" s="847"/>
      <c r="DF1" s="847"/>
      <c r="DG1" s="847"/>
      <c r="DH1" s="847"/>
      <c r="DI1" s="847"/>
      <c r="DJ1" s="847"/>
      <c r="DK1" s="847"/>
      <c r="DL1" s="847"/>
      <c r="DM1" s="847"/>
      <c r="DN1" s="847"/>
      <c r="DO1" s="847"/>
      <c r="DP1" s="847"/>
      <c r="DQ1" s="847"/>
      <c r="DR1" s="847"/>
      <c r="DS1" s="847"/>
      <c r="DT1" s="847"/>
      <c r="DU1" s="847"/>
      <c r="DV1" s="847"/>
      <c r="DW1" s="847"/>
      <c r="DX1" s="847"/>
      <c r="DY1" s="847"/>
      <c r="DZ1" s="847"/>
      <c r="EA1" s="847"/>
      <c r="EB1" s="847"/>
      <c r="EC1" s="847"/>
      <c r="ED1" s="847"/>
      <c r="EE1" s="847"/>
      <c r="EF1" s="847"/>
      <c r="EG1" s="847"/>
      <c r="EH1" s="847"/>
      <c r="EI1" s="847"/>
      <c r="EJ1" s="847"/>
      <c r="EK1" s="847"/>
      <c r="EL1" s="847"/>
      <c r="EM1" s="847"/>
      <c r="EN1" s="847"/>
      <c r="EO1" s="847"/>
      <c r="EP1" s="847"/>
      <c r="EQ1" s="847"/>
      <c r="ER1" s="847"/>
      <c r="ES1" s="847"/>
      <c r="ET1" s="847"/>
      <c r="EU1" s="847"/>
      <c r="EV1" s="847"/>
      <c r="EW1" s="847"/>
      <c r="EX1" s="847"/>
      <c r="EY1" s="847"/>
      <c r="EZ1" s="847"/>
      <c r="FA1" s="847"/>
      <c r="FB1" s="847"/>
      <c r="FC1" s="847"/>
      <c r="FD1" s="847"/>
      <c r="FE1" s="847"/>
      <c r="FF1" s="847"/>
      <c r="FG1" s="847"/>
      <c r="FH1" s="847"/>
      <c r="FI1" s="847"/>
      <c r="FJ1" s="847"/>
      <c r="FK1" s="847"/>
      <c r="FL1" s="847"/>
      <c r="FM1" s="847"/>
      <c r="FN1" s="847"/>
      <c r="FO1" s="847"/>
      <c r="FP1" s="847"/>
      <c r="FQ1" s="847"/>
      <c r="FR1" s="847"/>
      <c r="FS1" s="847"/>
      <c r="FT1" s="847"/>
      <c r="FU1" s="847"/>
      <c r="FV1" s="847"/>
      <c r="FW1" s="847"/>
      <c r="FX1" s="847"/>
      <c r="FY1" s="847"/>
      <c r="FZ1" s="847"/>
      <c r="GA1" s="847"/>
      <c r="GB1" s="847"/>
      <c r="GC1" s="847"/>
      <c r="GD1" s="847"/>
      <c r="GE1" s="847"/>
      <c r="GF1" s="847"/>
      <c r="GG1" s="847"/>
      <c r="GH1" s="847"/>
      <c r="GI1" s="847"/>
      <c r="GJ1" s="847"/>
      <c r="GK1" s="847"/>
      <c r="GL1" s="847"/>
      <c r="GM1" s="847"/>
      <c r="GN1" s="847"/>
      <c r="GO1" s="847"/>
      <c r="GP1" s="847"/>
      <c r="GQ1" s="847"/>
      <c r="GR1" s="847"/>
      <c r="GS1" s="847"/>
      <c r="GT1" s="847"/>
      <c r="GU1" s="847"/>
      <c r="GV1" s="847"/>
      <c r="GW1" s="847"/>
      <c r="GX1" s="847"/>
      <c r="GY1" s="847"/>
      <c r="GZ1" s="847"/>
      <c r="HA1" s="847"/>
      <c r="HB1" s="847"/>
      <c r="HC1" s="847"/>
      <c r="HD1" s="847"/>
      <c r="HE1" s="847"/>
      <c r="HF1" s="847"/>
      <c r="HG1" s="847"/>
      <c r="HH1" s="847"/>
      <c r="HI1" s="847"/>
      <c r="HJ1" s="847"/>
      <c r="HK1" s="847"/>
      <c r="HL1" s="847"/>
      <c r="HM1" s="847"/>
      <c r="HN1" s="847"/>
      <c r="HO1" s="847"/>
      <c r="HP1" s="847"/>
      <c r="HQ1" s="847"/>
      <c r="HR1" s="847"/>
      <c r="HS1" s="847"/>
      <c r="HT1" s="847"/>
      <c r="HU1" s="847"/>
      <c r="HV1" s="847"/>
      <c r="HW1" s="847"/>
      <c r="HX1" s="847"/>
      <c r="HY1" s="847"/>
      <c r="HZ1" s="847"/>
      <c r="IA1" s="847"/>
      <c r="IB1" s="847"/>
      <c r="IC1" s="847"/>
      <c r="ID1" s="847"/>
      <c r="IE1" s="847"/>
      <c r="IF1" s="847"/>
      <c r="IG1" s="847"/>
      <c r="IH1" s="847"/>
      <c r="II1" s="847"/>
      <c r="IJ1" s="847"/>
      <c r="IK1" s="847"/>
      <c r="IL1" s="847"/>
      <c r="IM1" s="847"/>
      <c r="IN1" s="847"/>
      <c r="IO1" s="847"/>
      <c r="IP1" s="847"/>
      <c r="IQ1" s="847"/>
      <c r="IR1" s="847"/>
      <c r="IS1" s="847"/>
      <c r="IT1" s="847"/>
      <c r="IU1" s="847"/>
      <c r="IV1" s="847"/>
      <c r="IW1" s="847"/>
    </row>
    <row r="2" customFormat="false" ht="12.75" hidden="false" customHeight="false" outlineLevel="0" collapsed="false">
      <c r="A2" s="377" t="s">
        <v>631</v>
      </c>
      <c r="B2" s="794"/>
      <c r="C2" s="417"/>
      <c r="D2" s="417"/>
      <c r="E2" s="417"/>
      <c r="F2" s="417"/>
      <c r="G2" s="417"/>
      <c r="H2" s="417"/>
      <c r="I2" s="417"/>
      <c r="J2" s="417"/>
      <c r="K2" s="417"/>
      <c r="L2" s="417"/>
      <c r="M2" s="417"/>
      <c r="N2" s="417"/>
      <c r="O2" s="417"/>
      <c r="P2" s="417"/>
      <c r="Q2" s="417"/>
      <c r="R2" s="417"/>
      <c r="S2" s="417"/>
      <c r="T2" s="417"/>
      <c r="U2" s="417"/>
      <c r="V2" s="417"/>
      <c r="W2" s="417"/>
      <c r="X2" s="417"/>
      <c r="Y2" s="417"/>
      <c r="Z2" s="417"/>
      <c r="AA2" s="417"/>
      <c r="AB2" s="417"/>
      <c r="AC2" s="847"/>
      <c r="AD2" s="847"/>
      <c r="AE2" s="847"/>
      <c r="AF2" s="847"/>
      <c r="AG2" s="847"/>
      <c r="AH2" s="847"/>
      <c r="AI2" s="847"/>
      <c r="AJ2" s="847"/>
      <c r="AK2" s="847"/>
      <c r="AL2" s="847"/>
      <c r="AM2" s="847"/>
      <c r="AN2" s="847"/>
      <c r="AO2" s="847"/>
      <c r="AP2" s="847"/>
      <c r="AQ2" s="847"/>
      <c r="AR2" s="847"/>
      <c r="AS2" s="847"/>
      <c r="AT2" s="847"/>
      <c r="AU2" s="847"/>
      <c r="AV2" s="847"/>
      <c r="AW2" s="847"/>
      <c r="AX2" s="847"/>
      <c r="AY2" s="847"/>
      <c r="AZ2" s="847"/>
      <c r="BA2" s="847"/>
      <c r="BB2" s="847"/>
      <c r="BC2" s="847"/>
      <c r="BD2" s="847"/>
      <c r="BE2" s="847"/>
      <c r="BF2" s="847"/>
      <c r="BG2" s="847"/>
      <c r="BH2" s="847"/>
      <c r="BI2" s="847"/>
      <c r="BJ2" s="847"/>
      <c r="BK2" s="847"/>
      <c r="BL2" s="847"/>
      <c r="BM2" s="847"/>
      <c r="BN2" s="847"/>
      <c r="BO2" s="847"/>
      <c r="BP2" s="847"/>
      <c r="BQ2" s="847"/>
      <c r="BR2" s="847"/>
      <c r="BS2" s="847"/>
      <c r="BT2" s="847"/>
      <c r="BU2" s="847"/>
      <c r="BV2" s="847"/>
      <c r="BW2" s="847"/>
      <c r="BX2" s="847"/>
      <c r="BY2" s="847"/>
      <c r="BZ2" s="847"/>
      <c r="CA2" s="847"/>
      <c r="CB2" s="847"/>
      <c r="CC2" s="847"/>
      <c r="CD2" s="847"/>
      <c r="CE2" s="847"/>
      <c r="CF2" s="847"/>
      <c r="CG2" s="847"/>
      <c r="CH2" s="847"/>
      <c r="CI2" s="847"/>
      <c r="CJ2" s="847"/>
      <c r="CK2" s="847"/>
      <c r="CL2" s="847"/>
      <c r="CM2" s="847"/>
      <c r="CN2" s="847"/>
      <c r="CO2" s="847"/>
      <c r="CP2" s="847"/>
      <c r="CQ2" s="847"/>
      <c r="CR2" s="847"/>
      <c r="CS2" s="847"/>
      <c r="CT2" s="847"/>
      <c r="CU2" s="847"/>
      <c r="CV2" s="847"/>
      <c r="CW2" s="847"/>
      <c r="CX2" s="847"/>
      <c r="CY2" s="847"/>
      <c r="CZ2" s="847"/>
      <c r="DA2" s="847"/>
      <c r="DB2" s="847"/>
      <c r="DC2" s="847"/>
      <c r="DD2" s="847"/>
      <c r="DE2" s="847"/>
      <c r="DF2" s="847"/>
      <c r="DG2" s="847"/>
      <c r="DH2" s="847"/>
      <c r="DI2" s="847"/>
      <c r="DJ2" s="847"/>
      <c r="DK2" s="847"/>
      <c r="DL2" s="847"/>
      <c r="DM2" s="847"/>
      <c r="DN2" s="847"/>
      <c r="DO2" s="847"/>
      <c r="DP2" s="847"/>
      <c r="DQ2" s="847"/>
      <c r="DR2" s="847"/>
      <c r="DS2" s="847"/>
      <c r="DT2" s="847"/>
      <c r="DU2" s="847"/>
      <c r="DV2" s="847"/>
      <c r="DW2" s="847"/>
      <c r="DX2" s="847"/>
      <c r="DY2" s="847"/>
      <c r="DZ2" s="847"/>
      <c r="EA2" s="847"/>
      <c r="EB2" s="847"/>
      <c r="EC2" s="847"/>
      <c r="ED2" s="847"/>
      <c r="EE2" s="847"/>
      <c r="EF2" s="847"/>
      <c r="EG2" s="847"/>
      <c r="EH2" s="847"/>
      <c r="EI2" s="847"/>
      <c r="EJ2" s="847"/>
      <c r="EK2" s="847"/>
      <c r="EL2" s="847"/>
      <c r="EM2" s="847"/>
      <c r="EN2" s="847"/>
      <c r="EO2" s="847"/>
      <c r="EP2" s="847"/>
      <c r="EQ2" s="847"/>
      <c r="ER2" s="847"/>
      <c r="ES2" s="847"/>
      <c r="ET2" s="847"/>
      <c r="EU2" s="847"/>
      <c r="EV2" s="847"/>
      <c r="EW2" s="847"/>
      <c r="EX2" s="847"/>
      <c r="EY2" s="847"/>
      <c r="EZ2" s="847"/>
      <c r="FA2" s="847"/>
      <c r="FB2" s="847"/>
      <c r="FC2" s="847"/>
      <c r="FD2" s="847"/>
      <c r="FE2" s="847"/>
      <c r="FF2" s="847"/>
      <c r="FG2" s="847"/>
      <c r="FH2" s="847"/>
      <c r="FI2" s="847"/>
      <c r="FJ2" s="847"/>
      <c r="FK2" s="847"/>
      <c r="FL2" s="847"/>
      <c r="FM2" s="847"/>
      <c r="FN2" s="847"/>
      <c r="FO2" s="847"/>
      <c r="FP2" s="847"/>
      <c r="FQ2" s="847"/>
      <c r="FR2" s="847"/>
      <c r="FS2" s="847"/>
      <c r="FT2" s="847"/>
      <c r="FU2" s="847"/>
      <c r="FV2" s="847"/>
      <c r="FW2" s="847"/>
      <c r="FX2" s="847"/>
      <c r="FY2" s="847"/>
      <c r="FZ2" s="847"/>
      <c r="GA2" s="847"/>
      <c r="GB2" s="847"/>
      <c r="GC2" s="847"/>
      <c r="GD2" s="847"/>
      <c r="GE2" s="847"/>
      <c r="GF2" s="847"/>
      <c r="GG2" s="847"/>
      <c r="GH2" s="847"/>
      <c r="GI2" s="847"/>
      <c r="GJ2" s="847"/>
      <c r="GK2" s="847"/>
      <c r="GL2" s="847"/>
      <c r="GM2" s="847"/>
      <c r="GN2" s="847"/>
      <c r="GO2" s="847"/>
      <c r="GP2" s="847"/>
      <c r="GQ2" s="847"/>
      <c r="GR2" s="847"/>
      <c r="GS2" s="847"/>
      <c r="GT2" s="847"/>
      <c r="GU2" s="847"/>
      <c r="GV2" s="847"/>
      <c r="GW2" s="847"/>
      <c r="GX2" s="847"/>
      <c r="GY2" s="847"/>
      <c r="GZ2" s="847"/>
      <c r="HA2" s="847"/>
      <c r="HB2" s="847"/>
      <c r="HC2" s="847"/>
      <c r="HD2" s="847"/>
      <c r="HE2" s="847"/>
      <c r="HF2" s="847"/>
      <c r="HG2" s="847"/>
      <c r="HH2" s="847"/>
      <c r="HI2" s="847"/>
      <c r="HJ2" s="847"/>
      <c r="HK2" s="847"/>
      <c r="HL2" s="847"/>
      <c r="HM2" s="847"/>
      <c r="HN2" s="847"/>
      <c r="HO2" s="847"/>
      <c r="HP2" s="847"/>
      <c r="HQ2" s="847"/>
      <c r="HR2" s="847"/>
      <c r="HS2" s="847"/>
      <c r="HT2" s="847"/>
      <c r="HU2" s="847"/>
      <c r="HV2" s="847"/>
      <c r="HW2" s="847"/>
      <c r="HX2" s="847"/>
      <c r="HY2" s="847"/>
      <c r="HZ2" s="847"/>
      <c r="IA2" s="847"/>
      <c r="IB2" s="847"/>
      <c r="IC2" s="847"/>
      <c r="ID2" s="847"/>
      <c r="IE2" s="847"/>
      <c r="IF2" s="847"/>
      <c r="IG2" s="847"/>
      <c r="IH2" s="847"/>
      <c r="II2" s="847"/>
      <c r="IJ2" s="847"/>
      <c r="IK2" s="847"/>
      <c r="IL2" s="847"/>
      <c r="IM2" s="847"/>
      <c r="IN2" s="847"/>
      <c r="IO2" s="847"/>
      <c r="IP2" s="847"/>
      <c r="IQ2" s="847"/>
      <c r="IR2" s="847"/>
      <c r="IS2" s="847"/>
      <c r="IT2" s="847"/>
      <c r="IU2" s="847"/>
      <c r="IV2" s="847"/>
      <c r="IW2" s="847"/>
    </row>
    <row r="3" customFormat="false" ht="15.6" hidden="false" customHeight="true" outlineLevel="0" collapsed="false"/>
    <row r="4" customFormat="false" ht="11.25" hidden="false" customHeight="false" outlineLevel="0" collapsed="false">
      <c r="D4" s="480" t="n">
        <v>1</v>
      </c>
      <c r="E4" s="480" t="n">
        <f aca="false">D4+1</f>
        <v>2</v>
      </c>
      <c r="F4" s="480" t="n">
        <f aca="false">E4+1</f>
        <v>3</v>
      </c>
      <c r="G4" s="480" t="n">
        <f aca="false">F4+1</f>
        <v>4</v>
      </c>
      <c r="H4" s="480" t="n">
        <f aca="false">G4+1</f>
        <v>5</v>
      </c>
      <c r="I4" s="848" t="n">
        <f aca="false">H4+1</f>
        <v>6</v>
      </c>
      <c r="J4" s="480" t="n">
        <f aca="false">I4+1</f>
        <v>7</v>
      </c>
      <c r="K4" s="481" t="n">
        <f aca="false">J4+1</f>
        <v>8</v>
      </c>
      <c r="L4" s="480" t="n">
        <f aca="false">K4+1</f>
        <v>9</v>
      </c>
      <c r="M4" s="480" t="n">
        <f aca="false">L4+1</f>
        <v>10</v>
      </c>
      <c r="N4" s="480" t="n">
        <f aca="false">M4+1</f>
        <v>11</v>
      </c>
      <c r="O4" s="480" t="n">
        <f aca="false">N4+1</f>
        <v>12</v>
      </c>
      <c r="P4" s="480" t="n">
        <f aca="false">O4+1</f>
        <v>13</v>
      </c>
      <c r="Q4" s="481" t="n">
        <f aca="false">P4+1</f>
        <v>14</v>
      </c>
      <c r="R4" s="480" t="n">
        <f aca="false">Q4+1</f>
        <v>15</v>
      </c>
      <c r="S4" s="480" t="n">
        <f aca="false">R4+1</f>
        <v>16</v>
      </c>
      <c r="T4" s="480" t="n">
        <f aca="false">S4+1</f>
        <v>17</v>
      </c>
      <c r="U4" s="480" t="n">
        <f aca="false">T4+1</f>
        <v>18</v>
      </c>
      <c r="V4" s="480" t="n">
        <f aca="false">U4+1</f>
        <v>19</v>
      </c>
      <c r="W4" s="481" t="n">
        <f aca="false">V4+1</f>
        <v>20</v>
      </c>
      <c r="X4" s="480" t="n">
        <f aca="false">W4+1</f>
        <v>21</v>
      </c>
      <c r="Y4" s="480" t="n">
        <f aca="false">X4+1</f>
        <v>22</v>
      </c>
      <c r="Z4" s="480" t="n">
        <f aca="false">Y4+1</f>
        <v>23</v>
      </c>
      <c r="AA4" s="480" t="n">
        <f aca="false">Z4+1</f>
        <v>24</v>
      </c>
      <c r="AB4" s="480" t="n">
        <f aca="false">AA4+1</f>
        <v>25</v>
      </c>
    </row>
    <row r="5" customFormat="false" ht="12" hidden="false" customHeight="true" outlineLevel="0" collapsed="false">
      <c r="A5" s="849" t="s">
        <v>632</v>
      </c>
      <c r="B5" s="381"/>
      <c r="C5" s="850"/>
      <c r="D5" s="382" t="n">
        <f aca="false">YEAR('Project Assumptions'!G16)</f>
        <v>2000</v>
      </c>
      <c r="E5" s="382" t="n">
        <f aca="false">D5+1</f>
        <v>2001</v>
      </c>
      <c r="F5" s="382" t="n">
        <f aca="false">E5+1</f>
        <v>2002</v>
      </c>
      <c r="G5" s="382" t="n">
        <f aca="false">F5+1</f>
        <v>2003</v>
      </c>
      <c r="H5" s="382" t="n">
        <f aca="false">G5+1</f>
        <v>2004</v>
      </c>
      <c r="I5" s="382" t="n">
        <f aca="false">H5+1</f>
        <v>2005</v>
      </c>
      <c r="J5" s="382" t="n">
        <f aca="false">I5+1</f>
        <v>2006</v>
      </c>
      <c r="K5" s="382" t="n">
        <f aca="false">J5+1</f>
        <v>2007</v>
      </c>
      <c r="L5" s="382" t="n">
        <f aca="false">K5+1</f>
        <v>2008</v>
      </c>
      <c r="M5" s="382" t="n">
        <f aca="false">L5+1</f>
        <v>2009</v>
      </c>
      <c r="N5" s="382" t="n">
        <f aca="false">M5+1</f>
        <v>2010</v>
      </c>
      <c r="O5" s="382" t="n">
        <f aca="false">N5+1</f>
        <v>2011</v>
      </c>
      <c r="P5" s="382" t="n">
        <f aca="false">O5+1</f>
        <v>2012</v>
      </c>
      <c r="Q5" s="382" t="n">
        <f aca="false">P5+1</f>
        <v>2013</v>
      </c>
      <c r="R5" s="382" t="n">
        <f aca="false">Q5+1</f>
        <v>2014</v>
      </c>
      <c r="S5" s="382" t="n">
        <f aca="false">R5+1</f>
        <v>2015</v>
      </c>
      <c r="T5" s="382" t="n">
        <f aca="false">S5+1</f>
        <v>2016</v>
      </c>
      <c r="U5" s="382" t="n">
        <f aca="false">T5+1</f>
        <v>2017</v>
      </c>
      <c r="V5" s="382" t="n">
        <f aca="false">U5+1</f>
        <v>2018</v>
      </c>
      <c r="W5" s="382" t="n">
        <f aca="false">V5+1</f>
        <v>2019</v>
      </c>
      <c r="X5" s="382" t="n">
        <f aca="false">W5+1</f>
        <v>2020</v>
      </c>
      <c r="Y5" s="382" t="n">
        <f aca="false">X5+1</f>
        <v>2021</v>
      </c>
      <c r="Z5" s="382" t="n">
        <f aca="false">Y5+1</f>
        <v>2022</v>
      </c>
      <c r="AA5" s="382" t="n">
        <f aca="false">Z5+1</f>
        <v>2023</v>
      </c>
      <c r="AB5" s="383" t="n">
        <f aca="false">AA5+1</f>
        <v>2024</v>
      </c>
      <c r="AC5" s="851"/>
      <c r="AD5" s="851"/>
    </row>
    <row r="6" customFormat="false" ht="12" hidden="false" customHeight="true" outlineLevel="0" collapsed="false">
      <c r="A6" s="410"/>
      <c r="B6" s="712" t="s">
        <v>290</v>
      </c>
      <c r="C6" s="385"/>
      <c r="D6" s="852"/>
      <c r="E6" s="853"/>
      <c r="F6" s="853"/>
      <c r="G6" s="853"/>
      <c r="H6" s="853"/>
      <c r="I6" s="853"/>
      <c r="J6" s="853"/>
      <c r="K6" s="853"/>
      <c r="L6" s="853"/>
      <c r="M6" s="853"/>
      <c r="N6" s="853"/>
      <c r="O6" s="853"/>
      <c r="P6" s="853"/>
      <c r="Q6" s="853"/>
      <c r="R6" s="853"/>
      <c r="S6" s="385"/>
      <c r="T6" s="385"/>
      <c r="U6" s="385"/>
      <c r="V6" s="385"/>
      <c r="W6" s="385"/>
      <c r="X6" s="385"/>
      <c r="Y6" s="385"/>
      <c r="Z6" s="385"/>
      <c r="AA6" s="385"/>
      <c r="AB6" s="415"/>
      <c r="AE6" s="854"/>
    </row>
    <row r="7" customFormat="false" ht="12" hidden="false" customHeight="true" outlineLevel="0" collapsed="false">
      <c r="A7" s="720" t="s">
        <v>633</v>
      </c>
      <c r="B7" s="855" t="n">
        <v>15</v>
      </c>
      <c r="C7" s="718"/>
      <c r="D7" s="469" t="n">
        <f aca="false">IF(D4&gt;$B$7+1,0,IF($B$7=15,VLOOKUP(D4,$A$57:$B$72,2),VLOOKUP(D4,$A$77:$B$97,2)))</f>
        <v>0.05</v>
      </c>
      <c r="E7" s="469" t="n">
        <f aca="false">IF(E4&gt;$B$7+1,0,IF($B$7=15,VLOOKUP(E4,$A$57:$B$72,2),VLOOKUP(E4,$A$77:$B$97,2)))</f>
        <v>0.095</v>
      </c>
      <c r="F7" s="469" t="n">
        <f aca="false">IF(F4&gt;$B$7+1,0,IF($B$7=15,VLOOKUP(F4,$A$57:$B$72,2),VLOOKUP(F4,$A$77:$B$97,2)))</f>
        <v>0.0855</v>
      </c>
      <c r="G7" s="469" t="n">
        <f aca="false">IF(G4&gt;$B$7+1,0,IF($B$7=15,VLOOKUP(G4,$A$57:$B$72,2),VLOOKUP(G4,$A$77:$B$97,2)))</f>
        <v>0.077</v>
      </c>
      <c r="H7" s="469" t="n">
        <f aca="false">IF(H4&gt;$B$7+1,0,IF($B$7=15,VLOOKUP(H4,$A$57:$B$72,2),VLOOKUP(H4,$A$77:$B$97,2)))</f>
        <v>0.0693</v>
      </c>
      <c r="I7" s="469" t="n">
        <f aca="false">IF(I4&gt;$B$7+1,0,IF($B$7=15,VLOOKUP(I4,$A$57:$B$72,2),VLOOKUP(I4,$A$77:$B$97,2)))</f>
        <v>0.0623</v>
      </c>
      <c r="J7" s="469" t="n">
        <f aca="false">IF(J4&gt;$B$7+1,0,IF($B$7=15,VLOOKUP(J4,$A$57:$B$72,2),VLOOKUP(J4,$A$77:$B$97,2)))</f>
        <v>0.059</v>
      </c>
      <c r="K7" s="469" t="n">
        <f aca="false">IF(K4&gt;$B$7+1,0,IF($B$7=15,VLOOKUP(K4,$A$57:$B$72,2),VLOOKUP(K4,$A$77:$B$97,2)))</f>
        <v>0.0591</v>
      </c>
      <c r="L7" s="469" t="n">
        <f aca="false">IF(L4&gt;$B$7+1,0,IF($B$7=15,VLOOKUP(L4,$A$57:$B$72,2),VLOOKUP(L4,$A$77:$B$97,2)))</f>
        <v>0.059</v>
      </c>
      <c r="M7" s="469" t="n">
        <f aca="false">IF(M4&gt;$B$7+1,0,IF($B$7=15,VLOOKUP(M4,$A$57:$B$72,2),VLOOKUP(M4,$A$77:$B$97,2)))</f>
        <v>0.0591</v>
      </c>
      <c r="N7" s="469" t="n">
        <f aca="false">IF(N4&gt;$B$7+1,0,IF($B$7=15,VLOOKUP(N4,$A$57:$B$72,2),VLOOKUP(N4,$A$77:$B$97,2)))</f>
        <v>0.059</v>
      </c>
      <c r="O7" s="469" t="n">
        <f aca="false">IF(O4&gt;$B$7+1,0,IF($B$7=15,VLOOKUP(O4,$A$57:$B$72,2),VLOOKUP(O4,$A$77:$B$97,2)))</f>
        <v>0.0591</v>
      </c>
      <c r="P7" s="469" t="n">
        <f aca="false">IF(P4&gt;$B$7+1,0,IF($B$7=15,VLOOKUP(P4,$A$57:$B$72,2),VLOOKUP(P4,$A$77:$B$97,2)))</f>
        <v>0.059</v>
      </c>
      <c r="Q7" s="469" t="n">
        <f aca="false">IF(Q4&gt;$B$7+1,0,IF($B$7=15,VLOOKUP(Q4,$A$57:$B$72,2),VLOOKUP(Q4,$A$77:$B$97,2)))</f>
        <v>0.0591</v>
      </c>
      <c r="R7" s="469" t="n">
        <f aca="false">IF(R4&gt;$B$7+1,0,IF($B$7=15,VLOOKUP(R4,$A$57:$B$72,2),VLOOKUP(R4,$A$77:$B$97,2)))</f>
        <v>0.059</v>
      </c>
      <c r="S7" s="469" t="n">
        <f aca="false">IF(S4&gt;$B$7+1,0,IF($B$7=15,VLOOKUP(S4,$A$57:$B$72,2),VLOOKUP(S4,$A$77:$B$97,2)))</f>
        <v>0.0295</v>
      </c>
      <c r="T7" s="469" t="n">
        <f aca="false">IF(T4&gt;$B$7+1,0,IF($B$7=15,VLOOKUP(T4,$A$57:$B$72,2),VLOOKUP(T4,$A$77:$B$97,2)))</f>
        <v>0</v>
      </c>
      <c r="U7" s="469" t="n">
        <f aca="false">IF(U4&gt;$B$7+1,0,IF($B$7=15,VLOOKUP(U4,$A$57:$B$72,2),VLOOKUP(U4,$A$77:$B$97,2)))</f>
        <v>0</v>
      </c>
      <c r="V7" s="469" t="n">
        <f aca="false">IF(V4&gt;$B$7+1,0,IF($B$7=15,VLOOKUP(V4,$A$57:$B$72,2),VLOOKUP(V4,$A$77:$B$97,2)))</f>
        <v>0</v>
      </c>
      <c r="W7" s="469" t="n">
        <f aca="false">IF(W4&gt;$B$7+1,0,IF($B$7=15,VLOOKUP(W4,$A$57:$B$72,2),VLOOKUP(W4,$A$77:$B$97,2)))</f>
        <v>0</v>
      </c>
      <c r="X7" s="469" t="n">
        <f aca="false">IF(X4&gt;$B$7+1,0,IF($B$7=15,VLOOKUP(X4,$A$57:$B$72,2),VLOOKUP(X4,$A$77:$B$97,2)))</f>
        <v>0</v>
      </c>
      <c r="Y7" s="469" t="n">
        <f aca="false">IF(Y4&gt;$B$7+1,0,IF($B$7=15,VLOOKUP(Y4,$A$57:$B$72,2),VLOOKUP(Y4,$A$77:$B$97,2)))</f>
        <v>0</v>
      </c>
      <c r="Z7" s="469" t="n">
        <f aca="false">IF(Z4&gt;$B$7+1,0,IF($B$7=15,VLOOKUP(Z4,$A$57:$B$72,2),VLOOKUP(Z4,$A$77:$B$97,2)))</f>
        <v>0</v>
      </c>
      <c r="AA7" s="469" t="n">
        <f aca="false">IF(AA4&gt;$B$7+1,0,IF($B$7=15,VLOOKUP(AA4,$A$57:$B$72,2),VLOOKUP(AA4,$A$77:$B$97,2)))</f>
        <v>0</v>
      </c>
      <c r="AB7" s="856" t="n">
        <f aca="false">IF(AB4&gt;$B$7+1,0,IF($B$7=15,VLOOKUP(AB4,$A$57:$B$72,2),VLOOKUP(AB4,$A$77:$B$97,2)))</f>
        <v>0</v>
      </c>
      <c r="AC7" s="857"/>
      <c r="AD7" s="857"/>
      <c r="AE7" s="858"/>
    </row>
    <row r="8" customFormat="false" ht="12" hidden="false" customHeight="true" outlineLevel="0" collapsed="false">
      <c r="A8" s="720" t="s">
        <v>634</v>
      </c>
      <c r="B8" s="855" t="n">
        <v>5</v>
      </c>
      <c r="C8" s="859"/>
      <c r="D8" s="469" t="n">
        <f aca="false">IF(D4&gt;$B$8,0,1/$B$8)*'Book Income Statement'!D$6/12</f>
        <v>0.116666666666667</v>
      </c>
      <c r="E8" s="469" t="n">
        <f aca="false">IF(E$4&lt;=$B8,(1/$B8),IF(E$4=$B8+1,(1/$B8)-$D8,0))</f>
        <v>0.2</v>
      </c>
      <c r="F8" s="469" t="n">
        <f aca="false">IF(F4&lt;=$B$8,(1/$B$8),IF(F4=$B$8+1,(1/$B$8)-$D$8,0))</f>
        <v>0.2</v>
      </c>
      <c r="G8" s="469" t="n">
        <f aca="false">IF(G4&lt;=$B$8,(1/$B$8),IF(G4=$B$8+1,(1/$B$8)-$D$8,0))</f>
        <v>0.2</v>
      </c>
      <c r="H8" s="469" t="n">
        <f aca="false">IF(H4&lt;=$B$8,(1/$B$8),IF(H4=$B$8+1,(1/$B$8)-$D$8,0))</f>
        <v>0.2</v>
      </c>
      <c r="I8" s="469" t="n">
        <f aca="false">IF(I4&lt;=$B$8,(1/$B$8),IF(I4=$B$8+1,(1/$B$8)-$D$8,0))</f>
        <v>0.0833333333333333</v>
      </c>
      <c r="J8" s="469" t="n">
        <f aca="false">IF(J4&lt;=$B$8,(1/$B$8),IF(J4=$B$8+1,(1/$B$8)-$D$8,0))</f>
        <v>0</v>
      </c>
      <c r="K8" s="469" t="n">
        <f aca="false">IF(K4&lt;=$B$8,(1/$B$8),IF(K4=$B$8+1,(1/$B$8)-$D$8,0))</f>
        <v>0</v>
      </c>
      <c r="L8" s="469" t="n">
        <f aca="false">IF(L4&lt;=$B$8,(1/$B$8),IF(L4=$B$8+1,(1/$B$8)-$D$8,0))</f>
        <v>0</v>
      </c>
      <c r="M8" s="469" t="n">
        <f aca="false">IF(M4&lt;=$B$8,(1/$B$8),IF(M4=$B$8+1,(1/$B$8)-$D$8,0))</f>
        <v>0</v>
      </c>
      <c r="N8" s="469" t="n">
        <f aca="false">IF(N4&lt;=$B$8,(1/$B$8),IF(N4=$B$8+1,(1/$B$8)-$D$8,0))</f>
        <v>0</v>
      </c>
      <c r="O8" s="469" t="n">
        <f aca="false">IF(O4&lt;=$B$8,(1/$B$8),IF(O4=$B$8+1,(1/$B$8)-$D$8,0))</f>
        <v>0</v>
      </c>
      <c r="P8" s="469" t="n">
        <f aca="false">IF(P4&lt;=$B$8,(1/$B$8),IF(P4=$B$8+1,(1/$B$8)-$D$8,0))</f>
        <v>0</v>
      </c>
      <c r="Q8" s="469" t="n">
        <f aca="false">IF(Q4&lt;=$B$8,(1/$B$8),IF(Q4=$B$8+1,(1/$B$8)-$D$8,0))</f>
        <v>0</v>
      </c>
      <c r="R8" s="469" t="n">
        <f aca="false">IF(R4&lt;=$B$8,(1/$B$8),IF(R4=$B$8+1,(1/$B$8)-$D$8,0))</f>
        <v>0</v>
      </c>
      <c r="S8" s="469" t="n">
        <f aca="false">IF(S4&lt;=$B$8,(1/$B$8),IF(S4=$B$8+1,(1/$B$8)-$D$8,0))</f>
        <v>0</v>
      </c>
      <c r="T8" s="469" t="n">
        <f aca="false">IF(T4&lt;=$B$8,(1/$B$8),IF(T4=$B$8+1,(1/$B$8)-$D$8,0))</f>
        <v>0</v>
      </c>
      <c r="U8" s="469" t="n">
        <f aca="false">IF(U4&lt;=$B$8,(1/$B$8),IF(U4=$B$8+1,(1/$B$8)-$D$8,0))</f>
        <v>0</v>
      </c>
      <c r="V8" s="469" t="n">
        <f aca="false">IF(V4&lt;=$B$8,(1/$B$8),IF(V4=$B$8+1,(1/$B$8)-$D$8,0))</f>
        <v>0</v>
      </c>
      <c r="W8" s="469" t="n">
        <f aca="false">IF(W4&lt;=$B$8,(1/$B$8),IF(W4=$B$8+1,(1/$B$8)-$D$8,0))</f>
        <v>0</v>
      </c>
      <c r="X8" s="469" t="n">
        <f aca="false">IF(X4&lt;=$B$8,(1/$B$8),IF(X4=$B$8+1,(1/$B$8)-$D$8,0))</f>
        <v>0</v>
      </c>
      <c r="Y8" s="469" t="n">
        <f aca="false">IF(Y4&lt;=$B$8,(1/$B$8),IF(Y4=$B$8+1,(1/$B$8)-$D$8,0))</f>
        <v>0</v>
      </c>
      <c r="Z8" s="469" t="n">
        <f aca="false">IF(Z4&lt;=$B$8,(1/$B$8),IF(Z4=$B$8+1,(1/$B$8)-$D$8,0))</f>
        <v>0</v>
      </c>
      <c r="AA8" s="469" t="n">
        <f aca="false">IF(AA4&lt;=$B$8,(1/$B$8),IF(AA4=$B$8+1,(1/$B$8)-$D$8,0))</f>
        <v>0</v>
      </c>
      <c r="AB8" s="856" t="n">
        <f aca="false">IF(AB4&lt;=$B$8,(1/$B$8),IF(AB4=$B$8+1,(1/$B$8)-$D$8,0))</f>
        <v>0</v>
      </c>
      <c r="AC8" s="857"/>
      <c r="AD8" s="857"/>
      <c r="AE8" s="858"/>
    </row>
    <row r="9" customFormat="false" ht="12" hidden="false" customHeight="true" outlineLevel="0" collapsed="false">
      <c r="A9" s="720" t="s">
        <v>635</v>
      </c>
      <c r="B9" s="859" t="n">
        <f aca="false">MAX('Project Assumptions'!$F$39,'Project Assumptions'!$G$39,'Project Assumptions'!$H$39)</f>
        <v>20</v>
      </c>
      <c r="C9" s="860"/>
      <c r="D9" s="469" t="n">
        <f aca="false">IF(D4&gt;$B$9,0,(1/$B$9))*'Book Income Statement'!D$6/12</f>
        <v>0.0291666666666667</v>
      </c>
      <c r="E9" s="469" t="n">
        <f aca="false">IF(E$4&lt;=$B$9,(1/$B$9),IF(E$4=$B$9+1,(1/$B$9)-$D$9,0))</f>
        <v>0.05</v>
      </c>
      <c r="F9" s="469" t="n">
        <f aca="false">IF(F$4&lt;=$B$9,(1/$B$9),IF(F$4=$B$9+1,(1/$B$9)-$D$9,0))</f>
        <v>0.05</v>
      </c>
      <c r="G9" s="469" t="n">
        <f aca="false">IF(G$4&lt;=$B$9,(1/$B$9),IF(G$4=$B$9+1,(1/$B$9)-$D$9,0))</f>
        <v>0.05</v>
      </c>
      <c r="H9" s="469" t="n">
        <f aca="false">IF(H$4&lt;=$B$9,(1/$B$9),IF(H$4=$B$9+1,(1/$B$9)-$D$9,0))</f>
        <v>0.05</v>
      </c>
      <c r="I9" s="469" t="n">
        <f aca="false">IF(I$4&lt;=$B$9,(1/$B$9),IF(I$4=$B$9+1,(1/$B$9)-$D$9,0))</f>
        <v>0.05</v>
      </c>
      <c r="J9" s="469" t="n">
        <f aca="false">IF(J$4&lt;=$B$9,(1/$B$9),IF(J$4=$B$9+1,(1/$B$9)-$D$9,0))</f>
        <v>0.05</v>
      </c>
      <c r="K9" s="469" t="n">
        <f aca="false">IF(K$4&lt;=$B$9,(1/$B$9),IF(K$4=$B$9+1,(1/$B$9)-$D$9,0))</f>
        <v>0.05</v>
      </c>
      <c r="L9" s="469" t="n">
        <f aca="false">IF(L$4&lt;=$B$9,(1/$B$9),IF(L$4=$B$9+1,(1/$B$9)-$D$9,0))</f>
        <v>0.05</v>
      </c>
      <c r="M9" s="469" t="n">
        <f aca="false">IF(M$4&lt;=$B$9,(1/$B$9),IF(M$4=$B$9+1,(1/$B$9)-$D$9,0))</f>
        <v>0.05</v>
      </c>
      <c r="N9" s="469" t="n">
        <f aca="false">IF(N$4&lt;=$B$9,(1/$B$9),IF(N$4=$B$9+1,(1/$B$9)-$D$9,0))</f>
        <v>0.05</v>
      </c>
      <c r="O9" s="469" t="n">
        <f aca="false">IF(O$4&lt;=$B$9,(1/$B$9),IF(O$4=$B$9+1,(1/$B$9)-$D$9,0))</f>
        <v>0.05</v>
      </c>
      <c r="P9" s="469" t="n">
        <f aca="false">IF(P$4&lt;=$B$9,(1/$B$9),IF(P$4=$B$9+1,(1/$B$9)-$D$9,0))</f>
        <v>0.05</v>
      </c>
      <c r="Q9" s="469" t="n">
        <f aca="false">IF(Q$4&lt;=$B$9,(1/$B$9),IF(Q$4=$B$9+1,(1/$B$9)-$D$9,0))</f>
        <v>0.05</v>
      </c>
      <c r="R9" s="469" t="n">
        <f aca="false">IF(R$4&lt;=$B$9,(1/$B$9),IF(R$4=$B$9+1,(1/$B$9)-$D$9,0))</f>
        <v>0.05</v>
      </c>
      <c r="S9" s="469" t="n">
        <f aca="false">IF(S$4&lt;=$B$9,(1/$B$9),IF(S$4=$B$9+1,(1/$B$9)-$D$9,0))</f>
        <v>0.05</v>
      </c>
      <c r="T9" s="469" t="n">
        <f aca="false">IF(T$4&lt;=$B$9,(1/$B$9),IF(T$4=$B$9+1,(1/$B$9)-$D$9,0))</f>
        <v>0.05</v>
      </c>
      <c r="U9" s="469" t="n">
        <f aca="false">IF(U$4&lt;=$B$9,(1/$B$9),IF(U$4=$B$9+1,(1/$B$9)-$D$9,0))</f>
        <v>0.05</v>
      </c>
      <c r="V9" s="469" t="n">
        <f aca="false">IF(V$4&lt;=$B$9,(1/$B$9),IF(V$4=$B$9+1,(1/$B$9)-$D$9,0))</f>
        <v>0.05</v>
      </c>
      <c r="W9" s="469" t="n">
        <f aca="false">IF(W$4&lt;=$B$9,(1/$B$9),IF(W$4=$B$9+1,(1/$B$9)-$D$9,0))</f>
        <v>0.05</v>
      </c>
      <c r="X9" s="469" t="n">
        <f aca="false">IF(X$4&lt;=$B$9,(1/$B$9),IF(X$4=$B$9+1,(1/$B$9)-$D$9,0))</f>
        <v>0.0208333333333333</v>
      </c>
      <c r="Y9" s="469" t="n">
        <f aca="false">IF(Y$4&lt;=$B$9,(1/$B$9),IF(Y$4=$B$9+1,(1/$B$9)-$D$9,0))</f>
        <v>0</v>
      </c>
      <c r="Z9" s="469" t="n">
        <f aca="false">IF(Z$4&lt;=$B$9,(1/$B$9),IF(Z$4=$B$9+1,(1/$B$9)-$D$9,0))</f>
        <v>0</v>
      </c>
      <c r="AA9" s="469" t="n">
        <f aca="false">IF(AA$4&lt;=$B$9,(1/$B$9),IF(AA$4=$B$9+1,(1/$B$9)-$D$9,0))</f>
        <v>0</v>
      </c>
      <c r="AB9" s="856" t="n">
        <f aca="false">IF(AB$4&lt;=$B$9,(1/$B$9),IF(AB$4=$B$9+1,(1/$B$9)-$D$9,0))</f>
        <v>0</v>
      </c>
      <c r="AC9" s="857"/>
      <c r="AD9" s="857"/>
      <c r="AE9" s="858"/>
    </row>
    <row r="10" customFormat="false" ht="12" hidden="false" customHeight="true" outlineLevel="0" collapsed="false">
      <c r="A10" s="410"/>
      <c r="B10" s="859"/>
      <c r="C10" s="385"/>
      <c r="D10" s="853"/>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415"/>
    </row>
    <row r="11" customFormat="false" ht="12" hidden="false" customHeight="true" outlineLevel="0" collapsed="false">
      <c r="A11" s="720" t="s">
        <v>636</v>
      </c>
      <c r="B11" s="30" t="n">
        <f aca="false">'Project Assumptions'!C31-'Project Assumptions'!C25+'Project Assumptions'!C55+'Project Assumptions'!C59+'Project Assumptions'!C34</f>
        <v>171937.361</v>
      </c>
      <c r="C11" s="718"/>
      <c r="D11" s="30" t="n">
        <f aca="false">$B$11*D7</f>
        <v>8596.86805</v>
      </c>
      <c r="E11" s="30" t="n">
        <f aca="false">$B$11*E7</f>
        <v>16334.049295</v>
      </c>
      <c r="F11" s="30" t="n">
        <f aca="false">$B$11*F7</f>
        <v>14700.6443655</v>
      </c>
      <c r="G11" s="30" t="n">
        <f aca="false">$B$11*G7</f>
        <v>13239.176797</v>
      </c>
      <c r="H11" s="30" t="n">
        <f aca="false">$B$11*H7</f>
        <v>11915.2591173</v>
      </c>
      <c r="I11" s="30" t="n">
        <f aca="false">$B$11*I7</f>
        <v>10711.6975903</v>
      </c>
      <c r="J11" s="30" t="n">
        <f aca="false">$B$11*J7</f>
        <v>10144.304299</v>
      </c>
      <c r="K11" s="30" t="n">
        <f aca="false">$B$11*K7</f>
        <v>10161.4980351</v>
      </c>
      <c r="L11" s="30" t="n">
        <f aca="false">$B$11*L7</f>
        <v>10144.304299</v>
      </c>
      <c r="M11" s="30" t="n">
        <f aca="false">$B$11*M7</f>
        <v>10161.4980351</v>
      </c>
      <c r="N11" s="30" t="n">
        <f aca="false">$B$11*N7</f>
        <v>10144.304299</v>
      </c>
      <c r="O11" s="30" t="n">
        <f aca="false">$B$11*O7</f>
        <v>10161.4980351</v>
      </c>
      <c r="P11" s="30" t="n">
        <f aca="false">$B$11*P7</f>
        <v>10144.304299</v>
      </c>
      <c r="Q11" s="30" t="n">
        <f aca="false">$B$11*Q7</f>
        <v>10161.4980351</v>
      </c>
      <c r="R11" s="30" t="n">
        <f aca="false">$B$11*R7</f>
        <v>10144.304299</v>
      </c>
      <c r="S11" s="30" t="n">
        <f aca="false">$B$11*S7</f>
        <v>5072.1521495</v>
      </c>
      <c r="T11" s="30" t="n">
        <f aca="false">$B$11*T7</f>
        <v>0</v>
      </c>
      <c r="U11" s="30" t="n">
        <f aca="false">$B$11*U7</f>
        <v>0</v>
      </c>
      <c r="V11" s="30" t="n">
        <f aca="false">$B$11*V7</f>
        <v>0</v>
      </c>
      <c r="W11" s="30" t="n">
        <f aca="false">$B$11*W7</f>
        <v>0</v>
      </c>
      <c r="X11" s="30" t="n">
        <f aca="false">$B$11*X7</f>
        <v>0</v>
      </c>
      <c r="Y11" s="30" t="n">
        <f aca="false">$B$11*Y7</f>
        <v>0</v>
      </c>
      <c r="Z11" s="30" t="n">
        <f aca="false">$B$11*Z7</f>
        <v>0</v>
      </c>
      <c r="AA11" s="30" t="n">
        <f aca="false">$B$11*AA7</f>
        <v>0</v>
      </c>
      <c r="AB11" s="437" t="n">
        <f aca="false">$B$11*AB7</f>
        <v>0</v>
      </c>
      <c r="AC11" s="861"/>
      <c r="AD11" s="861"/>
      <c r="AE11" s="861"/>
    </row>
    <row r="12" customFormat="false" ht="12" hidden="false" customHeight="true" outlineLevel="0" collapsed="false">
      <c r="A12" s="720" t="s">
        <v>637</v>
      </c>
      <c r="B12" s="33" t="n">
        <f aca="false">'Project Assumptions'!C44-'Project Assumptions'!C34-'Project Assumptions'!C42-'Project Assumptions'!C41</f>
        <v>2040.589</v>
      </c>
      <c r="C12" s="718"/>
      <c r="D12" s="33" t="n">
        <f aca="false">$B$12*D8</f>
        <v>238.068716666667</v>
      </c>
      <c r="E12" s="33" t="n">
        <f aca="false">$B$12*E8</f>
        <v>408.1178</v>
      </c>
      <c r="F12" s="33" t="n">
        <f aca="false">$B$12*F8</f>
        <v>408.1178</v>
      </c>
      <c r="G12" s="33" t="n">
        <f aca="false">$B$12*G8</f>
        <v>408.1178</v>
      </c>
      <c r="H12" s="33" t="n">
        <f aca="false">$B$12*H8</f>
        <v>408.1178</v>
      </c>
      <c r="I12" s="33" t="n">
        <f aca="false">$B$12*I8</f>
        <v>170.049083333333</v>
      </c>
      <c r="J12" s="33" t="n">
        <f aca="false">$B$12*J8</f>
        <v>0</v>
      </c>
      <c r="K12" s="33" t="n">
        <f aca="false">$B$12*K8</f>
        <v>0</v>
      </c>
      <c r="L12" s="33" t="n">
        <f aca="false">$B$12*L8</f>
        <v>0</v>
      </c>
      <c r="M12" s="33" t="n">
        <f aca="false">$B$12*M8</f>
        <v>0</v>
      </c>
      <c r="N12" s="33" t="n">
        <f aca="false">$B$12*N8</f>
        <v>0</v>
      </c>
      <c r="O12" s="33" t="n">
        <f aca="false">$B$12*O8</f>
        <v>0</v>
      </c>
      <c r="P12" s="33" t="n">
        <f aca="false">$B$12*P8</f>
        <v>0</v>
      </c>
      <c r="Q12" s="33" t="n">
        <f aca="false">$B$12*Q8</f>
        <v>0</v>
      </c>
      <c r="R12" s="33" t="n">
        <f aca="false">$B$12*R8</f>
        <v>0</v>
      </c>
      <c r="S12" s="33" t="n">
        <f aca="false">$B$12*S8</f>
        <v>0</v>
      </c>
      <c r="T12" s="33" t="n">
        <f aca="false">$B$12*T8</f>
        <v>0</v>
      </c>
      <c r="U12" s="33" t="n">
        <f aca="false">$B$12*U8</f>
        <v>0</v>
      </c>
      <c r="V12" s="33" t="n">
        <f aca="false">$B$12*V8</f>
        <v>0</v>
      </c>
      <c r="W12" s="33" t="n">
        <f aca="false">$B$12*W8</f>
        <v>0</v>
      </c>
      <c r="X12" s="33" t="n">
        <f aca="false">$B$12*X8</f>
        <v>0</v>
      </c>
      <c r="Y12" s="33" t="n">
        <f aca="false">$B$12*Y8</f>
        <v>0</v>
      </c>
      <c r="Z12" s="33" t="n">
        <f aca="false">$B$12*Z8</f>
        <v>0</v>
      </c>
      <c r="AA12" s="33" t="n">
        <f aca="false">$B$12*AA8</f>
        <v>0</v>
      </c>
      <c r="AB12" s="724" t="n">
        <f aca="false">$B$12*AB8</f>
        <v>0</v>
      </c>
      <c r="AC12" s="861"/>
      <c r="AD12" s="861"/>
      <c r="AE12" s="729"/>
    </row>
    <row r="13" customFormat="false" ht="12" hidden="false" customHeight="true" outlineLevel="0" collapsed="false">
      <c r="A13" s="720" t="s">
        <v>638</v>
      </c>
      <c r="B13" s="33" t="n">
        <f aca="false">'Project Assumptions'!C47+'Project Assumptions'!C48+'Project Assumptions'!C49</f>
        <v>0</v>
      </c>
      <c r="C13" s="718"/>
      <c r="D13" s="33" t="n">
        <f aca="false">$B$13*D9</f>
        <v>0</v>
      </c>
      <c r="E13" s="33" t="n">
        <f aca="false">$B$13*E9</f>
        <v>0</v>
      </c>
      <c r="F13" s="33" t="n">
        <f aca="false">$B$13*F9</f>
        <v>0</v>
      </c>
      <c r="G13" s="33" t="n">
        <f aca="false">$B$13*G9</f>
        <v>0</v>
      </c>
      <c r="H13" s="33" t="n">
        <f aca="false">$B$13*H9</f>
        <v>0</v>
      </c>
      <c r="I13" s="33" t="n">
        <f aca="false">$B$13*I9</f>
        <v>0</v>
      </c>
      <c r="J13" s="33" t="n">
        <f aca="false">$B$13*J9</f>
        <v>0</v>
      </c>
      <c r="K13" s="33" t="n">
        <f aca="false">$B$13*K9</f>
        <v>0</v>
      </c>
      <c r="L13" s="33" t="n">
        <f aca="false">$B$13*L9</f>
        <v>0</v>
      </c>
      <c r="M13" s="33" t="n">
        <f aca="false">$B$13*M9</f>
        <v>0</v>
      </c>
      <c r="N13" s="33" t="n">
        <f aca="false">$B$13*N9</f>
        <v>0</v>
      </c>
      <c r="O13" s="33" t="n">
        <f aca="false">$B$13*O9</f>
        <v>0</v>
      </c>
      <c r="P13" s="33" t="n">
        <f aca="false">$B$13*P9</f>
        <v>0</v>
      </c>
      <c r="Q13" s="33" t="n">
        <f aca="false">$B$13*Q9</f>
        <v>0</v>
      </c>
      <c r="R13" s="33" t="n">
        <f aca="false">$B$13*R9</f>
        <v>0</v>
      </c>
      <c r="S13" s="33" t="n">
        <f aca="false">$B$13*S9</f>
        <v>0</v>
      </c>
      <c r="T13" s="33" t="n">
        <f aca="false">$B$13*T9</f>
        <v>0</v>
      </c>
      <c r="U13" s="33" t="n">
        <f aca="false">$B$13*U9</f>
        <v>0</v>
      </c>
      <c r="V13" s="33" t="n">
        <f aca="false">$B$13*V9</f>
        <v>0</v>
      </c>
      <c r="W13" s="33" t="n">
        <f aca="false">$B$13*W9</f>
        <v>0</v>
      </c>
      <c r="X13" s="33" t="n">
        <f aca="false">$B$13*X9</f>
        <v>0</v>
      </c>
      <c r="Y13" s="33" t="n">
        <f aca="false">$B$13*Y9</f>
        <v>0</v>
      </c>
      <c r="Z13" s="33" t="n">
        <f aca="false">$B$13*Z9</f>
        <v>0</v>
      </c>
      <c r="AA13" s="33" t="n">
        <f aca="false">$B$13*AA9</f>
        <v>0</v>
      </c>
      <c r="AB13" s="724" t="n">
        <f aca="false">$B$13*AB9</f>
        <v>0</v>
      </c>
      <c r="AC13" s="861"/>
      <c r="AD13" s="861"/>
      <c r="AE13" s="729"/>
    </row>
    <row r="14" customFormat="false" ht="12" hidden="false" customHeight="true" outlineLevel="0" collapsed="false">
      <c r="A14" s="720" t="s">
        <v>639</v>
      </c>
      <c r="B14" s="511" t="n">
        <v>0</v>
      </c>
      <c r="C14" s="718"/>
      <c r="D14" s="511" t="n">
        <f aca="false">B14</f>
        <v>0</v>
      </c>
      <c r="E14" s="862" t="n">
        <v>0</v>
      </c>
      <c r="F14" s="862" t="n">
        <v>0</v>
      </c>
      <c r="G14" s="862" t="n">
        <v>0</v>
      </c>
      <c r="H14" s="862" t="n">
        <v>0</v>
      </c>
      <c r="I14" s="862" t="n">
        <v>0</v>
      </c>
      <c r="J14" s="862" t="n">
        <v>0</v>
      </c>
      <c r="K14" s="862" t="n">
        <v>0</v>
      </c>
      <c r="L14" s="862" t="n">
        <v>0</v>
      </c>
      <c r="M14" s="862" t="n">
        <v>0</v>
      </c>
      <c r="N14" s="862" t="n">
        <v>0</v>
      </c>
      <c r="O14" s="862" t="n">
        <v>0</v>
      </c>
      <c r="P14" s="862" t="n">
        <v>0</v>
      </c>
      <c r="Q14" s="862" t="n">
        <v>0</v>
      </c>
      <c r="R14" s="862" t="n">
        <v>0</v>
      </c>
      <c r="S14" s="862" t="n">
        <v>0</v>
      </c>
      <c r="T14" s="862" t="n">
        <v>0</v>
      </c>
      <c r="U14" s="862" t="n">
        <v>0</v>
      </c>
      <c r="V14" s="862" t="n">
        <v>0</v>
      </c>
      <c r="W14" s="862" t="n">
        <v>0</v>
      </c>
      <c r="X14" s="862" t="n">
        <v>0</v>
      </c>
      <c r="Y14" s="862" t="n">
        <v>0</v>
      </c>
      <c r="Z14" s="862" t="n">
        <v>0</v>
      </c>
      <c r="AA14" s="862" t="n">
        <v>0</v>
      </c>
      <c r="AB14" s="863" t="n">
        <v>0</v>
      </c>
      <c r="AC14" s="861"/>
      <c r="AD14" s="861"/>
      <c r="AE14" s="729"/>
    </row>
    <row r="15" customFormat="false" ht="12" hidden="false" customHeight="true" outlineLevel="0" collapsed="false">
      <c r="A15" s="864" t="s">
        <v>640</v>
      </c>
      <c r="B15" s="659" t="n">
        <f aca="false">SUM(B11:B14)</f>
        <v>173977.95</v>
      </c>
      <c r="C15" s="865"/>
      <c r="D15" s="659" t="n">
        <f aca="false">SUM(D11:D14)</f>
        <v>8834.93676666667</v>
      </c>
      <c r="E15" s="659" t="n">
        <f aca="false">SUM(E11:E14)</f>
        <v>16742.167095</v>
      </c>
      <c r="F15" s="659" t="n">
        <f aca="false">SUM(F11:F14)</f>
        <v>15108.7621655</v>
      </c>
      <c r="G15" s="659" t="n">
        <f aca="false">SUM(G11:G14)</f>
        <v>13647.294597</v>
      </c>
      <c r="H15" s="659" t="n">
        <f aca="false">SUM(H11:H14)</f>
        <v>12323.3769173</v>
      </c>
      <c r="I15" s="659" t="n">
        <f aca="false">SUM(I11:I14)</f>
        <v>10881.7466736333</v>
      </c>
      <c r="J15" s="659" t="n">
        <f aca="false">SUM(J11:J14)</f>
        <v>10144.304299</v>
      </c>
      <c r="K15" s="659" t="n">
        <f aca="false">SUM(K11:K14)</f>
        <v>10161.4980351</v>
      </c>
      <c r="L15" s="659" t="n">
        <f aca="false">SUM(L11:L14)</f>
        <v>10144.304299</v>
      </c>
      <c r="M15" s="659" t="n">
        <f aca="false">SUM(M11:M14)</f>
        <v>10161.4980351</v>
      </c>
      <c r="N15" s="659" t="n">
        <f aca="false">SUM(N11:N14)</f>
        <v>10144.304299</v>
      </c>
      <c r="O15" s="659" t="n">
        <f aca="false">SUM(O11:O14)</f>
        <v>10161.4980351</v>
      </c>
      <c r="P15" s="659" t="n">
        <f aca="false">SUM(P11:P14)</f>
        <v>10144.304299</v>
      </c>
      <c r="Q15" s="659" t="n">
        <f aca="false">SUM(Q11:Q14)</f>
        <v>10161.4980351</v>
      </c>
      <c r="R15" s="659" t="n">
        <f aca="false">SUM(R11:R14)</f>
        <v>10144.304299</v>
      </c>
      <c r="S15" s="659" t="n">
        <f aca="false">SUM(S11:S14)</f>
        <v>5072.1521495</v>
      </c>
      <c r="T15" s="659" t="n">
        <f aca="false">SUM(T11:T14)</f>
        <v>0</v>
      </c>
      <c r="U15" s="659" t="n">
        <f aca="false">SUM(U11:U14)</f>
        <v>0</v>
      </c>
      <c r="V15" s="659" t="n">
        <f aca="false">SUM(V11:V14)</f>
        <v>0</v>
      </c>
      <c r="W15" s="659" t="n">
        <f aca="false">SUM(W11:W14)</f>
        <v>0</v>
      </c>
      <c r="X15" s="659" t="n">
        <f aca="false">SUM(X11:X14)</f>
        <v>0</v>
      </c>
      <c r="Y15" s="659" t="n">
        <f aca="false">SUM(Y11:Y14)</f>
        <v>0</v>
      </c>
      <c r="Z15" s="659" t="n">
        <f aca="false">SUM(Z11:Z14)</f>
        <v>0</v>
      </c>
      <c r="AA15" s="659" t="n">
        <f aca="false">SUM(AA11:AA14)</f>
        <v>0</v>
      </c>
      <c r="AB15" s="660" t="n">
        <f aca="false">SUM(AB11:AB14)</f>
        <v>0</v>
      </c>
      <c r="AC15" s="861"/>
      <c r="AD15" s="861"/>
      <c r="AE15" s="861"/>
    </row>
    <row r="16" customFormat="false" ht="12" hidden="false" customHeight="true" outlineLevel="0" collapsed="false">
      <c r="A16" s="820"/>
      <c r="B16" s="866"/>
      <c r="C16" s="866"/>
      <c r="D16" s="866"/>
      <c r="E16" s="866"/>
      <c r="F16" s="866"/>
      <c r="G16" s="866"/>
      <c r="H16" s="866"/>
      <c r="I16" s="866"/>
      <c r="J16" s="866"/>
      <c r="K16" s="866"/>
      <c r="L16" s="866"/>
      <c r="M16" s="866"/>
      <c r="N16" s="866"/>
      <c r="O16" s="866"/>
      <c r="P16" s="866"/>
      <c r="Q16" s="866"/>
      <c r="R16" s="866"/>
      <c r="S16" s="866"/>
      <c r="T16" s="866"/>
      <c r="U16" s="866"/>
      <c r="V16" s="866"/>
      <c r="W16" s="866"/>
      <c r="X16" s="866"/>
      <c r="Y16" s="866"/>
      <c r="Z16" s="866"/>
      <c r="AA16" s="866"/>
      <c r="AB16" s="866"/>
      <c r="AC16" s="861"/>
      <c r="AD16" s="861"/>
      <c r="AE16" s="729"/>
    </row>
    <row r="17" customFormat="false" ht="12" hidden="false" customHeight="true" outlineLevel="0" collapsed="false">
      <c r="A17" s="849" t="s">
        <v>641</v>
      </c>
      <c r="B17" s="381"/>
      <c r="C17" s="381"/>
      <c r="D17" s="381"/>
      <c r="E17" s="381"/>
      <c r="F17" s="381"/>
      <c r="G17" s="381"/>
      <c r="H17" s="381"/>
      <c r="I17" s="381"/>
      <c r="J17" s="381"/>
      <c r="K17" s="381"/>
      <c r="L17" s="381"/>
      <c r="M17" s="381"/>
      <c r="N17" s="381"/>
      <c r="O17" s="381"/>
      <c r="P17" s="381"/>
      <c r="Q17" s="381"/>
      <c r="R17" s="381"/>
      <c r="S17" s="381"/>
      <c r="T17" s="381"/>
      <c r="U17" s="381"/>
      <c r="V17" s="381"/>
      <c r="W17" s="381"/>
      <c r="X17" s="381"/>
      <c r="Y17" s="381"/>
      <c r="Z17" s="381"/>
      <c r="AA17" s="381"/>
      <c r="AB17" s="517"/>
      <c r="AE17" s="854"/>
    </row>
    <row r="18" customFormat="false" ht="12" hidden="false" customHeight="true" outlineLevel="0" collapsed="false">
      <c r="A18" s="867"/>
      <c r="B18" s="712" t="s">
        <v>290</v>
      </c>
      <c r="C18" s="385"/>
      <c r="D18" s="385"/>
      <c r="E18" s="385"/>
      <c r="F18" s="385"/>
      <c r="G18" s="385"/>
      <c r="H18" s="385"/>
      <c r="I18" s="385"/>
      <c r="J18" s="385"/>
      <c r="K18" s="385"/>
      <c r="L18" s="385"/>
      <c r="M18" s="385"/>
      <c r="N18" s="385"/>
      <c r="O18" s="385"/>
      <c r="P18" s="385"/>
      <c r="Q18" s="385"/>
      <c r="R18" s="385"/>
      <c r="S18" s="385"/>
      <c r="T18" s="385"/>
      <c r="U18" s="385"/>
      <c r="V18" s="385"/>
      <c r="W18" s="385"/>
      <c r="X18" s="385"/>
      <c r="Y18" s="385"/>
      <c r="Z18" s="385"/>
      <c r="AA18" s="385"/>
      <c r="AB18" s="415"/>
      <c r="AE18" s="854"/>
    </row>
    <row r="19" customFormat="false" ht="12" hidden="false" customHeight="true" outlineLevel="0" collapsed="false">
      <c r="A19" s="720" t="s">
        <v>633</v>
      </c>
      <c r="B19" s="855" t="n">
        <f aca="false">B7</f>
        <v>15</v>
      </c>
      <c r="C19" s="868"/>
      <c r="D19" s="469" t="n">
        <f aca="false">IF(D4&gt;$B$19+1,0,IF($B$19=15,VLOOKUP(D4,$A$57:$B$72,2),VLOOKUP(D4,$A$77:$B$97,2)))</f>
        <v>0.05</v>
      </c>
      <c r="E19" s="469" t="n">
        <f aca="false">IF(E4&gt;$B$19+1,0,IF($B$19=15,VLOOKUP(E4,$A$57:$B$72,2),VLOOKUP(E4,$A$77:$B$97,2)))</f>
        <v>0.095</v>
      </c>
      <c r="F19" s="469" t="n">
        <f aca="false">IF(F4&gt;$B$19+1,0,IF($B$19=15,VLOOKUP(F4,$A$57:$B$72,2),VLOOKUP(F4,$A$77:$B$97,2)))</f>
        <v>0.0855</v>
      </c>
      <c r="G19" s="469" t="n">
        <f aca="false">IF(G4&gt;$B$19+1,0,IF($B$19=15,VLOOKUP(G4,$A$57:$B$72,2),VLOOKUP(G4,$A$77:$B$97,2)))</f>
        <v>0.077</v>
      </c>
      <c r="H19" s="469" t="n">
        <f aca="false">IF(H4&gt;$B$19+1,0,IF($B$19=15,VLOOKUP(H4,$A$57:$B$72,2),VLOOKUP(H4,$A$77:$B$97,2)))</f>
        <v>0.0693</v>
      </c>
      <c r="I19" s="469" t="n">
        <f aca="false">IF(I4&gt;$B$19+1,0,IF($B$19=15,VLOOKUP(I4,$A$57:$B$72,2),VLOOKUP(I4,$A$77:$B$97,2)))</f>
        <v>0.0623</v>
      </c>
      <c r="J19" s="469" t="n">
        <f aca="false">IF(J4&gt;$B$19+1,0,IF($B$19=15,VLOOKUP(J4,$A$57:$B$72,2),VLOOKUP(J4,$A$77:$B$97,2)))</f>
        <v>0.059</v>
      </c>
      <c r="K19" s="469" t="n">
        <f aca="false">IF(K4&gt;$B$19+1,0,IF($B$19=15,VLOOKUP(K4,$A$57:$B$72,2),VLOOKUP(K4,$A$77:$B$97,2)))</f>
        <v>0.0591</v>
      </c>
      <c r="L19" s="469" t="n">
        <f aca="false">IF(L4&gt;$B$19+1,0,IF($B$19=15,VLOOKUP(L4,$A$57:$B$72,2),VLOOKUP(L4,$A$77:$B$97,2)))</f>
        <v>0.059</v>
      </c>
      <c r="M19" s="469" t="n">
        <f aca="false">IF(M4&gt;$B$19+1,0,IF($B$19=15,VLOOKUP(M4,$A$57:$B$72,2),VLOOKUP(M4,$A$77:$B$97,2)))</f>
        <v>0.0591</v>
      </c>
      <c r="N19" s="469" t="n">
        <f aca="false">IF(N4&gt;$B$19+1,0,IF($B$19=15,VLOOKUP(N4,$A$57:$B$72,2),VLOOKUP(N4,$A$77:$B$97,2)))</f>
        <v>0.059</v>
      </c>
      <c r="O19" s="469" t="n">
        <f aca="false">IF(O4&gt;$B$19+1,0,IF($B$19=15,VLOOKUP(O4,$A$57:$B$72,2),VLOOKUP(O4,$A$77:$B$97,2)))</f>
        <v>0.0591</v>
      </c>
      <c r="P19" s="469" t="n">
        <f aca="false">IF(P4&gt;$B$19+1,0,IF($B$19=15,VLOOKUP(P4,$A$57:$B$72,2),VLOOKUP(P4,$A$77:$B$97,2)))</f>
        <v>0.059</v>
      </c>
      <c r="Q19" s="469" t="n">
        <f aca="false">IF(Q4&gt;$B$19+1,0,IF($B$19=15,VLOOKUP(Q4,$A$57:$B$72,2),VLOOKUP(Q4,$A$77:$B$97,2)))</f>
        <v>0.0591</v>
      </c>
      <c r="R19" s="469" t="n">
        <f aca="false">IF(R4&gt;$B$19+1,0,IF($B$19=15,VLOOKUP(R4,$A$57:$B$72,2),VLOOKUP(R4,$A$77:$B$97,2)))</f>
        <v>0.059</v>
      </c>
      <c r="S19" s="469" t="n">
        <f aca="false">IF(S4&gt;$B$19+1,0,IF($B$19=15,VLOOKUP(S4,$A$57:$B$72,2),VLOOKUP(S4,$A$77:$B$97,2)))</f>
        <v>0.0295</v>
      </c>
      <c r="T19" s="469" t="n">
        <f aca="false">IF(T4&gt;$B$19+1,0,IF($B$19=15,VLOOKUP(T4,$A$57:$B$72,2),VLOOKUP(T4,$A$77:$B$97,2)))</f>
        <v>0</v>
      </c>
      <c r="U19" s="469" t="n">
        <f aca="false">IF(U4&gt;$B$19+1,0,IF($B$19=15,VLOOKUP(U4,$A$57:$B$72,2),VLOOKUP(U4,$A$77:$B$97,2)))</f>
        <v>0</v>
      </c>
      <c r="V19" s="469" t="n">
        <f aca="false">IF(V4&gt;$B$19+1,0,IF($B$19=15,VLOOKUP(V4,$A$57:$B$72,2),VLOOKUP(V4,$A$77:$B$97,2)))</f>
        <v>0</v>
      </c>
      <c r="W19" s="469" t="n">
        <f aca="false">IF(W4&gt;$B$19+1,0,IF($B$19=15,VLOOKUP(W4,$A$57:$B$72,2),VLOOKUP(W4,$A$77:$B$97,2)))</f>
        <v>0</v>
      </c>
      <c r="X19" s="469" t="n">
        <f aca="false">IF(X4&gt;$B$19+1,0,IF($B$19=15,VLOOKUP(X4,$A$57:$B$72,2),VLOOKUP(X4,$A$77:$B$97,2)))</f>
        <v>0</v>
      </c>
      <c r="Y19" s="469" t="n">
        <f aca="false">IF(Y4&gt;$B$19+1,0,IF($B$19=15,VLOOKUP(Y4,$A$57:$B$72,2),VLOOKUP(Y4,$A$77:$B$97,2)))</f>
        <v>0</v>
      </c>
      <c r="Z19" s="469" t="n">
        <f aca="false">IF(Z4&gt;$B$19+1,0,IF($B$19=15,VLOOKUP(Z4,$A$57:$B$72,2),VLOOKUP(Z4,$A$77:$B$97,2)))</f>
        <v>0</v>
      </c>
      <c r="AA19" s="469" t="n">
        <f aca="false">IF(AA4&gt;$B$19+1,0,IF($B$19=15,VLOOKUP(AA4,$A$57:$B$72,2),VLOOKUP(AA4,$A$77:$B$97,2)))</f>
        <v>0</v>
      </c>
      <c r="AB19" s="856" t="n">
        <f aca="false">IF(AB4&gt;$B$19+1,0,IF($B$19=15,VLOOKUP(AB4,$A$57:$B$72,2),VLOOKUP(AB4,$A$77:$B$97,2)))</f>
        <v>0</v>
      </c>
      <c r="AC19" s="857"/>
      <c r="AD19" s="857"/>
      <c r="AE19" s="858"/>
    </row>
    <row r="20" customFormat="false" ht="12" hidden="false" customHeight="true" outlineLevel="0" collapsed="false">
      <c r="A20" s="720" t="s">
        <v>634</v>
      </c>
      <c r="B20" s="855" t="n">
        <v>5</v>
      </c>
      <c r="C20" s="385"/>
      <c r="D20" s="469" t="n">
        <f aca="false">IF(D16&gt;$B$20,0,1/$B$20)*'Book Income Statement'!D$6/12</f>
        <v>0.116666666666667</v>
      </c>
      <c r="E20" s="469" t="n">
        <f aca="false">IF(E$4&lt;=$B20,(1/$B20),IF(E$4=$B20+1,(1/$B20)-$D20,0))</f>
        <v>0.2</v>
      </c>
      <c r="F20" s="469" t="n">
        <f aca="false">IF(F$4&lt;=$B20,(1/$B20),IF(F$4=$B20+1,(1/$B20)-$D20,0))</f>
        <v>0.2</v>
      </c>
      <c r="G20" s="469" t="n">
        <f aca="false">IF(G$4&lt;=$B20,(1/$B20),IF(G$4=$B20+1,(1/$B20)-$D20,0))</f>
        <v>0.2</v>
      </c>
      <c r="H20" s="469" t="n">
        <f aca="false">IF(H$4&lt;=$B20,(1/$B20),IF(H$4=$B20+1,(1/$B20)-$D20,0))</f>
        <v>0.2</v>
      </c>
      <c r="I20" s="469" t="n">
        <f aca="false">IF(I$4&lt;=$B20,(1/$B20),IF(I$4=$B20+1,(1/$B20)-$D20,0))</f>
        <v>0.0833333333333333</v>
      </c>
      <c r="J20" s="469" t="n">
        <f aca="false">IF(J$4&lt;=$B20,(1/$B20),IF(J$4=$B20+1,(1/$B20)-$D20,0))</f>
        <v>0</v>
      </c>
      <c r="K20" s="469" t="n">
        <f aca="false">IF(K$4&lt;=$B20,(1/$B20),IF(K$4=$B20+1,(1/$B20)-$D20,0))</f>
        <v>0</v>
      </c>
      <c r="L20" s="469" t="n">
        <f aca="false">IF(L$4&lt;=$B20,(1/$B20),IF(L$4=$B20+1,(1/$B20)-$D20,0))</f>
        <v>0</v>
      </c>
      <c r="M20" s="469" t="n">
        <f aca="false">IF(M$4&lt;=$B20,(1/$B20),IF(M$4=$B20+1,(1/$B20)-$D20,0))</f>
        <v>0</v>
      </c>
      <c r="N20" s="469" t="n">
        <f aca="false">IF(N$4&lt;=$B20,(1/$B20),IF(N$4=$B20+1,(1/$B20)-$D20,0))</f>
        <v>0</v>
      </c>
      <c r="O20" s="469" t="n">
        <f aca="false">IF(O$4&lt;=$B20,(1/$B20),IF(O$4=$B20+1,(1/$B20)-$D20,0))</f>
        <v>0</v>
      </c>
      <c r="P20" s="469" t="n">
        <f aca="false">IF(P$4&lt;=$B20,(1/$B20),IF(P$4=$B20+1,(1/$B20)-$D20,0))</f>
        <v>0</v>
      </c>
      <c r="Q20" s="469" t="n">
        <f aca="false">IF(Q$4&lt;=$B20,(1/$B20),IF(Q$4=$B20+1,(1/$B20)-$D20,0))</f>
        <v>0</v>
      </c>
      <c r="R20" s="469" t="n">
        <f aca="false">IF(R$4&lt;=$B20,(1/$B20),IF(R$4=$B20+1,(1/$B20)-$D20,0))</f>
        <v>0</v>
      </c>
      <c r="S20" s="469" t="n">
        <f aca="false">IF(S$4&lt;=$B20,(1/$B20),IF(S$4=$B20+1,(1/$B20)-$D20,0))</f>
        <v>0</v>
      </c>
      <c r="T20" s="469" t="n">
        <f aca="false">IF(T$4&lt;=$B20,(1/$B20),IF(T$4=$B20+1,(1/$B20)-$D20,0))</f>
        <v>0</v>
      </c>
      <c r="U20" s="469" t="n">
        <f aca="false">IF(U$4&lt;=$B20,(1/$B20),IF(U$4=$B20+1,(1/$B20)-$D20,0))</f>
        <v>0</v>
      </c>
      <c r="V20" s="469" t="n">
        <f aca="false">IF(V$4&lt;=$B20,(1/$B20),IF(V$4=$B20+1,(1/$B20)-$D20,0))</f>
        <v>0</v>
      </c>
      <c r="W20" s="469" t="n">
        <f aca="false">IF(W$4&lt;=$B20,(1/$B20),IF(W$4=$B20+1,(1/$B20)-$D20,0))</f>
        <v>0</v>
      </c>
      <c r="X20" s="469" t="n">
        <f aca="false">IF(X$4&lt;=$B20,(1/$B20),IF(X$4=$B20+1,(1/$B20)-$D20,0))</f>
        <v>0</v>
      </c>
      <c r="Y20" s="469" t="n">
        <f aca="false">IF(Y$4&lt;=$B20,(1/$B20),IF(Y$4=$B20+1,(1/$B20)-$D20,0))</f>
        <v>0</v>
      </c>
      <c r="Z20" s="469" t="n">
        <f aca="false">IF(Z$4&lt;=$B20,(1/$B20),IF(Z$4=$B20+1,(1/$B20)-$D20,0))</f>
        <v>0</v>
      </c>
      <c r="AA20" s="469" t="n">
        <f aca="false">IF(AA$4&lt;=$B20,(1/$B20),IF(AA$4=$B20+1,(1/$B20)-$D20,0))</f>
        <v>0</v>
      </c>
      <c r="AB20" s="856" t="n">
        <f aca="false">IF(AB$4&lt;=$B20,(1/$B20),IF(AB$4=$B20+1,(1/$B20)-$D20,0))</f>
        <v>0</v>
      </c>
      <c r="AC20" s="857"/>
      <c r="AD20" s="857"/>
      <c r="AE20" s="858"/>
    </row>
    <row r="21" customFormat="false" ht="12" hidden="false" customHeight="true" outlineLevel="0" collapsed="false">
      <c r="A21" s="720" t="s">
        <v>635</v>
      </c>
      <c r="B21" s="859" t="n">
        <f aca="false">MAX('Project Assumptions'!$F$39,'Project Assumptions'!$G$39,'Project Assumptions'!$H$39)</f>
        <v>20</v>
      </c>
      <c r="C21" s="385"/>
      <c r="D21" s="469" t="n">
        <f aca="false">IF(D16&gt;$B$21,0,(1/$B$21))*'Book Income Statement'!D$6/12</f>
        <v>0.0291666666666667</v>
      </c>
      <c r="E21" s="469" t="n">
        <f aca="false">IF(E$4&lt;=$B$21,(1/$B$21),IF(E$4=$B$21+1,(1/$B$21)-$D$21,0))</f>
        <v>0.05</v>
      </c>
      <c r="F21" s="469" t="n">
        <f aca="false">IF(F$4&lt;=$B$21,(1/$B$21),IF(F$4=$B$21+1,(1/$B$21)-$D$21,0))</f>
        <v>0.05</v>
      </c>
      <c r="G21" s="469" t="n">
        <f aca="false">IF(G$4&lt;=$B$21,(1/$B$21),IF(G$4=$B$21+1,(1/$B$21)-$D$21,0))</f>
        <v>0.05</v>
      </c>
      <c r="H21" s="469" t="n">
        <f aca="false">IF(H$4&lt;=$B$21,(1/$B$21),IF(H$4=$B$21+1,(1/$B$21)-$D$21,0))</f>
        <v>0.05</v>
      </c>
      <c r="I21" s="469" t="n">
        <f aca="false">IF(I$4&lt;=$B$21,(1/$B$21),IF(I$4=$B$21+1,(1/$B$21)-$D$21,0))</f>
        <v>0.05</v>
      </c>
      <c r="J21" s="469" t="n">
        <f aca="false">IF(J$4&lt;=$B$21,(1/$B$21),IF(J$4=$B$21+1,(1/$B$21)-$D$21,0))</f>
        <v>0.05</v>
      </c>
      <c r="K21" s="469" t="n">
        <f aca="false">IF(K$4&lt;=$B$21,(1/$B$21),IF(K$4=$B$21+1,(1/$B$21)-$D$21,0))</f>
        <v>0.05</v>
      </c>
      <c r="L21" s="469" t="n">
        <f aca="false">IF(L$4&lt;=$B$21,(1/$B$21),IF(L$4=$B$21+1,(1/$B$21)-$D$21,0))</f>
        <v>0.05</v>
      </c>
      <c r="M21" s="469" t="n">
        <f aca="false">IF(M$4&lt;=$B$21,(1/$B$21),IF(M$4=$B$21+1,(1/$B$21)-$D$21,0))</f>
        <v>0.05</v>
      </c>
      <c r="N21" s="469" t="n">
        <f aca="false">IF(N$4&lt;=$B$21,(1/$B$21),IF(N$4=$B$21+1,(1/$B$21)-$D$21,0))</f>
        <v>0.05</v>
      </c>
      <c r="O21" s="469" t="n">
        <f aca="false">IF(O$4&lt;=$B$21,(1/$B$21),IF(O$4=$B$21+1,(1/$B$21)-$D$21,0))</f>
        <v>0.05</v>
      </c>
      <c r="P21" s="469" t="n">
        <f aca="false">IF(P$4&lt;=$B$21,(1/$B$21),IF(P$4=$B$21+1,(1/$B$21)-$D$21,0))</f>
        <v>0.05</v>
      </c>
      <c r="Q21" s="469" t="n">
        <f aca="false">IF(Q$4&lt;=$B$21,(1/$B$21),IF(Q$4=$B$21+1,(1/$B$21)-$D$21,0))</f>
        <v>0.05</v>
      </c>
      <c r="R21" s="469" t="n">
        <f aca="false">IF(R$4&lt;=$B$21,(1/$B$21),IF(R$4=$B$21+1,(1/$B$21)-$D$21,0))</f>
        <v>0.05</v>
      </c>
      <c r="S21" s="469" t="n">
        <f aca="false">IF(S$4&lt;=$B$21,(1/$B$21),IF(S$4=$B$21+1,(1/$B$21)-$D$21,0))</f>
        <v>0.05</v>
      </c>
      <c r="T21" s="469" t="n">
        <f aca="false">IF(T$4&lt;=$B$21,(1/$B$21),IF(T$4=$B$21+1,(1/$B$21)-$D$21,0))</f>
        <v>0.05</v>
      </c>
      <c r="U21" s="469" t="n">
        <f aca="false">IF(U$4&lt;=$B$21,(1/$B$21),IF(U$4=$B$21+1,(1/$B$21)-$D$21,0))</f>
        <v>0.05</v>
      </c>
      <c r="V21" s="469" t="n">
        <f aca="false">IF(V$4&lt;=$B$21,(1/$B$21),IF(V$4=$B$21+1,(1/$B$21)-$D$21,0))</f>
        <v>0.05</v>
      </c>
      <c r="W21" s="469" t="n">
        <f aca="false">IF(W$4&lt;=$B$21,(1/$B$21),IF(W$4=$B$21+1,(1/$B$21)-$D$21,0))</f>
        <v>0.05</v>
      </c>
      <c r="X21" s="469" t="n">
        <f aca="false">IF(X$4&lt;=$B$21,(1/$B$21),IF(X$4=$B$21+1,(1/$B$21)-$D$21,0))</f>
        <v>0.0208333333333333</v>
      </c>
      <c r="Y21" s="469" t="n">
        <f aca="false">IF(Y$4&lt;=$B$21,(1/$B$21),IF(Y$4=$B$21+1,(1/$B$21)-$D$21,0))</f>
        <v>0</v>
      </c>
      <c r="Z21" s="469" t="n">
        <f aca="false">IF(Z$4&lt;=$B$21,(1/$B$21),IF(Z$4=$B$21+1,(1/$B$21)-$D$21,0))</f>
        <v>0</v>
      </c>
      <c r="AA21" s="469" t="n">
        <f aca="false">IF(AA$4&lt;=$B$21,(1/$B$21),IF(AA$4=$B$21+1,(1/$B$21)-$D$21,0))</f>
        <v>0</v>
      </c>
      <c r="AB21" s="856" t="n">
        <f aca="false">IF(AB$4&lt;=$B$21,(1/$B$21),IF(AB$4=$B$21+1,(1/$B$21)-$D$21,0))</f>
        <v>0</v>
      </c>
      <c r="AC21" s="857"/>
      <c r="AD21" s="857"/>
      <c r="AE21" s="858"/>
    </row>
    <row r="22" customFormat="false" ht="12" hidden="false" customHeight="true" outlineLevel="0" collapsed="false">
      <c r="A22" s="720"/>
      <c r="B22" s="855"/>
      <c r="C22" s="385"/>
      <c r="D22" s="523"/>
      <c r="E22" s="523"/>
      <c r="F22" s="523"/>
      <c r="G22" s="523"/>
      <c r="H22" s="523"/>
      <c r="I22" s="523"/>
      <c r="J22" s="523"/>
      <c r="K22" s="523"/>
      <c r="L22" s="523"/>
      <c r="M22" s="523"/>
      <c r="N22" s="523"/>
      <c r="O22" s="523"/>
      <c r="P22" s="523"/>
      <c r="Q22" s="523"/>
      <c r="R22" s="523"/>
      <c r="S22" s="523"/>
      <c r="T22" s="523"/>
      <c r="U22" s="523"/>
      <c r="V22" s="523"/>
      <c r="W22" s="523"/>
      <c r="X22" s="523"/>
      <c r="Y22" s="523"/>
      <c r="Z22" s="523"/>
      <c r="AA22" s="523"/>
      <c r="AB22" s="869"/>
      <c r="AC22" s="857"/>
      <c r="AD22" s="857"/>
      <c r="AE22" s="858"/>
    </row>
    <row r="23" customFormat="false" ht="12" hidden="false" customHeight="true" outlineLevel="0" collapsed="false">
      <c r="A23" s="410"/>
      <c r="B23" s="712"/>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415"/>
    </row>
    <row r="24" customFormat="false" ht="12" hidden="false" customHeight="true" outlineLevel="0" collapsed="false">
      <c r="A24" s="720" t="s">
        <v>636</v>
      </c>
      <c r="B24" s="30" t="n">
        <f aca="false">B11</f>
        <v>171937.361</v>
      </c>
      <c r="C24" s="33"/>
      <c r="D24" s="30" t="n">
        <f aca="false">$B$24*D19</f>
        <v>8596.86805</v>
      </c>
      <c r="E24" s="30" t="n">
        <f aca="false">$B$24*E19</f>
        <v>16334.049295</v>
      </c>
      <c r="F24" s="30" t="n">
        <f aca="false">$B$24*F19</f>
        <v>14700.6443655</v>
      </c>
      <c r="G24" s="30" t="n">
        <f aca="false">$B$24*G19</f>
        <v>13239.176797</v>
      </c>
      <c r="H24" s="30" t="n">
        <f aca="false">$B$24*H19</f>
        <v>11915.2591173</v>
      </c>
      <c r="I24" s="30" t="n">
        <f aca="false">$B$24*I19</f>
        <v>10711.6975903</v>
      </c>
      <c r="J24" s="30" t="n">
        <f aca="false">$B$24*J19</f>
        <v>10144.304299</v>
      </c>
      <c r="K24" s="30" t="n">
        <f aca="false">$B$24*K19</f>
        <v>10161.4980351</v>
      </c>
      <c r="L24" s="30" t="n">
        <f aca="false">$B$24*L19</f>
        <v>10144.304299</v>
      </c>
      <c r="M24" s="30" t="n">
        <f aca="false">$B$24*M19</f>
        <v>10161.4980351</v>
      </c>
      <c r="N24" s="30" t="n">
        <f aca="false">$B$24*N19</f>
        <v>10144.304299</v>
      </c>
      <c r="O24" s="30" t="n">
        <f aca="false">$B$24*O19</f>
        <v>10161.4980351</v>
      </c>
      <c r="P24" s="30" t="n">
        <f aca="false">$B$24*P19</f>
        <v>10144.304299</v>
      </c>
      <c r="Q24" s="30" t="n">
        <f aca="false">$B$24*Q19</f>
        <v>10161.4980351</v>
      </c>
      <c r="R24" s="30" t="n">
        <f aca="false">$B$24*R19</f>
        <v>10144.304299</v>
      </c>
      <c r="S24" s="30" t="n">
        <f aca="false">$B$24*S19</f>
        <v>5072.1521495</v>
      </c>
      <c r="T24" s="30" t="n">
        <f aca="false">$B$24*T19</f>
        <v>0</v>
      </c>
      <c r="U24" s="30" t="n">
        <f aca="false">$B$24*U19</f>
        <v>0</v>
      </c>
      <c r="V24" s="30" t="n">
        <f aca="false">$B$24*V19</f>
        <v>0</v>
      </c>
      <c r="W24" s="30" t="n">
        <f aca="false">$B$24*W19</f>
        <v>0</v>
      </c>
      <c r="X24" s="30" t="n">
        <f aca="false">$B$24*X19</f>
        <v>0</v>
      </c>
      <c r="Y24" s="30" t="n">
        <f aca="false">$B$24*Y19</f>
        <v>0</v>
      </c>
      <c r="Z24" s="30" t="n">
        <f aca="false">$B$24*Z19</f>
        <v>0</v>
      </c>
      <c r="AA24" s="30" t="n">
        <f aca="false">$B$24*AA19</f>
        <v>0</v>
      </c>
      <c r="AB24" s="437" t="n">
        <f aca="false">$B$24*AB19</f>
        <v>0</v>
      </c>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c r="BC24" s="32"/>
      <c r="BD24" s="32"/>
      <c r="BE24" s="32"/>
      <c r="BF24" s="32"/>
      <c r="BG24" s="32"/>
      <c r="BH24" s="32"/>
      <c r="BI24" s="32"/>
      <c r="BJ24" s="32"/>
      <c r="BK24" s="32"/>
      <c r="BL24" s="32"/>
      <c r="BM24" s="32"/>
      <c r="BN24" s="32"/>
      <c r="BO24" s="32"/>
      <c r="BP24" s="32"/>
      <c r="BQ24" s="32"/>
      <c r="BR24" s="32"/>
      <c r="BS24" s="32"/>
      <c r="BT24" s="32"/>
      <c r="BU24" s="32"/>
      <c r="BV24" s="32"/>
      <c r="BW24" s="32"/>
      <c r="BX24" s="32"/>
      <c r="BY24" s="32"/>
      <c r="BZ24" s="32"/>
      <c r="CA24" s="32"/>
      <c r="CB24" s="32"/>
      <c r="CC24" s="32"/>
      <c r="CD24" s="32"/>
      <c r="CE24" s="32"/>
      <c r="CF24" s="32"/>
      <c r="CG24" s="32"/>
      <c r="CH24" s="32"/>
      <c r="CI24" s="32"/>
      <c r="CJ24" s="32"/>
      <c r="CK24" s="32"/>
      <c r="CL24" s="32"/>
      <c r="CM24" s="32"/>
      <c r="CN24" s="32"/>
      <c r="CO24" s="32"/>
      <c r="CP24" s="32"/>
      <c r="CQ24" s="32"/>
      <c r="CR24" s="32"/>
      <c r="CS24" s="32"/>
      <c r="CT24" s="32"/>
      <c r="CU24" s="32"/>
      <c r="CV24" s="32"/>
      <c r="CW24" s="32"/>
      <c r="CX24" s="32"/>
      <c r="CY24" s="32"/>
      <c r="CZ24" s="32"/>
      <c r="DA24" s="32"/>
      <c r="DB24" s="32"/>
      <c r="DC24" s="32"/>
      <c r="DD24" s="32"/>
      <c r="DE24" s="32"/>
      <c r="DF24" s="32"/>
      <c r="DG24" s="32"/>
      <c r="DH24" s="32"/>
      <c r="DI24" s="32"/>
      <c r="DJ24" s="32"/>
      <c r="DK24" s="32"/>
      <c r="DL24" s="32"/>
      <c r="DM24" s="32"/>
      <c r="DN24" s="32"/>
      <c r="DO24" s="32"/>
      <c r="DP24" s="32"/>
      <c r="DQ24" s="32"/>
      <c r="DR24" s="32"/>
      <c r="DS24" s="32"/>
      <c r="DT24" s="32"/>
      <c r="DU24" s="32"/>
      <c r="DV24" s="32"/>
      <c r="DW24" s="32"/>
      <c r="DX24" s="32"/>
      <c r="DY24" s="32"/>
      <c r="DZ24" s="32"/>
      <c r="EA24" s="32"/>
      <c r="EB24" s="32"/>
      <c r="EC24" s="32"/>
      <c r="ED24" s="32"/>
      <c r="EE24" s="32"/>
      <c r="EF24" s="32"/>
      <c r="EG24" s="32"/>
      <c r="EH24" s="32"/>
      <c r="EI24" s="32"/>
      <c r="EJ24" s="32"/>
      <c r="EK24" s="32"/>
      <c r="EL24" s="32"/>
      <c r="EM24" s="32"/>
      <c r="EN24" s="32"/>
      <c r="EO24" s="32"/>
      <c r="EP24" s="32"/>
      <c r="EQ24" s="32"/>
      <c r="ER24" s="32"/>
      <c r="ES24" s="32"/>
      <c r="ET24" s="32"/>
      <c r="EU24" s="32"/>
      <c r="EV24" s="32"/>
      <c r="EW24" s="32"/>
      <c r="EX24" s="32"/>
      <c r="EY24" s="32"/>
      <c r="EZ24" s="32"/>
      <c r="FA24" s="32"/>
      <c r="FB24" s="32"/>
      <c r="FC24" s="32"/>
      <c r="FD24" s="32"/>
      <c r="FE24" s="32"/>
      <c r="FF24" s="32"/>
      <c r="FG24" s="32"/>
      <c r="FH24" s="32"/>
      <c r="FI24" s="32"/>
      <c r="FJ24" s="32"/>
      <c r="FK24" s="32"/>
      <c r="FL24" s="32"/>
      <c r="FM24" s="32"/>
      <c r="FN24" s="32"/>
      <c r="FO24" s="32"/>
      <c r="FP24" s="32"/>
      <c r="FQ24" s="32"/>
      <c r="FR24" s="32"/>
      <c r="FS24" s="32"/>
      <c r="FT24" s="32"/>
      <c r="FU24" s="32"/>
      <c r="FV24" s="32"/>
      <c r="FW24" s="32"/>
      <c r="FX24" s="32"/>
      <c r="FY24" s="32"/>
      <c r="FZ24" s="32"/>
      <c r="GA24" s="32"/>
      <c r="GB24" s="32"/>
      <c r="GC24" s="32"/>
      <c r="GD24" s="32"/>
      <c r="GE24" s="32"/>
      <c r="GF24" s="32"/>
      <c r="GG24" s="32"/>
      <c r="GH24" s="32"/>
      <c r="GI24" s="32"/>
      <c r="GJ24" s="32"/>
      <c r="GK24" s="32"/>
      <c r="GL24" s="32"/>
      <c r="GM24" s="32"/>
      <c r="GN24" s="32"/>
      <c r="GO24" s="32"/>
      <c r="GP24" s="32"/>
      <c r="GQ24" s="32"/>
      <c r="GR24" s="32"/>
      <c r="GS24" s="32"/>
      <c r="GT24" s="32"/>
      <c r="GU24" s="32"/>
      <c r="GV24" s="32"/>
      <c r="GW24" s="32"/>
      <c r="GX24" s="32"/>
      <c r="GY24" s="32"/>
      <c r="GZ24" s="32"/>
      <c r="HA24" s="32"/>
      <c r="HB24" s="32"/>
      <c r="HC24" s="32"/>
      <c r="HD24" s="32"/>
      <c r="HE24" s="32"/>
      <c r="HF24" s="32"/>
      <c r="HG24" s="32"/>
      <c r="HH24" s="32"/>
      <c r="HI24" s="32"/>
      <c r="HJ24" s="32"/>
      <c r="HK24" s="32"/>
      <c r="HL24" s="32"/>
      <c r="HM24" s="32"/>
      <c r="HN24" s="32"/>
      <c r="HO24" s="32"/>
      <c r="HP24" s="32"/>
      <c r="HQ24" s="32"/>
      <c r="HR24" s="32"/>
      <c r="HS24" s="32"/>
      <c r="HT24" s="32"/>
      <c r="HU24" s="32"/>
      <c r="HV24" s="32"/>
      <c r="HW24" s="32"/>
      <c r="HX24" s="32"/>
      <c r="HY24" s="32"/>
      <c r="HZ24" s="32"/>
      <c r="IA24" s="32"/>
      <c r="IB24" s="32"/>
      <c r="IC24" s="32"/>
      <c r="ID24" s="32"/>
      <c r="IE24" s="32"/>
      <c r="IF24" s="32"/>
      <c r="IG24" s="32"/>
      <c r="IH24" s="32"/>
      <c r="II24" s="32"/>
      <c r="IJ24" s="32"/>
      <c r="IK24" s="32"/>
      <c r="IL24" s="32"/>
      <c r="IM24" s="32"/>
      <c r="IN24" s="32"/>
      <c r="IO24" s="32"/>
      <c r="IP24" s="32"/>
      <c r="IQ24" s="32"/>
      <c r="IR24" s="32"/>
      <c r="IS24" s="32"/>
      <c r="IT24" s="32"/>
      <c r="IU24" s="32"/>
      <c r="IV24" s="32"/>
      <c r="IW24" s="32"/>
    </row>
    <row r="25" customFormat="false" ht="12" hidden="false" customHeight="true" outlineLevel="0" collapsed="false">
      <c r="A25" s="720" t="s">
        <v>637</v>
      </c>
      <c r="B25" s="33" t="n">
        <f aca="false">B12</f>
        <v>2040.589</v>
      </c>
      <c r="C25" s="385"/>
      <c r="D25" s="33" t="n">
        <f aca="false">$B25*D20</f>
        <v>238.068716666667</v>
      </c>
      <c r="E25" s="33" t="n">
        <f aca="false">$B25*E20</f>
        <v>408.1178</v>
      </c>
      <c r="F25" s="33" t="n">
        <f aca="false">$B25*F20</f>
        <v>408.1178</v>
      </c>
      <c r="G25" s="33" t="n">
        <f aca="false">$B25*G20</f>
        <v>408.1178</v>
      </c>
      <c r="H25" s="33" t="n">
        <f aca="false">$B25*H20</f>
        <v>408.1178</v>
      </c>
      <c r="I25" s="33" t="n">
        <f aca="false">$B25*I20</f>
        <v>170.049083333333</v>
      </c>
      <c r="J25" s="33" t="n">
        <f aca="false">$B25*J20</f>
        <v>0</v>
      </c>
      <c r="K25" s="33" t="n">
        <f aca="false">$B25*K20</f>
        <v>0</v>
      </c>
      <c r="L25" s="33" t="n">
        <f aca="false">$B25*L20</f>
        <v>0</v>
      </c>
      <c r="M25" s="33" t="n">
        <f aca="false">$B25*M20</f>
        <v>0</v>
      </c>
      <c r="N25" s="33" t="n">
        <f aca="false">$B25*N20</f>
        <v>0</v>
      </c>
      <c r="O25" s="33" t="n">
        <f aca="false">$B25*O20</f>
        <v>0</v>
      </c>
      <c r="P25" s="33" t="n">
        <f aca="false">$B25*P20</f>
        <v>0</v>
      </c>
      <c r="Q25" s="33" t="n">
        <f aca="false">$B25*Q20</f>
        <v>0</v>
      </c>
      <c r="R25" s="33" t="n">
        <f aca="false">$B25*R20</f>
        <v>0</v>
      </c>
      <c r="S25" s="33" t="n">
        <f aca="false">$B25*S20</f>
        <v>0</v>
      </c>
      <c r="T25" s="33" t="n">
        <f aca="false">$B25*T20</f>
        <v>0</v>
      </c>
      <c r="U25" s="33" t="n">
        <f aca="false">$B25*U20</f>
        <v>0</v>
      </c>
      <c r="V25" s="33" t="n">
        <f aca="false">$B25*V20</f>
        <v>0</v>
      </c>
      <c r="W25" s="33" t="n">
        <f aca="false">$B25*W20</f>
        <v>0</v>
      </c>
      <c r="X25" s="33" t="n">
        <f aca="false">$B25*X20</f>
        <v>0</v>
      </c>
      <c r="Y25" s="33" t="n">
        <f aca="false">$B25*Y20</f>
        <v>0</v>
      </c>
      <c r="Z25" s="33" t="n">
        <f aca="false">$B25*Z20</f>
        <v>0</v>
      </c>
      <c r="AA25" s="33" t="n">
        <f aca="false">$B25*AA20</f>
        <v>0</v>
      </c>
      <c r="AB25" s="724" t="n">
        <f aca="false">$B25*AB20</f>
        <v>0</v>
      </c>
      <c r="AC25" s="861"/>
      <c r="AD25" s="861"/>
      <c r="AE25" s="729"/>
    </row>
    <row r="26" customFormat="false" ht="12" hidden="false" customHeight="true" outlineLevel="0" collapsed="false">
      <c r="A26" s="720" t="s">
        <v>638</v>
      </c>
      <c r="B26" s="33" t="n">
        <f aca="false">B13</f>
        <v>0</v>
      </c>
      <c r="C26" s="385"/>
      <c r="D26" s="33" t="n">
        <f aca="false">$B26*D21</f>
        <v>0</v>
      </c>
      <c r="E26" s="33" t="n">
        <f aca="false">$B26*E21</f>
        <v>0</v>
      </c>
      <c r="F26" s="33" t="n">
        <f aca="false">$B26*F21</f>
        <v>0</v>
      </c>
      <c r="G26" s="33" t="n">
        <f aca="false">$B26*G21</f>
        <v>0</v>
      </c>
      <c r="H26" s="33" t="n">
        <f aca="false">$B26*H21</f>
        <v>0</v>
      </c>
      <c r="I26" s="33" t="n">
        <f aca="false">$B26*I21</f>
        <v>0</v>
      </c>
      <c r="J26" s="33" t="n">
        <f aca="false">$B26*J21</f>
        <v>0</v>
      </c>
      <c r="K26" s="33" t="n">
        <f aca="false">$B26*K21</f>
        <v>0</v>
      </c>
      <c r="L26" s="33" t="n">
        <f aca="false">$B26*L21</f>
        <v>0</v>
      </c>
      <c r="M26" s="33" t="n">
        <f aca="false">$B26*M21</f>
        <v>0</v>
      </c>
      <c r="N26" s="33" t="n">
        <f aca="false">$B26*N21</f>
        <v>0</v>
      </c>
      <c r="O26" s="33" t="n">
        <f aca="false">$B26*O21</f>
        <v>0</v>
      </c>
      <c r="P26" s="33" t="n">
        <f aca="false">$B26*P21</f>
        <v>0</v>
      </c>
      <c r="Q26" s="33" t="n">
        <f aca="false">$B26*Q21</f>
        <v>0</v>
      </c>
      <c r="R26" s="33" t="n">
        <f aca="false">$B26*R21</f>
        <v>0</v>
      </c>
      <c r="S26" s="33" t="n">
        <f aca="false">$B26*S21</f>
        <v>0</v>
      </c>
      <c r="T26" s="33" t="n">
        <f aca="false">$B26*T21</f>
        <v>0</v>
      </c>
      <c r="U26" s="33" t="n">
        <f aca="false">$B26*U21</f>
        <v>0</v>
      </c>
      <c r="V26" s="33" t="n">
        <f aca="false">$B26*V21</f>
        <v>0</v>
      </c>
      <c r="W26" s="33" t="n">
        <f aca="false">$B26*W21</f>
        <v>0</v>
      </c>
      <c r="X26" s="33" t="n">
        <f aca="false">$B26*X21</f>
        <v>0</v>
      </c>
      <c r="Y26" s="33" t="n">
        <f aca="false">$B26*Y21</f>
        <v>0</v>
      </c>
      <c r="Z26" s="33" t="n">
        <f aca="false">$B26*Z21</f>
        <v>0</v>
      </c>
      <c r="AA26" s="33" t="n">
        <f aca="false">$B26*AA21</f>
        <v>0</v>
      </c>
      <c r="AB26" s="724" t="n">
        <f aca="false">$B26*AB21</f>
        <v>0</v>
      </c>
      <c r="AC26" s="861"/>
      <c r="AD26" s="861"/>
      <c r="AE26" s="729"/>
    </row>
    <row r="27" customFormat="false" ht="12" hidden="false" customHeight="true" outlineLevel="0" collapsed="false">
      <c r="A27" s="720" t="s">
        <v>639</v>
      </c>
      <c r="B27" s="511" t="n">
        <f aca="false">B14</f>
        <v>0</v>
      </c>
      <c r="C27" s="385"/>
      <c r="D27" s="511" t="n">
        <f aca="false">B27</f>
        <v>0</v>
      </c>
      <c r="E27" s="862" t="n">
        <v>0</v>
      </c>
      <c r="F27" s="862" t="n">
        <v>0</v>
      </c>
      <c r="G27" s="862" t="n">
        <v>0</v>
      </c>
      <c r="H27" s="862" t="n">
        <v>0</v>
      </c>
      <c r="I27" s="862" t="n">
        <v>0</v>
      </c>
      <c r="J27" s="862" t="n">
        <v>0</v>
      </c>
      <c r="K27" s="862" t="n">
        <v>0</v>
      </c>
      <c r="L27" s="862" t="n">
        <v>0</v>
      </c>
      <c r="M27" s="862" t="n">
        <v>0</v>
      </c>
      <c r="N27" s="862" t="n">
        <v>0</v>
      </c>
      <c r="O27" s="862" t="n">
        <v>0</v>
      </c>
      <c r="P27" s="862" t="n">
        <v>0</v>
      </c>
      <c r="Q27" s="862" t="n">
        <v>0</v>
      </c>
      <c r="R27" s="862" t="n">
        <v>0</v>
      </c>
      <c r="S27" s="862" t="n">
        <v>0</v>
      </c>
      <c r="T27" s="862" t="n">
        <v>0</v>
      </c>
      <c r="U27" s="862" t="n">
        <v>0</v>
      </c>
      <c r="V27" s="862" t="n">
        <v>0</v>
      </c>
      <c r="W27" s="862" t="n">
        <v>0</v>
      </c>
      <c r="X27" s="862" t="n">
        <v>0</v>
      </c>
      <c r="Y27" s="862" t="n">
        <v>0</v>
      </c>
      <c r="Z27" s="862" t="n">
        <v>0</v>
      </c>
      <c r="AA27" s="862" t="n">
        <v>0</v>
      </c>
      <c r="AB27" s="863" t="n">
        <v>0</v>
      </c>
      <c r="AC27" s="861"/>
      <c r="AD27" s="861"/>
      <c r="AE27" s="729"/>
    </row>
    <row r="28" customFormat="false" ht="12" hidden="false" customHeight="true" outlineLevel="0" collapsed="false">
      <c r="A28" s="864" t="s">
        <v>640</v>
      </c>
      <c r="B28" s="659" t="n">
        <f aca="false">SUM(B24:B27)</f>
        <v>173977.95</v>
      </c>
      <c r="C28" s="474"/>
      <c r="D28" s="659" t="n">
        <f aca="false">SUM(D24:D27)</f>
        <v>8834.93676666667</v>
      </c>
      <c r="E28" s="659" t="n">
        <f aca="false">SUM(E24:E27)</f>
        <v>16742.167095</v>
      </c>
      <c r="F28" s="659" t="n">
        <f aca="false">SUM(F24:F27)</f>
        <v>15108.7621655</v>
      </c>
      <c r="G28" s="659" t="n">
        <f aca="false">SUM(G24:G27)</f>
        <v>13647.294597</v>
      </c>
      <c r="H28" s="659" t="n">
        <f aca="false">SUM(H24:H27)</f>
        <v>12323.3769173</v>
      </c>
      <c r="I28" s="659" t="n">
        <f aca="false">SUM(I24:I27)</f>
        <v>10881.7466736333</v>
      </c>
      <c r="J28" s="659" t="n">
        <f aca="false">SUM(J24:J27)</f>
        <v>10144.304299</v>
      </c>
      <c r="K28" s="659" t="n">
        <f aca="false">SUM(K24:K27)</f>
        <v>10161.4980351</v>
      </c>
      <c r="L28" s="659" t="n">
        <f aca="false">SUM(L24:L27)</f>
        <v>10144.304299</v>
      </c>
      <c r="M28" s="659" t="n">
        <f aca="false">SUM(M24:M27)</f>
        <v>10161.4980351</v>
      </c>
      <c r="N28" s="659" t="n">
        <f aca="false">SUM(N24:N27)</f>
        <v>10144.304299</v>
      </c>
      <c r="O28" s="659" t="n">
        <f aca="false">SUM(O24:O27)</f>
        <v>10161.4980351</v>
      </c>
      <c r="P28" s="659" t="n">
        <f aca="false">SUM(P24:P27)</f>
        <v>10144.304299</v>
      </c>
      <c r="Q28" s="659" t="n">
        <f aca="false">SUM(Q24:Q27)</f>
        <v>10161.4980351</v>
      </c>
      <c r="R28" s="659" t="n">
        <f aca="false">SUM(R24:R27)</f>
        <v>10144.304299</v>
      </c>
      <c r="S28" s="659" t="n">
        <f aca="false">SUM(S24:S27)</f>
        <v>5072.1521495</v>
      </c>
      <c r="T28" s="659" t="n">
        <f aca="false">SUM(T24:T27)</f>
        <v>0</v>
      </c>
      <c r="U28" s="659" t="n">
        <f aca="false">SUM(U24:U27)</f>
        <v>0</v>
      </c>
      <c r="V28" s="659" t="n">
        <f aca="false">SUM(V24:V27)</f>
        <v>0</v>
      </c>
      <c r="W28" s="659" t="n">
        <f aca="false">SUM(W24:W27)</f>
        <v>0</v>
      </c>
      <c r="X28" s="659" t="n">
        <f aca="false">SUM(X24:X27)</f>
        <v>0</v>
      </c>
      <c r="Y28" s="659" t="n">
        <f aca="false">SUM(Y24:Y27)</f>
        <v>0</v>
      </c>
      <c r="Z28" s="659" t="n">
        <f aca="false">SUM(Z24:Z27)</f>
        <v>0</v>
      </c>
      <c r="AA28" s="659" t="n">
        <f aca="false">SUM(AA24:AA27)</f>
        <v>0</v>
      </c>
      <c r="AB28" s="660" t="n">
        <f aca="false">SUM(AB24:AB27)</f>
        <v>0</v>
      </c>
      <c r="AC28" s="861"/>
      <c r="AD28" s="861"/>
      <c r="AE28" s="729"/>
    </row>
    <row r="29" customFormat="false" ht="12" hidden="false" customHeight="true" outlineLevel="0" collapsed="false"/>
    <row r="30" customFormat="false" ht="12" hidden="false" customHeight="true" outlineLevel="0" collapsed="false">
      <c r="A30" s="849" t="s">
        <v>642</v>
      </c>
      <c r="B30" s="381"/>
      <c r="C30" s="381"/>
      <c r="D30" s="381"/>
      <c r="E30" s="381"/>
      <c r="F30" s="381"/>
      <c r="G30" s="381"/>
      <c r="H30" s="381"/>
      <c r="I30" s="381"/>
      <c r="J30" s="381"/>
      <c r="K30" s="381"/>
      <c r="L30" s="381"/>
      <c r="M30" s="381"/>
      <c r="N30" s="381"/>
      <c r="O30" s="381"/>
      <c r="P30" s="381"/>
      <c r="Q30" s="381"/>
      <c r="R30" s="381"/>
      <c r="S30" s="381"/>
      <c r="T30" s="381"/>
      <c r="U30" s="381"/>
      <c r="V30" s="381"/>
      <c r="W30" s="381"/>
      <c r="X30" s="381"/>
      <c r="Y30" s="381"/>
      <c r="Z30" s="381"/>
      <c r="AA30" s="381"/>
      <c r="AB30" s="517"/>
      <c r="AE30" s="854"/>
    </row>
    <row r="31" customFormat="false" ht="12" hidden="false" customHeight="true" outlineLevel="0" collapsed="false">
      <c r="A31" s="867"/>
      <c r="B31" s="712" t="s">
        <v>290</v>
      </c>
      <c r="C31" s="69" t="s">
        <v>643</v>
      </c>
      <c r="D31" s="385" t="n">
        <v>1</v>
      </c>
      <c r="E31" s="385" t="n">
        <f aca="false">D31+1</f>
        <v>2</v>
      </c>
      <c r="F31" s="385" t="n">
        <f aca="false">E31+1</f>
        <v>3</v>
      </c>
      <c r="G31" s="385" t="n">
        <f aca="false">F31+1</f>
        <v>4</v>
      </c>
      <c r="H31" s="385" t="n">
        <f aca="false">G31+1</f>
        <v>5</v>
      </c>
      <c r="I31" s="385" t="n">
        <f aca="false">H31+1</f>
        <v>6</v>
      </c>
      <c r="J31" s="385" t="n">
        <f aca="false">I31+1</f>
        <v>7</v>
      </c>
      <c r="K31" s="385" t="n">
        <f aca="false">J31+1</f>
        <v>8</v>
      </c>
      <c r="L31" s="385" t="n">
        <f aca="false">K31+1</f>
        <v>9</v>
      </c>
      <c r="M31" s="385" t="n">
        <f aca="false">L31+1</f>
        <v>10</v>
      </c>
      <c r="N31" s="385" t="n">
        <f aca="false">M31+1</f>
        <v>11</v>
      </c>
      <c r="O31" s="385" t="n">
        <f aca="false">N31+1</f>
        <v>12</v>
      </c>
      <c r="P31" s="385" t="n">
        <f aca="false">O31+1</f>
        <v>13</v>
      </c>
      <c r="Q31" s="385" t="n">
        <f aca="false">P31+1</f>
        <v>14</v>
      </c>
      <c r="R31" s="385" t="n">
        <f aca="false">Q31+1</f>
        <v>15</v>
      </c>
      <c r="S31" s="385" t="n">
        <f aca="false">R31+1</f>
        <v>16</v>
      </c>
      <c r="T31" s="385" t="n">
        <f aca="false">S31+1</f>
        <v>17</v>
      </c>
      <c r="U31" s="385" t="n">
        <f aca="false">T31+1</f>
        <v>18</v>
      </c>
      <c r="V31" s="385" t="n">
        <f aca="false">U31+1</f>
        <v>19</v>
      </c>
      <c r="W31" s="385" t="n">
        <f aca="false">V31+1</f>
        <v>20</v>
      </c>
      <c r="X31" s="385" t="n">
        <f aca="false">W31+1</f>
        <v>21</v>
      </c>
      <c r="Y31" s="385" t="n">
        <f aca="false">X31+1</f>
        <v>22</v>
      </c>
      <c r="Z31" s="385" t="n">
        <f aca="false">Y31+1</f>
        <v>23</v>
      </c>
      <c r="AA31" s="385" t="n">
        <f aca="false">Z31+1</f>
        <v>24</v>
      </c>
      <c r="AB31" s="415" t="n">
        <f aca="false">AA31+1</f>
        <v>25</v>
      </c>
      <c r="AE31" s="854"/>
    </row>
    <row r="32" customFormat="false" ht="12" hidden="false" customHeight="true" outlineLevel="0" collapsed="false">
      <c r="A32" s="720" t="s">
        <v>644</v>
      </c>
      <c r="B32" s="855" t="n">
        <v>30</v>
      </c>
      <c r="C32" s="870" t="n">
        <f aca="false">'Project Assumptions'!U18</f>
        <v>0.1</v>
      </c>
      <c r="D32" s="469" t="n">
        <f aca="false">((1-$C$32)/$B$32)*'Book Income Statement'!D$6/12</f>
        <v>0.0175</v>
      </c>
      <c r="E32" s="469" t="n">
        <f aca="false">IF(E31&lt;=$B$32,(1-$C$32)/$B$32,IF(E31=$B$32+1,(1/$B32)-$D$32,0))</f>
        <v>0.03</v>
      </c>
      <c r="F32" s="469" t="n">
        <f aca="false">IF(F31&lt;=$B$32,(1-$C$32)/$B$32,IF(F31=$B$32+1,(1/$B32)-$D$32,0))</f>
        <v>0.03</v>
      </c>
      <c r="G32" s="469" t="n">
        <f aca="false">IF(G31&lt;=$B$32,(1-$C$32)/$B$32,IF(G31=$B$32+1,(1/$B32)-$D$32,0))</f>
        <v>0.03</v>
      </c>
      <c r="H32" s="469" t="n">
        <f aca="false">IF(H31&lt;=$B$32,(1-$C$32)/$B$32,IF(H31=$B$32+1,(1/$B32)-$D$32,0))</f>
        <v>0.03</v>
      </c>
      <c r="I32" s="469" t="n">
        <f aca="false">IF(I31&lt;=$B$32,(1-$C$32)/$B$32,IF(I31=$B$32+1,(1/$B32)-$D$32,0))</f>
        <v>0.03</v>
      </c>
      <c r="J32" s="469" t="n">
        <f aca="false">IF(J31&lt;=$B$32,(1-$C$32)/$B$32,IF(J31=$B$32+1,(1/$B32)-$D$32,0))</f>
        <v>0.03</v>
      </c>
      <c r="K32" s="469" t="n">
        <f aca="false">IF(K31&lt;=$B$32,(1-$C$32)/$B$32,IF(K31=$B$32+1,(1/$B32)-$D$32,0))</f>
        <v>0.03</v>
      </c>
      <c r="L32" s="469" t="n">
        <f aca="false">IF(L31&lt;=$B$32,(1-$C$32)/$B$32,IF(L31=$B$32+1,(1/$B32)-$D$32,0))</f>
        <v>0.03</v>
      </c>
      <c r="M32" s="469" t="n">
        <f aca="false">IF(M31&lt;=$B$32,(1-$C$32)/$B$32,IF(M31=$B$32+1,(1/$B32)-$D$32,0))</f>
        <v>0.03</v>
      </c>
      <c r="N32" s="469" t="n">
        <f aca="false">IF(N31&lt;=$B$32,(1-$C$32)/$B$32,IF(N31=$B$32+1,(1/$B32)-$D$32,0))</f>
        <v>0.03</v>
      </c>
      <c r="O32" s="469" t="n">
        <f aca="false">IF(O31&lt;=$B$32,(1-$C$32)/$B$32,IF(O31=$B$32+1,(1/$B32)-$D$32,0))</f>
        <v>0.03</v>
      </c>
      <c r="P32" s="469" t="n">
        <f aca="false">IF(P31&lt;=$B$32,(1-$C$32)/$B$32,IF(P31=$B$32+1,(1/$B32)-$D$32,0))</f>
        <v>0.03</v>
      </c>
      <c r="Q32" s="469" t="n">
        <f aca="false">IF(Q31&lt;=$B$32,(1-$C$32)/$B$32,IF(Q31=$B$32+1,(1/$B32)-$D$32,0))</f>
        <v>0.03</v>
      </c>
      <c r="R32" s="469" t="n">
        <f aca="false">IF(R31&lt;=$B$32,(1-$C$32)/$B$32,IF(R31=$B$32+1,(1/$B32)-$D$32,0))</f>
        <v>0.03</v>
      </c>
      <c r="S32" s="469" t="n">
        <f aca="false">IF(S31&lt;=$B$32,(1-$C$32)/$B$32,IF(S31=$B$32+1,(1/$B32)-$D$32,0))</f>
        <v>0.03</v>
      </c>
      <c r="T32" s="469" t="n">
        <f aca="false">IF(T31&lt;=$B$32,(1-$C$32)/$B$32,IF(T31=$B$32+1,(1/$B32)-$D$32,0))</f>
        <v>0.03</v>
      </c>
      <c r="U32" s="469" t="n">
        <f aca="false">IF(U31&lt;=$B$32,(1-$C$32)/$B$32,IF(U31=$B$32+1,(1/$B32)-$D$32,0))</f>
        <v>0.03</v>
      </c>
      <c r="V32" s="469" t="n">
        <f aca="false">IF(V31&lt;=$B$32,(1-$C$32)/$B$32,IF(V31=$B$32+1,(1/$B32)-$D$32,0))</f>
        <v>0.03</v>
      </c>
      <c r="W32" s="469" t="n">
        <f aca="false">IF(W31&lt;=$B$32,(1-$C$32)/$B$32,IF(W31=$B$32+1,(1/$B32)-$D$32,0))</f>
        <v>0.03</v>
      </c>
      <c r="X32" s="469" t="n">
        <f aca="false">IF(X31&lt;=$B$32,(1-$C$32)/$B$32,IF(X31=$B$32+1,(1/$B32)-$D$32,0))</f>
        <v>0.03</v>
      </c>
      <c r="Y32" s="469" t="n">
        <f aca="false">IF(Y31&lt;=$B$32,(1-$C$32)/$B$32,IF(Y31=$B$32+1,(1/$B32)-$D$32,0))</f>
        <v>0.03</v>
      </c>
      <c r="Z32" s="469" t="n">
        <f aca="false">IF(Z31&lt;=$B$32,(1-$C$32)/$B$32,IF(Z31=$B$32+1,(1/$B32)-$D$32,0))</f>
        <v>0.03</v>
      </c>
      <c r="AA32" s="469" t="n">
        <f aca="false">IF(AA31&lt;=$B$32,(1-$C$32)/$B$32,IF(AA31=$B$32+1,(1/$B32)-$D$32,0))</f>
        <v>0.03</v>
      </c>
      <c r="AB32" s="856" t="n">
        <f aca="false">IF(AB31&lt;=$B$32,(1-$C$32)/$B$32,IF(AB31=$B$32+1,(1/$B32)-$D$32,0))</f>
        <v>0.03</v>
      </c>
      <c r="AC32" s="871"/>
      <c r="AD32" s="857"/>
      <c r="AE32" s="858"/>
    </row>
    <row r="33" customFormat="false" ht="12" hidden="false" customHeight="true" outlineLevel="0" collapsed="false">
      <c r="A33" s="720" t="s">
        <v>634</v>
      </c>
      <c r="B33" s="855" t="n">
        <v>5</v>
      </c>
      <c r="C33" s="385"/>
      <c r="D33" s="469" t="n">
        <f aca="false">(1/$B33)*'Book Income Statement'!D$6/12</f>
        <v>0.116666666666667</v>
      </c>
      <c r="E33" s="469" t="n">
        <f aca="false">IF(E31&lt;=$B$33,(1/$B33),IF(E31=$B$33+1,(1/$B33)-$D$33,0))</f>
        <v>0.2</v>
      </c>
      <c r="F33" s="469" t="n">
        <f aca="false">IF(F31&lt;=$B$33,(1/$B33),IF(F31=$B$33+1,(1/$B33)-$D$33,0))</f>
        <v>0.2</v>
      </c>
      <c r="G33" s="469" t="n">
        <f aca="false">IF(G31&lt;=$B$33,(1/$B33),IF(G31=$B$33+1,(1/$B33)-$D$33,0))</f>
        <v>0.2</v>
      </c>
      <c r="H33" s="469" t="n">
        <f aca="false">IF(H31&lt;=$B$33,(1/$B33),IF(H31=$B$33+1,(1/$B33)-$D$33,0))</f>
        <v>0.2</v>
      </c>
      <c r="I33" s="469" t="n">
        <f aca="false">IF(I31&lt;=$B$33,(1/$B33),IF(I31=$B$33+1,(1/$B33)-$D$33,0))</f>
        <v>0.0833333333333333</v>
      </c>
      <c r="J33" s="469" t="n">
        <f aca="false">IF(J31&lt;=$B$33,(1/$B33),IF(J31=$B$33+1,(1/$B33)-$D$33,0))</f>
        <v>0</v>
      </c>
      <c r="K33" s="469" t="n">
        <f aca="false">IF(K31&lt;=$B$33,(1/$B33),IF(K31=$B$33+1,(1/$B33)-$D$33,0))</f>
        <v>0</v>
      </c>
      <c r="L33" s="469" t="n">
        <f aca="false">IF(L31&lt;=$B$33,(1/$B33),IF(L31=$B$33+1,(1/$B33)-$D$33,0))</f>
        <v>0</v>
      </c>
      <c r="M33" s="469" t="n">
        <f aca="false">IF(M31&lt;=$B$33,(1/$B33),IF(M31=$B$33+1,(1/$B33)-$D$33,0))</f>
        <v>0</v>
      </c>
      <c r="N33" s="469" t="n">
        <f aca="false">IF(N31&lt;=$B$33,(1/$B33),IF(N31=$B$33+1,(1/$B33)-$D$33,0))</f>
        <v>0</v>
      </c>
      <c r="O33" s="469" t="n">
        <f aca="false">IF(O31&lt;=$B$33,(1/$B33),IF(O31=$B$33+1,(1/$B33)-$D$33,0))</f>
        <v>0</v>
      </c>
      <c r="P33" s="469" t="n">
        <f aca="false">IF(P31&lt;=$B$33,(1/$B33),IF(P31=$B$33+1,(1/$B33)-$D$33,0))</f>
        <v>0</v>
      </c>
      <c r="Q33" s="469" t="n">
        <f aca="false">IF(Q31&lt;=$B$33,(1/$B33),IF(Q31=$B$33+1,(1/$B33)-$D$33,0))</f>
        <v>0</v>
      </c>
      <c r="R33" s="469" t="n">
        <f aca="false">IF(R31&lt;=$B$33,(1/$B33),IF(R31=$B$33+1,(1/$B33)-$D$33,0))</f>
        <v>0</v>
      </c>
      <c r="S33" s="469" t="n">
        <f aca="false">IF(S31&lt;=$B$33,(1/$B33),IF(S31=$B$33+1,(1/$B33)-$D$33,0))</f>
        <v>0</v>
      </c>
      <c r="T33" s="469" t="n">
        <f aca="false">IF(T31&lt;=$B$33,(1/$B33),IF(T31=$B$33+1,(1/$B33)-$D$33,0))</f>
        <v>0</v>
      </c>
      <c r="U33" s="469" t="n">
        <f aca="false">IF(U31&lt;=$B$33,(1/$B33),IF(U31=$B$33+1,(1/$B33)-$D$33,0))</f>
        <v>0</v>
      </c>
      <c r="V33" s="469" t="n">
        <f aca="false">IF(V31&lt;=$B$33,(1/$B33),IF(V31=$B$33+1,(1/$B33)-$D$33,0))</f>
        <v>0</v>
      </c>
      <c r="W33" s="469" t="n">
        <f aca="false">IF(W31&lt;=$B$33,(1/$B33),IF(W31=$B$33+1,(1/$B33)-$D$33,0))</f>
        <v>0</v>
      </c>
      <c r="X33" s="469" t="n">
        <f aca="false">IF(X31&lt;=$B$33,(1/$B33),IF(X31=$B$33+1,(1/$B33)-$D$33,0))</f>
        <v>0</v>
      </c>
      <c r="Y33" s="469" t="n">
        <f aca="false">IF(Y31&lt;=$B$33,(1/$B33),IF(Y31=$B$33+1,(1/$B33)-$D$33,0))</f>
        <v>0</v>
      </c>
      <c r="Z33" s="469" t="n">
        <f aca="false">IF(Z31&lt;=$B$33,(1/$B33),IF(Z31=$B$33+1,(1/$B33)-$D$33,0))</f>
        <v>0</v>
      </c>
      <c r="AA33" s="469" t="n">
        <f aca="false">IF(AA31&lt;=$B$33,(1/$B33),IF(AA31=$B$33+1,(1/$B33)-$D$33,0))</f>
        <v>0</v>
      </c>
      <c r="AB33" s="856" t="n">
        <f aca="false">IF(AB31&lt;=$B$33,(1/$B33),IF(AB31=$B$33+1,(1/$B33)-$D$33,0))</f>
        <v>0</v>
      </c>
      <c r="AD33" s="857"/>
      <c r="AE33" s="858"/>
    </row>
    <row r="34" customFormat="false" ht="12" hidden="false" customHeight="true" outlineLevel="0" collapsed="false">
      <c r="A34" s="720" t="s">
        <v>635</v>
      </c>
      <c r="B34" s="859" t="n">
        <f aca="false">+B9</f>
        <v>20</v>
      </c>
      <c r="C34" s="385"/>
      <c r="D34" s="469" t="n">
        <f aca="false">(1/$B34)*'Book Income Statement'!D$6/12</f>
        <v>0.0291666666666667</v>
      </c>
      <c r="E34" s="469" t="n">
        <f aca="false">IF(E31&lt;=$B$34,(1/$B34),IF(E31=$B$34+1,(1/$B34)-$D$34,0))</f>
        <v>0.05</v>
      </c>
      <c r="F34" s="469" t="n">
        <f aca="false">IF(F31&lt;=$B$34,(1/$B34),IF(F31=$B$34+1,(1/$B34)-$D$34,0))</f>
        <v>0.05</v>
      </c>
      <c r="G34" s="469" t="n">
        <f aca="false">IF(G31&lt;=$B$34,(1/$B34),IF(G31=$B$34+1,(1/$B34)-$D$34,0))</f>
        <v>0.05</v>
      </c>
      <c r="H34" s="469" t="n">
        <f aca="false">IF(H31&lt;=$B$34,(1/$B34),IF(H31=$B$34+1,(1/$B34)-$D$34,0))</f>
        <v>0.05</v>
      </c>
      <c r="I34" s="469" t="n">
        <f aca="false">IF(I31&lt;=$B$34,(1/$B34),IF(I31=$B$34+1,(1/$B34)-$D$34,0))</f>
        <v>0.05</v>
      </c>
      <c r="J34" s="469" t="n">
        <f aca="false">IF(J31&lt;=$B$34,(1/$B34),IF(J31=$B$34+1,(1/$B34)-$D$34,0))</f>
        <v>0.05</v>
      </c>
      <c r="K34" s="469" t="n">
        <f aca="false">IF(K31&lt;=$B$34,(1/$B34),IF(K31=$B$34+1,(1/$B34)-$D$34,0))</f>
        <v>0.05</v>
      </c>
      <c r="L34" s="469" t="n">
        <f aca="false">IF(L31&lt;=$B$34,(1/$B34),IF(L31=$B$34+1,(1/$B34)-$D$34,0))</f>
        <v>0.05</v>
      </c>
      <c r="M34" s="469" t="n">
        <f aca="false">IF(M31&lt;=$B$34,(1/$B34),IF(M31=$B$34+1,(1/$B34)-$D$34,0))</f>
        <v>0.05</v>
      </c>
      <c r="N34" s="469" t="n">
        <f aca="false">IF(N31&lt;=$B$34,(1/$B34),IF(N31=$B$34+1,(1/$B34)-$D$34,0))</f>
        <v>0.05</v>
      </c>
      <c r="O34" s="469" t="n">
        <f aca="false">IF(O31&lt;=$B$34,(1/$B34),IF(O31=$B$34+1,(1/$B34)-$D$34,0))</f>
        <v>0.05</v>
      </c>
      <c r="P34" s="469" t="n">
        <f aca="false">IF(P31&lt;=$B$34,(1/$B34),IF(P31=$B$34+1,(1/$B34)-$D$34,0))</f>
        <v>0.05</v>
      </c>
      <c r="Q34" s="469" t="n">
        <f aca="false">IF(Q31&lt;=$B$34,(1/$B34),IF(Q31=$B$34+1,(1/$B34)-$D$34,0))</f>
        <v>0.05</v>
      </c>
      <c r="R34" s="469" t="n">
        <f aca="false">IF(R31&lt;=$B$34,(1/$B34),IF(R31=$B$34+1,(1/$B34)-$D$34,0))</f>
        <v>0.05</v>
      </c>
      <c r="S34" s="469" t="n">
        <f aca="false">IF(S31&lt;=$B$34,(1/$B34),IF(S31=$B$34+1,(1/$B34)-$D$34,0))</f>
        <v>0.05</v>
      </c>
      <c r="T34" s="469" t="n">
        <f aca="false">IF(T31&lt;=$B$34,(1/$B34),IF(T31=$B$34+1,(1/$B34)-$D$34,0))</f>
        <v>0.05</v>
      </c>
      <c r="U34" s="469" t="n">
        <f aca="false">IF(U31&lt;=$B$34,(1/$B34),IF(U31=$B$34+1,(1/$B34)-$D$34,0))</f>
        <v>0.05</v>
      </c>
      <c r="V34" s="469" t="n">
        <f aca="false">IF(V31&lt;=$B$34,(1/$B34),IF(V31=$B$34+1,(1/$B34)-$D$34,0))</f>
        <v>0.05</v>
      </c>
      <c r="W34" s="469" t="n">
        <f aca="false">IF(W31&lt;=$B$34,(1/$B34),IF(W31=$B$34+1,(1/$B34)-$D$34,0))</f>
        <v>0.05</v>
      </c>
      <c r="X34" s="469" t="n">
        <f aca="false">IF(X31&lt;=$B$34,(1/$B34),IF(X31=$B$34+1,(1/$B34)-$D$34,0))</f>
        <v>0.0208333333333333</v>
      </c>
      <c r="Y34" s="469" t="n">
        <f aca="false">IF(Y31&lt;=$B$34,(1/$B34),IF(Y31=$B$34+1,(1/$B34)-$D$34,0))</f>
        <v>0</v>
      </c>
      <c r="Z34" s="469" t="n">
        <f aca="false">IF(Z31&lt;=$B$34,(1/$B34),IF(Z31=$B$34+1,(1/$B34)-$D$34,0))</f>
        <v>0</v>
      </c>
      <c r="AA34" s="469" t="n">
        <f aca="false">IF(AA31&lt;=$B$34,(1/$B34),IF(AA31=$B$34+1,(1/$B34)-$D$34,0))</f>
        <v>0</v>
      </c>
      <c r="AB34" s="856" t="n">
        <f aca="false">IF(AB31&lt;=$B$34,(1/$B34),IF(AB31=$B$34+1,(1/$B34)-$D$34,0))</f>
        <v>0</v>
      </c>
      <c r="AD34" s="857"/>
      <c r="AE34" s="858"/>
    </row>
    <row r="35" customFormat="false" ht="12" hidden="false" customHeight="true" outlineLevel="0" collapsed="false">
      <c r="A35" s="410"/>
      <c r="B35" s="712"/>
      <c r="C35" s="385"/>
      <c r="D35" s="385"/>
      <c r="E35" s="385"/>
      <c r="F35" s="385"/>
      <c r="G35" s="385"/>
      <c r="H35" s="385"/>
      <c r="I35" s="385"/>
      <c r="J35" s="385"/>
      <c r="K35" s="385"/>
      <c r="L35" s="385"/>
      <c r="M35" s="385"/>
      <c r="N35" s="385"/>
      <c r="O35" s="385"/>
      <c r="P35" s="385"/>
      <c r="Q35" s="385"/>
      <c r="R35" s="385"/>
      <c r="S35" s="385"/>
      <c r="T35" s="385"/>
      <c r="U35" s="385"/>
      <c r="V35" s="385"/>
      <c r="W35" s="385"/>
      <c r="X35" s="385"/>
      <c r="Y35" s="385"/>
      <c r="Z35" s="385"/>
      <c r="AA35" s="385"/>
      <c r="AB35" s="415"/>
    </row>
    <row r="36" customFormat="false" ht="12" hidden="false" customHeight="true" outlineLevel="0" collapsed="false">
      <c r="A36" s="720" t="s">
        <v>645</v>
      </c>
      <c r="B36" s="30" t="n">
        <f aca="false">B11</f>
        <v>171937.361</v>
      </c>
      <c r="C36" s="385"/>
      <c r="D36" s="30" t="n">
        <f aca="false">D32*$B$36</f>
        <v>3008.9038175</v>
      </c>
      <c r="E36" s="30" t="n">
        <f aca="false">E32*$B$36</f>
        <v>5158.12083</v>
      </c>
      <c r="F36" s="30" t="n">
        <f aca="false">F32*$B$36</f>
        <v>5158.12083</v>
      </c>
      <c r="G36" s="30" t="n">
        <f aca="false">G32*$B$36</f>
        <v>5158.12083</v>
      </c>
      <c r="H36" s="30" t="n">
        <f aca="false">H32*$B$36</f>
        <v>5158.12083</v>
      </c>
      <c r="I36" s="30" t="n">
        <f aca="false">I32*$B$36</f>
        <v>5158.12083</v>
      </c>
      <c r="J36" s="30" t="n">
        <f aca="false">J32*$B$36</f>
        <v>5158.12083</v>
      </c>
      <c r="K36" s="30" t="n">
        <f aca="false">K32*$B$36</f>
        <v>5158.12083</v>
      </c>
      <c r="L36" s="30" t="n">
        <f aca="false">L32*$B$36</f>
        <v>5158.12083</v>
      </c>
      <c r="M36" s="30" t="n">
        <f aca="false">M32*$B$36</f>
        <v>5158.12083</v>
      </c>
      <c r="N36" s="30" t="n">
        <f aca="false">N32*$B$36</f>
        <v>5158.12083</v>
      </c>
      <c r="O36" s="30" t="n">
        <f aca="false">O32*$B$36</f>
        <v>5158.12083</v>
      </c>
      <c r="P36" s="30" t="n">
        <f aca="false">P32*$B$36</f>
        <v>5158.12083</v>
      </c>
      <c r="Q36" s="30" t="n">
        <f aca="false">Q32*$B$36</f>
        <v>5158.12083</v>
      </c>
      <c r="R36" s="30" t="n">
        <f aca="false">R32*$B$36</f>
        <v>5158.12083</v>
      </c>
      <c r="S36" s="30" t="n">
        <f aca="false">S32*$B$36</f>
        <v>5158.12083</v>
      </c>
      <c r="T36" s="30" t="n">
        <f aca="false">T32*$B$36</f>
        <v>5158.12083</v>
      </c>
      <c r="U36" s="30" t="n">
        <f aca="false">U32*$B$36</f>
        <v>5158.12083</v>
      </c>
      <c r="V36" s="30" t="n">
        <f aca="false">V32*$B$36</f>
        <v>5158.12083</v>
      </c>
      <c r="W36" s="30" t="n">
        <f aca="false">W32*$B$36</f>
        <v>5158.12083</v>
      </c>
      <c r="X36" s="30" t="n">
        <f aca="false">X32*$B$36</f>
        <v>5158.12083</v>
      </c>
      <c r="Y36" s="30" t="n">
        <f aca="false">Y32*$B$36</f>
        <v>5158.12083</v>
      </c>
      <c r="Z36" s="30" t="n">
        <f aca="false">Z32*$B$36</f>
        <v>5158.12083</v>
      </c>
      <c r="AA36" s="30" t="n">
        <f aca="false">AA32*$B$36</f>
        <v>5158.12083</v>
      </c>
      <c r="AB36" s="437" t="n">
        <f aca="false">AB32*$B$36</f>
        <v>5158.12083</v>
      </c>
      <c r="AC36" s="861"/>
      <c r="AD36" s="861"/>
      <c r="AE36" s="861"/>
    </row>
    <row r="37" customFormat="false" ht="12" hidden="false" customHeight="true" outlineLevel="0" collapsed="false">
      <c r="A37" s="720" t="s">
        <v>637</v>
      </c>
      <c r="B37" s="30" t="n">
        <f aca="false">B12</f>
        <v>2040.589</v>
      </c>
      <c r="C37" s="385"/>
      <c r="D37" s="33" t="n">
        <f aca="false">D33*$B$37</f>
        <v>238.068716666667</v>
      </c>
      <c r="E37" s="33" t="n">
        <f aca="false">E33*$B$37</f>
        <v>408.1178</v>
      </c>
      <c r="F37" s="33" t="n">
        <f aca="false">F33*$B$37</f>
        <v>408.1178</v>
      </c>
      <c r="G37" s="33" t="n">
        <f aca="false">G33*$B$37</f>
        <v>408.1178</v>
      </c>
      <c r="H37" s="33" t="n">
        <f aca="false">H33*$B$37</f>
        <v>408.1178</v>
      </c>
      <c r="I37" s="33" t="n">
        <f aca="false">I33*$B$37</f>
        <v>170.049083333333</v>
      </c>
      <c r="J37" s="33" t="n">
        <f aca="false">J33*$B$37</f>
        <v>0</v>
      </c>
      <c r="K37" s="33" t="n">
        <f aca="false">K33*$B$37</f>
        <v>0</v>
      </c>
      <c r="L37" s="33" t="n">
        <f aca="false">L33*$B$37</f>
        <v>0</v>
      </c>
      <c r="M37" s="33" t="n">
        <f aca="false">M33*$B$37</f>
        <v>0</v>
      </c>
      <c r="N37" s="33" t="n">
        <f aca="false">N33*$B$37</f>
        <v>0</v>
      </c>
      <c r="O37" s="33" t="n">
        <f aca="false">O33*$B$37</f>
        <v>0</v>
      </c>
      <c r="P37" s="33" t="n">
        <f aca="false">P33*$B$37</f>
        <v>0</v>
      </c>
      <c r="Q37" s="33" t="n">
        <f aca="false">Q33*$B$37</f>
        <v>0</v>
      </c>
      <c r="R37" s="33" t="n">
        <f aca="false">R33*$B$37</f>
        <v>0</v>
      </c>
      <c r="S37" s="33" t="n">
        <f aca="false">S33*$B$37</f>
        <v>0</v>
      </c>
      <c r="T37" s="33" t="n">
        <f aca="false">T33*$B$37</f>
        <v>0</v>
      </c>
      <c r="U37" s="33" t="n">
        <f aca="false">U33*$B$37</f>
        <v>0</v>
      </c>
      <c r="V37" s="33" t="n">
        <f aca="false">V33*$B$37</f>
        <v>0</v>
      </c>
      <c r="W37" s="33" t="n">
        <f aca="false">W33*$B$37</f>
        <v>0</v>
      </c>
      <c r="X37" s="33" t="n">
        <f aca="false">X33*$B$37</f>
        <v>0</v>
      </c>
      <c r="Y37" s="33" t="n">
        <f aca="false">Y33*$B$37</f>
        <v>0</v>
      </c>
      <c r="Z37" s="33" t="n">
        <f aca="false">Z33*$B$37</f>
        <v>0</v>
      </c>
      <c r="AA37" s="33" t="n">
        <f aca="false">AA33*$B$37</f>
        <v>0</v>
      </c>
      <c r="AB37" s="724" t="n">
        <f aca="false">AB33*$B$37</f>
        <v>0</v>
      </c>
      <c r="AC37" s="861"/>
      <c r="AD37" s="861"/>
      <c r="AE37" s="729"/>
    </row>
    <row r="38" customFormat="false" ht="12" hidden="false" customHeight="true" outlineLevel="0" collapsed="false">
      <c r="A38" s="720" t="s">
        <v>638</v>
      </c>
      <c r="B38" s="33" t="n">
        <f aca="false">B13</f>
        <v>0</v>
      </c>
      <c r="C38" s="385"/>
      <c r="D38" s="33" t="n">
        <f aca="false">D34*$B$38</f>
        <v>0</v>
      </c>
      <c r="E38" s="33" t="n">
        <f aca="false">E34*$B$38</f>
        <v>0</v>
      </c>
      <c r="F38" s="33" t="n">
        <f aca="false">F34*$B$38</f>
        <v>0</v>
      </c>
      <c r="G38" s="33" t="n">
        <f aca="false">G34*$B$38</f>
        <v>0</v>
      </c>
      <c r="H38" s="33" t="n">
        <f aca="false">H34*$B$38</f>
        <v>0</v>
      </c>
      <c r="I38" s="33" t="n">
        <f aca="false">I34*$B$38</f>
        <v>0</v>
      </c>
      <c r="J38" s="33" t="n">
        <f aca="false">J34*$B$38</f>
        <v>0</v>
      </c>
      <c r="K38" s="33" t="n">
        <f aca="false">K34*$B$38</f>
        <v>0</v>
      </c>
      <c r="L38" s="33" t="n">
        <f aca="false">L34*$B$38</f>
        <v>0</v>
      </c>
      <c r="M38" s="33" t="n">
        <f aca="false">M34*$B$38</f>
        <v>0</v>
      </c>
      <c r="N38" s="33" t="n">
        <f aca="false">N34*$B$38</f>
        <v>0</v>
      </c>
      <c r="O38" s="33" t="n">
        <f aca="false">O34*$B$38</f>
        <v>0</v>
      </c>
      <c r="P38" s="33" t="n">
        <f aca="false">P34*$B$38</f>
        <v>0</v>
      </c>
      <c r="Q38" s="33" t="n">
        <f aca="false">Q34*$B$38</f>
        <v>0</v>
      </c>
      <c r="R38" s="33" t="n">
        <f aca="false">R34*$B$38</f>
        <v>0</v>
      </c>
      <c r="S38" s="33" t="n">
        <f aca="false">S34*$B$38</f>
        <v>0</v>
      </c>
      <c r="T38" s="33" t="n">
        <f aca="false">T34*$B$38</f>
        <v>0</v>
      </c>
      <c r="U38" s="33" t="n">
        <f aca="false">U34*$B$38</f>
        <v>0</v>
      </c>
      <c r="V38" s="33" t="n">
        <f aca="false">V34*$B$38</f>
        <v>0</v>
      </c>
      <c r="W38" s="33" t="n">
        <f aca="false">W34*$B$38</f>
        <v>0</v>
      </c>
      <c r="X38" s="33" t="n">
        <f aca="false">X34*$B$38</f>
        <v>0</v>
      </c>
      <c r="Y38" s="33" t="n">
        <f aca="false">Y34*$B$38</f>
        <v>0</v>
      </c>
      <c r="Z38" s="33" t="n">
        <f aca="false">Z34*$B$38</f>
        <v>0</v>
      </c>
      <c r="AA38" s="33" t="n">
        <f aca="false">AA34*$B$38</f>
        <v>0</v>
      </c>
      <c r="AB38" s="724" t="n">
        <f aca="false">AB34*$B$38</f>
        <v>0</v>
      </c>
      <c r="AC38" s="861"/>
      <c r="AD38" s="861"/>
      <c r="AE38" s="729"/>
    </row>
    <row r="39" customFormat="false" ht="12" hidden="false" customHeight="true" outlineLevel="0" collapsed="false">
      <c r="A39" s="720" t="s">
        <v>639</v>
      </c>
      <c r="B39" s="511" t="n">
        <f aca="false">B14</f>
        <v>0</v>
      </c>
      <c r="C39" s="385"/>
      <c r="D39" s="511" t="n">
        <f aca="false">B39</f>
        <v>0</v>
      </c>
      <c r="E39" s="862" t="n">
        <v>0</v>
      </c>
      <c r="F39" s="862" t="n">
        <v>0</v>
      </c>
      <c r="G39" s="862" t="n">
        <v>0</v>
      </c>
      <c r="H39" s="862" t="n">
        <v>0</v>
      </c>
      <c r="I39" s="862" t="n">
        <v>0</v>
      </c>
      <c r="J39" s="862" t="n">
        <v>0</v>
      </c>
      <c r="K39" s="862" t="n">
        <v>0</v>
      </c>
      <c r="L39" s="862" t="n">
        <v>0</v>
      </c>
      <c r="M39" s="862" t="n">
        <v>0</v>
      </c>
      <c r="N39" s="862" t="n">
        <v>0</v>
      </c>
      <c r="O39" s="862" t="n">
        <v>0</v>
      </c>
      <c r="P39" s="862" t="n">
        <v>0</v>
      </c>
      <c r="Q39" s="862" t="n">
        <v>0</v>
      </c>
      <c r="R39" s="862" t="n">
        <v>0</v>
      </c>
      <c r="S39" s="862" t="n">
        <v>0</v>
      </c>
      <c r="T39" s="862" t="n">
        <v>0</v>
      </c>
      <c r="U39" s="862" t="n">
        <v>0</v>
      </c>
      <c r="V39" s="862" t="n">
        <v>0</v>
      </c>
      <c r="W39" s="862" t="n">
        <v>0</v>
      </c>
      <c r="X39" s="862" t="n">
        <v>0</v>
      </c>
      <c r="Y39" s="862" t="n">
        <v>0</v>
      </c>
      <c r="Z39" s="862" t="n">
        <v>0</v>
      </c>
      <c r="AA39" s="862" t="n">
        <v>0</v>
      </c>
      <c r="AB39" s="863" t="n">
        <v>0</v>
      </c>
      <c r="AC39" s="861"/>
      <c r="AD39" s="861"/>
      <c r="AE39" s="729"/>
    </row>
    <row r="40" customFormat="false" ht="12" hidden="false" customHeight="true" outlineLevel="0" collapsed="false">
      <c r="A40" s="720" t="s">
        <v>646</v>
      </c>
      <c r="B40" s="30" t="n">
        <f aca="false">SUM(B36:B39)</f>
        <v>173977.95</v>
      </c>
      <c r="C40" s="385"/>
      <c r="D40" s="30" t="n">
        <f aca="false">SUM(D36:D39)</f>
        <v>3246.97253416667</v>
      </c>
      <c r="E40" s="30" t="n">
        <f aca="false">SUM(E36:E39)</f>
        <v>5566.23863</v>
      </c>
      <c r="F40" s="30" t="n">
        <f aca="false">SUM(F36:F39)</f>
        <v>5566.23863</v>
      </c>
      <c r="G40" s="30" t="n">
        <f aca="false">SUM(G36:G39)</f>
        <v>5566.23863</v>
      </c>
      <c r="H40" s="30" t="n">
        <f aca="false">SUM(H36:H39)</f>
        <v>5566.23863</v>
      </c>
      <c r="I40" s="30" t="n">
        <f aca="false">SUM(I36:I39)</f>
        <v>5328.16991333333</v>
      </c>
      <c r="J40" s="30" t="n">
        <f aca="false">SUM(J36:J39)</f>
        <v>5158.12083</v>
      </c>
      <c r="K40" s="30" t="n">
        <f aca="false">SUM(K36:K39)</f>
        <v>5158.12083</v>
      </c>
      <c r="L40" s="30" t="n">
        <f aca="false">SUM(L36:L39)</f>
        <v>5158.12083</v>
      </c>
      <c r="M40" s="30" t="n">
        <f aca="false">SUM(M36:M39)</f>
        <v>5158.12083</v>
      </c>
      <c r="N40" s="30" t="n">
        <f aca="false">SUM(N36:N39)</f>
        <v>5158.12083</v>
      </c>
      <c r="O40" s="30" t="n">
        <f aca="false">SUM(O36:O39)</f>
        <v>5158.12083</v>
      </c>
      <c r="P40" s="30" t="n">
        <f aca="false">SUM(P36:P39)</f>
        <v>5158.12083</v>
      </c>
      <c r="Q40" s="30" t="n">
        <f aca="false">SUM(Q36:Q39)</f>
        <v>5158.12083</v>
      </c>
      <c r="R40" s="30" t="n">
        <f aca="false">SUM(R36:R39)</f>
        <v>5158.12083</v>
      </c>
      <c r="S40" s="30" t="n">
        <f aca="false">SUM(S36:S39)</f>
        <v>5158.12083</v>
      </c>
      <c r="T40" s="30" t="n">
        <f aca="false">SUM(T36:T39)</f>
        <v>5158.12083</v>
      </c>
      <c r="U40" s="30" t="n">
        <f aca="false">SUM(U36:U39)</f>
        <v>5158.12083</v>
      </c>
      <c r="V40" s="30" t="n">
        <f aca="false">SUM(V36:V39)</f>
        <v>5158.12083</v>
      </c>
      <c r="W40" s="30" t="n">
        <f aca="false">SUM(W36:W39)</f>
        <v>5158.12083</v>
      </c>
      <c r="X40" s="30" t="n">
        <f aca="false">SUM(X36:X39)</f>
        <v>5158.12083</v>
      </c>
      <c r="Y40" s="30" t="n">
        <f aca="false">SUM(Y36:Y39)</f>
        <v>5158.12083</v>
      </c>
      <c r="Z40" s="30" t="n">
        <f aca="false">SUM(Z36:Z39)</f>
        <v>5158.12083</v>
      </c>
      <c r="AA40" s="30" t="n">
        <f aca="false">SUM(AA36:AA39)</f>
        <v>5158.12083</v>
      </c>
      <c r="AB40" s="437" t="n">
        <f aca="false">SUM(AB36:AB39)</f>
        <v>5158.12083</v>
      </c>
      <c r="AC40" s="861"/>
      <c r="AD40" s="861"/>
      <c r="AE40" s="729"/>
    </row>
    <row r="41" customFormat="false" ht="12" hidden="false" customHeight="true" outlineLevel="0" collapsed="false">
      <c r="A41" s="720"/>
      <c r="B41" s="30"/>
      <c r="C41" s="385"/>
      <c r="D41" s="30"/>
      <c r="E41" s="30"/>
      <c r="F41" s="30"/>
      <c r="G41" s="30"/>
      <c r="H41" s="30"/>
      <c r="I41" s="30"/>
      <c r="J41" s="30"/>
      <c r="K41" s="30"/>
      <c r="L41" s="30"/>
      <c r="M41" s="30"/>
      <c r="N41" s="30"/>
      <c r="O41" s="30"/>
      <c r="P41" s="30"/>
      <c r="Q41" s="30"/>
      <c r="R41" s="30"/>
      <c r="S41" s="30"/>
      <c r="T41" s="30"/>
      <c r="U41" s="30"/>
      <c r="V41" s="30"/>
      <c r="W41" s="30"/>
      <c r="X41" s="30"/>
      <c r="Y41" s="30"/>
      <c r="Z41" s="30"/>
      <c r="AA41" s="30"/>
      <c r="AB41" s="437"/>
      <c r="AC41" s="861"/>
      <c r="AD41" s="861"/>
      <c r="AE41" s="729"/>
    </row>
    <row r="42" customFormat="false" ht="12" hidden="false" customHeight="true" outlineLevel="0" collapsed="false">
      <c r="A42" s="864" t="s">
        <v>647</v>
      </c>
      <c r="B42" s="659"/>
      <c r="C42" s="474"/>
      <c r="D42" s="659" t="n">
        <f aca="false">B40-D40</f>
        <v>170730.977465833</v>
      </c>
      <c r="E42" s="659" t="n">
        <f aca="false">D42-E40</f>
        <v>165164.738835833</v>
      </c>
      <c r="F42" s="659" t="n">
        <f aca="false">E42-F40</f>
        <v>159598.500205833</v>
      </c>
      <c r="G42" s="659" t="n">
        <f aca="false">F42-G40</f>
        <v>154032.261575833</v>
      </c>
      <c r="H42" s="659" t="n">
        <f aca="false">G42-H40</f>
        <v>148466.022945833</v>
      </c>
      <c r="I42" s="659" t="n">
        <f aca="false">H42-I40</f>
        <v>143137.8530325</v>
      </c>
      <c r="J42" s="659" t="n">
        <f aca="false">I42-J40</f>
        <v>137979.7322025</v>
      </c>
      <c r="K42" s="659" t="n">
        <f aca="false">J42-K40</f>
        <v>132821.6113725</v>
      </c>
      <c r="L42" s="659" t="n">
        <f aca="false">K42-L40</f>
        <v>127663.4905425</v>
      </c>
      <c r="M42" s="659" t="n">
        <f aca="false">L42-M40</f>
        <v>122505.3697125</v>
      </c>
      <c r="N42" s="659" t="n">
        <f aca="false">M42-N40</f>
        <v>117347.2488825</v>
      </c>
      <c r="O42" s="659" t="n">
        <f aca="false">N42-O40</f>
        <v>112189.1280525</v>
      </c>
      <c r="P42" s="659" t="n">
        <f aca="false">O42-P40</f>
        <v>107031.0072225</v>
      </c>
      <c r="Q42" s="659" t="n">
        <f aca="false">P42-Q40</f>
        <v>101872.8863925</v>
      </c>
      <c r="R42" s="659" t="n">
        <f aca="false">Q42-R40</f>
        <v>96714.7655624999</v>
      </c>
      <c r="S42" s="659" t="n">
        <f aca="false">R42-S40</f>
        <v>91556.6447324999</v>
      </c>
      <c r="T42" s="659" t="n">
        <f aca="false">S42-T40</f>
        <v>86398.5239024999</v>
      </c>
      <c r="U42" s="659" t="n">
        <f aca="false">T42-U40</f>
        <v>81240.4030724999</v>
      </c>
      <c r="V42" s="659" t="n">
        <f aca="false">U42-V40</f>
        <v>76082.2822424999</v>
      </c>
      <c r="W42" s="659" t="n">
        <f aca="false">V42-W40</f>
        <v>70924.1614124999</v>
      </c>
      <c r="X42" s="659" t="n">
        <f aca="false">W42-X40</f>
        <v>65766.0405824999</v>
      </c>
      <c r="Y42" s="659" t="n">
        <f aca="false">X42-Y40</f>
        <v>60607.9197524999</v>
      </c>
      <c r="Z42" s="659" t="n">
        <f aca="false">Y42-Z40</f>
        <v>55449.7989224999</v>
      </c>
      <c r="AA42" s="659" t="n">
        <f aca="false">Z42-AA40</f>
        <v>50291.6780924999</v>
      </c>
      <c r="AB42" s="660" t="n">
        <f aca="false">AA42-AB40</f>
        <v>45133.5572624999</v>
      </c>
      <c r="AC42" s="861"/>
      <c r="AD42" s="861"/>
      <c r="AE42" s="729"/>
    </row>
    <row r="43" customFormat="false" ht="12" hidden="false" customHeight="true" outlineLevel="0" collapsed="false"/>
    <row r="44" customFormat="false" ht="12" hidden="false" customHeight="true" outlineLevel="0" collapsed="false">
      <c r="A44" s="849" t="s">
        <v>648</v>
      </c>
      <c r="B44" s="872" t="s">
        <v>290</v>
      </c>
      <c r="C44" s="381"/>
      <c r="D44" s="484" t="n">
        <v>1</v>
      </c>
      <c r="E44" s="484" t="n">
        <f aca="false">D44+1</f>
        <v>2</v>
      </c>
      <c r="F44" s="484" t="n">
        <f aca="false">E44+1</f>
        <v>3</v>
      </c>
      <c r="G44" s="484" t="n">
        <f aca="false">F44+1</f>
        <v>4</v>
      </c>
      <c r="H44" s="484" t="n">
        <f aca="false">G44+1</f>
        <v>5</v>
      </c>
      <c r="I44" s="484" t="n">
        <f aca="false">H44+1</f>
        <v>6</v>
      </c>
      <c r="J44" s="484" t="n">
        <f aca="false">I44+1</f>
        <v>7</v>
      </c>
      <c r="K44" s="873" t="n">
        <f aca="false">J44+1</f>
        <v>8</v>
      </c>
      <c r="L44" s="484" t="n">
        <f aca="false">K44+1</f>
        <v>9</v>
      </c>
      <c r="M44" s="484" t="n">
        <f aca="false">L44+1</f>
        <v>10</v>
      </c>
      <c r="N44" s="484" t="n">
        <f aca="false">M44+1</f>
        <v>11</v>
      </c>
      <c r="O44" s="484" t="n">
        <f aca="false">N44+1</f>
        <v>12</v>
      </c>
      <c r="P44" s="484" t="n">
        <f aca="false">O44+1</f>
        <v>13</v>
      </c>
      <c r="Q44" s="873" t="n">
        <f aca="false">P44+1</f>
        <v>14</v>
      </c>
      <c r="R44" s="484" t="n">
        <f aca="false">Q44+1</f>
        <v>15</v>
      </c>
      <c r="S44" s="484" t="n">
        <f aca="false">R44+1</f>
        <v>16</v>
      </c>
      <c r="T44" s="484" t="n">
        <f aca="false">S44+1</f>
        <v>17</v>
      </c>
      <c r="U44" s="484" t="n">
        <f aca="false">T44+1</f>
        <v>18</v>
      </c>
      <c r="V44" s="484" t="n">
        <f aca="false">U44+1</f>
        <v>19</v>
      </c>
      <c r="W44" s="873" t="n">
        <f aca="false">V44+1</f>
        <v>20</v>
      </c>
      <c r="X44" s="484" t="n">
        <f aca="false">W44+1</f>
        <v>21</v>
      </c>
      <c r="Y44" s="484" t="n">
        <f aca="false">X44+1</f>
        <v>22</v>
      </c>
      <c r="Z44" s="484" t="n">
        <f aca="false">Y44+1</f>
        <v>23</v>
      </c>
      <c r="AA44" s="484" t="n">
        <f aca="false">Z44+1</f>
        <v>24</v>
      </c>
      <c r="AB44" s="874" t="n">
        <f aca="false">AA44+1</f>
        <v>25</v>
      </c>
      <c r="AC44" s="875"/>
      <c r="AE44" s="854"/>
    </row>
    <row r="45" customFormat="false" ht="12" hidden="false" customHeight="true" outlineLevel="0" collapsed="false">
      <c r="A45" s="720" t="s">
        <v>649</v>
      </c>
      <c r="B45" s="30" t="n">
        <f aca="false">'Project Assumptions'!C31</f>
        <v>160217.104</v>
      </c>
      <c r="C45" s="868"/>
      <c r="D45" s="523" t="n">
        <v>1</v>
      </c>
      <c r="E45" s="523" t="n">
        <v>1</v>
      </c>
      <c r="F45" s="523" t="n">
        <v>1</v>
      </c>
      <c r="G45" s="523" t="n">
        <v>1</v>
      </c>
      <c r="H45" s="523" t="n">
        <v>1</v>
      </c>
      <c r="I45" s="523" t="n">
        <v>1</v>
      </c>
      <c r="J45" s="523" t="n">
        <v>1</v>
      </c>
      <c r="K45" s="523" t="n">
        <v>1</v>
      </c>
      <c r="L45" s="523" t="n">
        <v>1</v>
      </c>
      <c r="M45" s="523" t="n">
        <v>1</v>
      </c>
      <c r="N45" s="523" t="n">
        <v>1</v>
      </c>
      <c r="O45" s="523" t="n">
        <v>1</v>
      </c>
      <c r="P45" s="523" t="n">
        <v>1</v>
      </c>
      <c r="Q45" s="523" t="n">
        <v>1</v>
      </c>
      <c r="R45" s="523" t="n">
        <v>1</v>
      </c>
      <c r="S45" s="523" t="n">
        <v>1</v>
      </c>
      <c r="T45" s="523" t="n">
        <v>1</v>
      </c>
      <c r="U45" s="523" t="n">
        <v>1</v>
      </c>
      <c r="V45" s="523" t="n">
        <v>1</v>
      </c>
      <c r="W45" s="523" t="n">
        <v>1</v>
      </c>
      <c r="X45" s="523" t="n">
        <v>1</v>
      </c>
      <c r="Y45" s="523" t="n">
        <v>1</v>
      </c>
      <c r="Z45" s="523" t="n">
        <v>1</v>
      </c>
      <c r="AA45" s="523" t="n">
        <v>1</v>
      </c>
      <c r="AB45" s="869" t="n">
        <v>1</v>
      </c>
      <c r="AC45" s="876"/>
      <c r="AD45" s="857"/>
      <c r="AE45" s="858"/>
    </row>
    <row r="46" customFormat="false" ht="11.25" hidden="false" customHeight="true" outlineLevel="0" collapsed="false">
      <c r="A46" s="720" t="s">
        <v>650</v>
      </c>
      <c r="B46" s="712"/>
      <c r="C46" s="385"/>
      <c r="D46" s="30" t="n">
        <f aca="false">$B$45*D45</f>
        <v>160217.104</v>
      </c>
      <c r="E46" s="30" t="n">
        <f aca="false">$B$45*E45</f>
        <v>160217.104</v>
      </c>
      <c r="F46" s="30" t="n">
        <f aca="false">$B$45*F45</f>
        <v>160217.104</v>
      </c>
      <c r="G46" s="30" t="n">
        <f aca="false">$B$45*G45</f>
        <v>160217.104</v>
      </c>
      <c r="H46" s="30" t="n">
        <f aca="false">$B$45*H45</f>
        <v>160217.104</v>
      </c>
      <c r="I46" s="30" t="n">
        <f aca="false">$B$45*I45</f>
        <v>160217.104</v>
      </c>
      <c r="J46" s="30" t="n">
        <f aca="false">$B$45*J45</f>
        <v>160217.104</v>
      </c>
      <c r="K46" s="30" t="n">
        <f aca="false">$B$45*K45</f>
        <v>160217.104</v>
      </c>
      <c r="L46" s="30" t="n">
        <f aca="false">$B$45*L45</f>
        <v>160217.104</v>
      </c>
      <c r="M46" s="30" t="n">
        <f aca="false">$B$45*M45</f>
        <v>160217.104</v>
      </c>
      <c r="N46" s="30" t="n">
        <f aca="false">$B$45*N45</f>
        <v>160217.104</v>
      </c>
      <c r="O46" s="30" t="n">
        <f aca="false">$B$45*O45</f>
        <v>160217.104</v>
      </c>
      <c r="P46" s="30" t="n">
        <f aca="false">$B$45*P45</f>
        <v>160217.104</v>
      </c>
      <c r="Q46" s="30" t="n">
        <f aca="false">$B$45*Q45</f>
        <v>160217.104</v>
      </c>
      <c r="R46" s="30" t="n">
        <f aca="false">$B$45*R45</f>
        <v>160217.104</v>
      </c>
      <c r="S46" s="30" t="n">
        <f aca="false">$B$45*S45</f>
        <v>160217.104</v>
      </c>
      <c r="T46" s="30" t="n">
        <f aca="false">$B$45*T45</f>
        <v>160217.104</v>
      </c>
      <c r="U46" s="30" t="n">
        <f aca="false">$B$45*U45</f>
        <v>160217.104</v>
      </c>
      <c r="V46" s="30" t="n">
        <f aca="false">$B$45*V45</f>
        <v>160217.104</v>
      </c>
      <c r="W46" s="30" t="n">
        <f aca="false">$B$45*W45</f>
        <v>160217.104</v>
      </c>
      <c r="X46" s="30" t="n">
        <f aca="false">$B$45*X45</f>
        <v>160217.104</v>
      </c>
      <c r="Y46" s="30" t="n">
        <f aca="false">$B$45*Y45</f>
        <v>160217.104</v>
      </c>
      <c r="Z46" s="30" t="n">
        <f aca="false">$B$45*Z45</f>
        <v>160217.104</v>
      </c>
      <c r="AA46" s="30" t="n">
        <f aca="false">$B$45*AA45</f>
        <v>160217.104</v>
      </c>
      <c r="AB46" s="437" t="n">
        <f aca="false">$B$45*AB45</f>
        <v>160217.104</v>
      </c>
      <c r="AC46" s="729"/>
    </row>
    <row r="47" customFormat="false" ht="11.25" hidden="false" customHeight="true" outlineLevel="0" collapsed="false">
      <c r="A47" s="720"/>
      <c r="B47" s="718"/>
      <c r="C47" s="385"/>
      <c r="D47" s="726"/>
      <c r="E47" s="726"/>
      <c r="F47" s="726"/>
      <c r="G47" s="726"/>
      <c r="H47" s="726"/>
      <c r="I47" s="726"/>
      <c r="J47" s="726"/>
      <c r="K47" s="726"/>
      <c r="L47" s="726"/>
      <c r="M47" s="726"/>
      <c r="N47" s="726"/>
      <c r="O47" s="726"/>
      <c r="P47" s="726"/>
      <c r="Q47" s="726"/>
      <c r="R47" s="726"/>
      <c r="S47" s="726"/>
      <c r="T47" s="726"/>
      <c r="U47" s="726"/>
      <c r="V47" s="726"/>
      <c r="W47" s="726"/>
      <c r="X47" s="726"/>
      <c r="Y47" s="726"/>
      <c r="Z47" s="726"/>
      <c r="AA47" s="726"/>
      <c r="AB47" s="727"/>
      <c r="AC47" s="729"/>
      <c r="AD47" s="861"/>
      <c r="AE47" s="861"/>
    </row>
    <row r="48" customFormat="false" ht="12" hidden="false" customHeight="true" outlineLevel="0" collapsed="false">
      <c r="A48" s="720" t="s">
        <v>651</v>
      </c>
      <c r="B48" s="877" t="n">
        <f aca="false">0.0015</f>
        <v>0.0015</v>
      </c>
      <c r="C48" s="878" t="n">
        <f aca="false">'Project Assumptions'!C31-'Project Assumptions'!C25-200</f>
        <v>159648.063</v>
      </c>
      <c r="D48" s="30" t="n">
        <f aca="false">$C$48*$B$48</f>
        <v>239.4720945</v>
      </c>
      <c r="E48" s="30" t="n">
        <f aca="false">$C$48*$B$48</f>
        <v>239.4720945</v>
      </c>
      <c r="F48" s="30" t="n">
        <f aca="false">$C$48*$B$48</f>
        <v>239.4720945</v>
      </c>
      <c r="G48" s="30" t="n">
        <f aca="false">$C$48*$B$48</f>
        <v>239.4720945</v>
      </c>
      <c r="H48" s="30" t="n">
        <f aca="false">$C$48*$B$48</f>
        <v>239.4720945</v>
      </c>
      <c r="I48" s="30" t="n">
        <f aca="false">$C$48*$B$48</f>
        <v>239.4720945</v>
      </c>
      <c r="J48" s="30" t="n">
        <f aca="false">$C$48*$B$48</f>
        <v>239.4720945</v>
      </c>
      <c r="K48" s="30" t="n">
        <f aca="false">$C$48*$B$48</f>
        <v>239.4720945</v>
      </c>
      <c r="L48" s="30" t="n">
        <f aca="false">$C$48*$B$48</f>
        <v>239.4720945</v>
      </c>
      <c r="M48" s="30" t="n">
        <f aca="false">$C$48*$B$48</f>
        <v>239.4720945</v>
      </c>
      <c r="N48" s="30" t="n">
        <f aca="false">$C$48*$B$48</f>
        <v>239.4720945</v>
      </c>
      <c r="O48" s="30" t="n">
        <f aca="false">$C$48*$B$48</f>
        <v>239.4720945</v>
      </c>
      <c r="P48" s="30" t="n">
        <f aca="false">$C$48*$B$48</f>
        <v>239.4720945</v>
      </c>
      <c r="Q48" s="30" t="n">
        <f aca="false">$C$48*$B$48</f>
        <v>239.4720945</v>
      </c>
      <c r="R48" s="30" t="n">
        <f aca="false">$C$48*$B$48</f>
        <v>239.4720945</v>
      </c>
      <c r="S48" s="30" t="n">
        <f aca="false">$C$48*$B$48</f>
        <v>239.4720945</v>
      </c>
      <c r="T48" s="30" t="n">
        <f aca="false">$C$48*$B$48</f>
        <v>239.4720945</v>
      </c>
      <c r="U48" s="30" t="n">
        <f aca="false">$C$48*$B$48</f>
        <v>239.4720945</v>
      </c>
      <c r="V48" s="30" t="n">
        <f aca="false">$C$48*$B$48</f>
        <v>239.4720945</v>
      </c>
      <c r="W48" s="30" t="n">
        <f aca="false">$C$48*$B$48</f>
        <v>239.4720945</v>
      </c>
      <c r="X48" s="30" t="n">
        <f aca="false">$C$48*$B$48</f>
        <v>239.4720945</v>
      </c>
      <c r="Y48" s="30" t="n">
        <f aca="false">$C$48*$B$48</f>
        <v>239.4720945</v>
      </c>
      <c r="Z48" s="30" t="n">
        <f aca="false">$C$48*$B$48</f>
        <v>239.4720945</v>
      </c>
      <c r="AA48" s="30" t="n">
        <f aca="false">$C$48*$B$48</f>
        <v>239.4720945</v>
      </c>
      <c r="AB48" s="437" t="n">
        <f aca="false">$C$48*$B$48</f>
        <v>239.4720945</v>
      </c>
      <c r="AC48" s="31"/>
      <c r="AD48" s="857"/>
      <c r="AE48" s="858"/>
    </row>
    <row r="49" customFormat="false" ht="12" hidden="false" customHeight="true" outlineLevel="0" collapsed="false">
      <c r="A49" s="720" t="s">
        <v>652</v>
      </c>
      <c r="B49" s="877" t="n">
        <f aca="false">SchoolMillageTaxRate+'Project Assumptions'!U9+CountyMillageTaxRate+CityTaxRate</f>
        <v>0.01078</v>
      </c>
      <c r="C49" s="385" t="n">
        <f aca="false">'Project Assumptions'!C25</f>
        <v>369.041</v>
      </c>
      <c r="D49" s="33" t="n">
        <f aca="false">$C$49*$B$49</f>
        <v>3.97826198</v>
      </c>
      <c r="E49" s="33" t="n">
        <f aca="false">$C$49*$B$49</f>
        <v>3.97826198</v>
      </c>
      <c r="F49" s="33" t="n">
        <f aca="false">$C$49*$B$49</f>
        <v>3.97826198</v>
      </c>
      <c r="G49" s="33" t="n">
        <f aca="false">$C$49*$B$49</f>
        <v>3.97826198</v>
      </c>
      <c r="H49" s="33" t="n">
        <f aca="false">$C$49*$B$49</f>
        <v>3.97826198</v>
      </c>
      <c r="I49" s="33" t="n">
        <f aca="false">$C$49*$B$49</f>
        <v>3.97826198</v>
      </c>
      <c r="J49" s="33" t="n">
        <f aca="false">$C$49*$B$49</f>
        <v>3.97826198</v>
      </c>
      <c r="K49" s="33" t="n">
        <f aca="false">$C$49*$B$49</f>
        <v>3.97826198</v>
      </c>
      <c r="L49" s="33" t="n">
        <f aca="false">$C$49*$B$49</f>
        <v>3.97826198</v>
      </c>
      <c r="M49" s="33" t="n">
        <f aca="false">$C$49*$B$49</f>
        <v>3.97826198</v>
      </c>
      <c r="N49" s="33" t="n">
        <f aca="false">$C$49*$B$49</f>
        <v>3.97826198</v>
      </c>
      <c r="O49" s="33" t="n">
        <f aca="false">$C$49*$B$49</f>
        <v>3.97826198</v>
      </c>
      <c r="P49" s="33" t="n">
        <f aca="false">$C$49*$B$49</f>
        <v>3.97826198</v>
      </c>
      <c r="Q49" s="33" t="n">
        <f aca="false">$C$49*$B$49</f>
        <v>3.97826198</v>
      </c>
      <c r="R49" s="33" t="n">
        <f aca="false">$C$49*$B$49</f>
        <v>3.97826198</v>
      </c>
      <c r="S49" s="33" t="n">
        <f aca="false">$C$49*$B$49</f>
        <v>3.97826198</v>
      </c>
      <c r="T49" s="33" t="n">
        <f aca="false">$C$49*$B$49</f>
        <v>3.97826198</v>
      </c>
      <c r="U49" s="33" t="n">
        <f aca="false">$C$49*$B$49</f>
        <v>3.97826198</v>
      </c>
      <c r="V49" s="33" t="n">
        <f aca="false">$C$49*$B$49</f>
        <v>3.97826198</v>
      </c>
      <c r="W49" s="33" t="n">
        <f aca="false">$C$49*$B$49</f>
        <v>3.97826198</v>
      </c>
      <c r="X49" s="33" t="n">
        <f aca="false">$C$49*$B$49</f>
        <v>3.97826198</v>
      </c>
      <c r="Y49" s="33" t="n">
        <f aca="false">$C$49*$B$49</f>
        <v>3.97826198</v>
      </c>
      <c r="Z49" s="33" t="n">
        <f aca="false">$C$49*$B$49</f>
        <v>3.97826198</v>
      </c>
      <c r="AA49" s="33" t="n">
        <f aca="false">$C$49*$B$49</f>
        <v>3.97826198</v>
      </c>
      <c r="AB49" s="724" t="n">
        <f aca="false">$C$49*$B$49</f>
        <v>3.97826198</v>
      </c>
      <c r="AC49" s="32"/>
      <c r="AD49" s="857"/>
      <c r="AE49" s="858"/>
    </row>
    <row r="50" customFormat="false" ht="12" hidden="false" customHeight="true" outlineLevel="0" collapsed="false">
      <c r="A50" s="720" t="s">
        <v>653</v>
      </c>
      <c r="B50" s="877" t="n">
        <f aca="false">SchoolMillageTaxRate+'Project Assumptions'!U9+CountyMillageTaxRate+CityTaxRate</f>
        <v>0.01078</v>
      </c>
      <c r="C50" s="385" t="n">
        <v>200</v>
      </c>
      <c r="D50" s="511" t="n">
        <f aca="false">$C$50*$B$50</f>
        <v>2.156</v>
      </c>
      <c r="E50" s="511" t="n">
        <f aca="false">$C$50*$B$50</f>
        <v>2.156</v>
      </c>
      <c r="F50" s="511" t="n">
        <f aca="false">$C$50*$B$50</f>
        <v>2.156</v>
      </c>
      <c r="G50" s="511" t="n">
        <f aca="false">$C$50*$B$50</f>
        <v>2.156</v>
      </c>
      <c r="H50" s="511" t="n">
        <f aca="false">$C$50*$B$50</f>
        <v>2.156</v>
      </c>
      <c r="I50" s="511" t="n">
        <f aca="false">$C$50*$B$50</f>
        <v>2.156</v>
      </c>
      <c r="J50" s="511" t="n">
        <f aca="false">$C$50*$B$50</f>
        <v>2.156</v>
      </c>
      <c r="K50" s="511" t="n">
        <f aca="false">$C$50*$B$50</f>
        <v>2.156</v>
      </c>
      <c r="L50" s="511" t="n">
        <f aca="false">$C$50*$B$50</f>
        <v>2.156</v>
      </c>
      <c r="M50" s="511" t="n">
        <f aca="false">$C$50*$B$50</f>
        <v>2.156</v>
      </c>
      <c r="N50" s="511" t="n">
        <f aca="false">$C$50*$B$50</f>
        <v>2.156</v>
      </c>
      <c r="O50" s="511" t="n">
        <f aca="false">$C$50*$B$50</f>
        <v>2.156</v>
      </c>
      <c r="P50" s="511" t="n">
        <f aca="false">$C$50*$B$50</f>
        <v>2.156</v>
      </c>
      <c r="Q50" s="511" t="n">
        <f aca="false">$C$50*$B$50</f>
        <v>2.156</v>
      </c>
      <c r="R50" s="511" t="n">
        <f aca="false">$C$50*$B$50</f>
        <v>2.156</v>
      </c>
      <c r="S50" s="511" t="n">
        <f aca="false">$C$50*$B$50</f>
        <v>2.156</v>
      </c>
      <c r="T50" s="511" t="n">
        <f aca="false">$C$50*$B$50</f>
        <v>2.156</v>
      </c>
      <c r="U50" s="511" t="n">
        <f aca="false">$C$50*$B$50</f>
        <v>2.156</v>
      </c>
      <c r="V50" s="511" t="n">
        <f aca="false">$C$50*$B$50</f>
        <v>2.156</v>
      </c>
      <c r="W50" s="511" t="n">
        <f aca="false">$C$50*$B$50</f>
        <v>2.156</v>
      </c>
      <c r="X50" s="511" t="n">
        <f aca="false">$C$50*$B$50</f>
        <v>2.156</v>
      </c>
      <c r="Y50" s="511" t="n">
        <f aca="false">$C$50*$B$50</f>
        <v>2.156</v>
      </c>
      <c r="Z50" s="511" t="n">
        <f aca="false">$C$50*$B$50</f>
        <v>2.156</v>
      </c>
      <c r="AA50" s="511" t="n">
        <f aca="false">$C$50*$B$50</f>
        <v>2.156</v>
      </c>
      <c r="AB50" s="512" t="n">
        <f aca="false">$C$50*$B$50</f>
        <v>2.156</v>
      </c>
      <c r="AC50" s="879"/>
      <c r="AD50" s="857"/>
      <c r="AE50" s="858"/>
    </row>
    <row r="51" customFormat="false" ht="11.25" hidden="false" customHeight="false" outlineLevel="0" collapsed="false">
      <c r="A51" s="453" t="s">
        <v>654</v>
      </c>
      <c r="B51" s="474"/>
      <c r="C51" s="474"/>
      <c r="D51" s="659" t="n">
        <f aca="false">SUM(D48:D50)</f>
        <v>245.60635648</v>
      </c>
      <c r="E51" s="659" t="n">
        <f aca="false">SUM(E48:E50)</f>
        <v>245.60635648</v>
      </c>
      <c r="F51" s="659" t="n">
        <f aca="false">SUM(F48:F50)</f>
        <v>245.60635648</v>
      </c>
      <c r="G51" s="659" t="n">
        <f aca="false">SUM(G48:G50)</f>
        <v>245.60635648</v>
      </c>
      <c r="H51" s="659" t="n">
        <f aca="false">SUM(H48:H50)</f>
        <v>245.60635648</v>
      </c>
      <c r="I51" s="659" t="n">
        <f aca="false">SUM(I48:I50)</f>
        <v>245.60635648</v>
      </c>
      <c r="J51" s="659" t="n">
        <f aca="false">SUM(J48:J50)</f>
        <v>245.60635648</v>
      </c>
      <c r="K51" s="659" t="n">
        <f aca="false">SUM(K48:K50)</f>
        <v>245.60635648</v>
      </c>
      <c r="L51" s="659" t="n">
        <f aca="false">SUM(L48:L50)</f>
        <v>245.60635648</v>
      </c>
      <c r="M51" s="659" t="n">
        <f aca="false">SUM(M48:M50)</f>
        <v>245.60635648</v>
      </c>
      <c r="N51" s="659" t="n">
        <f aca="false">SUM(N48:N50)</f>
        <v>245.60635648</v>
      </c>
      <c r="O51" s="659" t="n">
        <f aca="false">SUM(O48:O50)</f>
        <v>245.60635648</v>
      </c>
      <c r="P51" s="659" t="n">
        <f aca="false">SUM(P48:P50)</f>
        <v>245.60635648</v>
      </c>
      <c r="Q51" s="659" t="n">
        <f aca="false">SUM(Q48:Q50)</f>
        <v>245.60635648</v>
      </c>
      <c r="R51" s="659" t="n">
        <f aca="false">SUM(R48:R50)</f>
        <v>245.60635648</v>
      </c>
      <c r="S51" s="659" t="n">
        <f aca="false">SUM(S48:S50)</f>
        <v>245.60635648</v>
      </c>
      <c r="T51" s="659" t="n">
        <f aca="false">SUM(T48:T50)</f>
        <v>245.60635648</v>
      </c>
      <c r="U51" s="659" t="n">
        <f aca="false">SUM(U48:U50)</f>
        <v>245.60635648</v>
      </c>
      <c r="V51" s="659" t="n">
        <f aca="false">SUM(V48:V50)</f>
        <v>245.60635648</v>
      </c>
      <c r="W51" s="659" t="n">
        <f aca="false">SUM(W48:W50)</f>
        <v>245.60635648</v>
      </c>
      <c r="X51" s="659" t="n">
        <f aca="false">SUM(X48:X50)</f>
        <v>245.60635648</v>
      </c>
      <c r="Y51" s="659" t="n">
        <f aca="false">SUM(Y48:Y50)</f>
        <v>245.60635648</v>
      </c>
      <c r="Z51" s="659" t="n">
        <f aca="false">SUM(Z48:Z50)</f>
        <v>245.60635648</v>
      </c>
      <c r="AA51" s="659" t="n">
        <f aca="false">SUM(AA48:AA50)</f>
        <v>245.60635648</v>
      </c>
      <c r="AB51" s="660" t="n">
        <f aca="false">SUM(AB48:AB50)</f>
        <v>245.60635648</v>
      </c>
      <c r="AC51" s="880"/>
      <c r="AD51" s="832"/>
      <c r="AE51" s="832"/>
      <c r="AF51" s="832"/>
      <c r="AG51" s="832"/>
      <c r="AH51" s="832"/>
      <c r="AI51" s="832"/>
      <c r="AJ51" s="832"/>
      <c r="AK51" s="832"/>
      <c r="AL51" s="832"/>
      <c r="AM51" s="832"/>
      <c r="AN51" s="832"/>
      <c r="AO51" s="832"/>
      <c r="AP51" s="832"/>
      <c r="AQ51" s="832"/>
      <c r="AR51" s="832"/>
      <c r="AS51" s="832"/>
      <c r="AT51" s="832"/>
      <c r="AU51" s="832"/>
      <c r="AV51" s="832"/>
      <c r="AW51" s="832"/>
      <c r="AX51" s="832"/>
      <c r="AY51" s="832"/>
      <c r="AZ51" s="832"/>
      <c r="BA51" s="832"/>
      <c r="BB51" s="832"/>
      <c r="BC51" s="832"/>
      <c r="BD51" s="832"/>
      <c r="BE51" s="832"/>
      <c r="BF51" s="832"/>
      <c r="BG51" s="832"/>
      <c r="BH51" s="832"/>
      <c r="BI51" s="832"/>
      <c r="BJ51" s="832"/>
      <c r="BK51" s="832"/>
      <c r="BL51" s="832"/>
      <c r="BM51" s="832"/>
      <c r="BN51" s="832"/>
      <c r="BO51" s="832"/>
      <c r="BP51" s="832"/>
      <c r="BQ51" s="832"/>
      <c r="BR51" s="832"/>
      <c r="BS51" s="832"/>
      <c r="BT51" s="832"/>
      <c r="BU51" s="832"/>
      <c r="BV51" s="832"/>
      <c r="BW51" s="832"/>
      <c r="BX51" s="832"/>
      <c r="BY51" s="832"/>
      <c r="BZ51" s="832"/>
      <c r="CA51" s="832"/>
      <c r="CB51" s="832"/>
      <c r="CC51" s="832"/>
      <c r="CD51" s="832"/>
      <c r="CE51" s="832"/>
      <c r="CF51" s="832"/>
      <c r="CG51" s="832"/>
      <c r="CH51" s="832"/>
      <c r="CI51" s="832"/>
      <c r="CJ51" s="832"/>
      <c r="CK51" s="832"/>
      <c r="CL51" s="832"/>
      <c r="CM51" s="832"/>
      <c r="CN51" s="832"/>
      <c r="CO51" s="832"/>
      <c r="CP51" s="832"/>
      <c r="CQ51" s="832"/>
      <c r="CR51" s="832"/>
      <c r="CS51" s="832"/>
      <c r="CT51" s="832"/>
      <c r="CU51" s="832"/>
      <c r="CV51" s="832"/>
      <c r="CW51" s="832"/>
      <c r="CX51" s="832"/>
      <c r="CY51" s="832"/>
      <c r="CZ51" s="832"/>
      <c r="DA51" s="832"/>
      <c r="DB51" s="832"/>
      <c r="DC51" s="832"/>
      <c r="DD51" s="832"/>
      <c r="DE51" s="832"/>
      <c r="DF51" s="832"/>
      <c r="DG51" s="832"/>
      <c r="DH51" s="832"/>
      <c r="DI51" s="832"/>
      <c r="DJ51" s="832"/>
      <c r="DK51" s="832"/>
      <c r="DL51" s="832"/>
      <c r="DM51" s="832"/>
      <c r="DN51" s="832"/>
      <c r="DO51" s="832"/>
      <c r="DP51" s="832"/>
      <c r="DQ51" s="832"/>
      <c r="DR51" s="832"/>
      <c r="DS51" s="832"/>
      <c r="DT51" s="832"/>
      <c r="DU51" s="832"/>
      <c r="DV51" s="832"/>
      <c r="DW51" s="832"/>
      <c r="DX51" s="832"/>
      <c r="DY51" s="832"/>
      <c r="DZ51" s="832"/>
      <c r="EA51" s="832"/>
      <c r="EB51" s="832"/>
      <c r="EC51" s="832"/>
      <c r="ED51" s="832"/>
      <c r="EE51" s="832"/>
      <c r="EF51" s="832"/>
      <c r="EG51" s="832"/>
      <c r="EH51" s="832"/>
      <c r="EI51" s="832"/>
      <c r="EJ51" s="832"/>
      <c r="EK51" s="832"/>
      <c r="EL51" s="832"/>
      <c r="EM51" s="832"/>
      <c r="EN51" s="832"/>
      <c r="EO51" s="832"/>
      <c r="EP51" s="832"/>
      <c r="EQ51" s="832"/>
      <c r="ER51" s="832"/>
      <c r="ES51" s="832"/>
      <c r="ET51" s="832"/>
      <c r="EU51" s="832"/>
      <c r="EV51" s="832"/>
      <c r="EW51" s="832"/>
      <c r="EX51" s="832"/>
      <c r="EY51" s="832"/>
      <c r="EZ51" s="832"/>
      <c r="FA51" s="832"/>
      <c r="FB51" s="832"/>
      <c r="FC51" s="832"/>
      <c r="FD51" s="832"/>
      <c r="FE51" s="832"/>
      <c r="FF51" s="832"/>
      <c r="FG51" s="832"/>
      <c r="FH51" s="832"/>
      <c r="FI51" s="832"/>
      <c r="FJ51" s="832"/>
      <c r="FK51" s="832"/>
      <c r="FL51" s="832"/>
      <c r="FM51" s="832"/>
      <c r="FN51" s="832"/>
      <c r="FO51" s="832"/>
      <c r="FP51" s="832"/>
      <c r="FQ51" s="832"/>
      <c r="FR51" s="832"/>
      <c r="FS51" s="832"/>
      <c r="FT51" s="832"/>
      <c r="FU51" s="832"/>
      <c r="FV51" s="832"/>
      <c r="FW51" s="832"/>
      <c r="FX51" s="832"/>
      <c r="FY51" s="832"/>
      <c r="FZ51" s="832"/>
      <c r="GA51" s="832"/>
      <c r="GB51" s="832"/>
      <c r="GC51" s="832"/>
      <c r="GD51" s="832"/>
      <c r="GE51" s="832"/>
      <c r="GF51" s="832"/>
      <c r="GG51" s="832"/>
      <c r="GH51" s="832"/>
      <c r="GI51" s="832"/>
      <c r="GJ51" s="832"/>
      <c r="GK51" s="832"/>
      <c r="GL51" s="832"/>
      <c r="GM51" s="832"/>
      <c r="GN51" s="832"/>
      <c r="GO51" s="832"/>
      <c r="GP51" s="832"/>
      <c r="GQ51" s="832"/>
      <c r="GR51" s="832"/>
      <c r="GS51" s="832"/>
      <c r="GT51" s="832"/>
      <c r="GU51" s="832"/>
      <c r="GV51" s="832"/>
      <c r="GW51" s="832"/>
      <c r="GX51" s="832"/>
      <c r="GY51" s="832"/>
      <c r="GZ51" s="832"/>
      <c r="HA51" s="832"/>
      <c r="HB51" s="832"/>
      <c r="HC51" s="832"/>
      <c r="HD51" s="832"/>
      <c r="HE51" s="832"/>
      <c r="HF51" s="832"/>
      <c r="HG51" s="832"/>
      <c r="HH51" s="832"/>
      <c r="HI51" s="832"/>
      <c r="HJ51" s="832"/>
      <c r="HK51" s="832"/>
      <c r="HL51" s="832"/>
      <c r="HM51" s="832"/>
      <c r="HN51" s="832"/>
      <c r="HO51" s="832"/>
      <c r="HP51" s="832"/>
      <c r="HQ51" s="832"/>
      <c r="HR51" s="832"/>
      <c r="HS51" s="832"/>
      <c r="HT51" s="832"/>
      <c r="HU51" s="832"/>
      <c r="HV51" s="832"/>
      <c r="HW51" s="832"/>
      <c r="HX51" s="832"/>
      <c r="HY51" s="832"/>
      <c r="HZ51" s="832"/>
      <c r="IA51" s="832"/>
      <c r="IB51" s="832"/>
      <c r="IC51" s="832"/>
      <c r="ID51" s="832"/>
      <c r="IE51" s="832"/>
      <c r="IF51" s="832"/>
      <c r="IG51" s="832"/>
      <c r="IH51" s="832"/>
      <c r="II51" s="832"/>
      <c r="IJ51" s="832"/>
      <c r="IK51" s="832"/>
      <c r="IL51" s="832"/>
      <c r="IM51" s="832"/>
      <c r="IN51" s="832"/>
      <c r="IO51" s="832"/>
      <c r="IP51" s="832"/>
      <c r="IQ51" s="832"/>
      <c r="IR51" s="832"/>
      <c r="IS51" s="832"/>
      <c r="IT51" s="832"/>
      <c r="IU51" s="832"/>
      <c r="IV51" s="832"/>
      <c r="IW51" s="832"/>
    </row>
    <row r="52" customFormat="false" ht="11.25" hidden="false" customHeight="true" outlineLevel="0" collapsed="false">
      <c r="A52" s="820"/>
      <c r="B52" s="881"/>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857"/>
      <c r="AD52" s="857"/>
      <c r="AE52" s="858"/>
    </row>
    <row r="53" customFormat="false" ht="13.5" hidden="false" customHeight="true" outlineLevel="0" collapsed="false">
      <c r="A53" s="820"/>
      <c r="B53" s="866"/>
      <c r="D53" s="866"/>
      <c r="E53" s="866"/>
      <c r="F53" s="866"/>
      <c r="G53" s="866"/>
      <c r="H53" s="866"/>
      <c r="I53" s="866"/>
      <c r="J53" s="866"/>
      <c r="K53" s="866"/>
      <c r="L53" s="866"/>
      <c r="M53" s="866"/>
      <c r="N53" s="866"/>
      <c r="O53" s="866"/>
      <c r="P53" s="866"/>
      <c r="Q53" s="866"/>
      <c r="R53" s="866"/>
      <c r="S53" s="866"/>
      <c r="T53" s="866"/>
      <c r="U53" s="866"/>
      <c r="V53" s="866"/>
      <c r="W53" s="866"/>
      <c r="X53" s="866"/>
      <c r="Y53" s="866"/>
      <c r="Z53" s="866"/>
      <c r="AA53" s="866"/>
      <c r="AB53" s="866"/>
      <c r="AC53" s="861"/>
      <c r="AD53" s="861"/>
      <c r="AE53" s="729"/>
    </row>
    <row r="54" customFormat="false" ht="13.5" hidden="false" customHeight="true" outlineLevel="0" collapsed="false">
      <c r="A54" s="882" t="s">
        <v>655</v>
      </c>
      <c r="B54" s="883"/>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1"/>
      <c r="AD54" s="861"/>
      <c r="AE54" s="729"/>
    </row>
    <row r="55" customFormat="false" ht="13.5" hidden="false" customHeight="true" outlineLevel="1" collapsed="false">
      <c r="A55" s="7" t="s">
        <v>656</v>
      </c>
      <c r="B55" s="7"/>
      <c r="D55" s="866"/>
      <c r="E55" s="866"/>
      <c r="F55" s="866"/>
      <c r="G55" s="866"/>
      <c r="H55" s="866"/>
      <c r="I55" s="866"/>
      <c r="J55" s="866"/>
      <c r="K55" s="866"/>
      <c r="L55" s="866"/>
      <c r="M55" s="866"/>
      <c r="N55" s="866"/>
      <c r="O55" s="866"/>
      <c r="P55" s="866"/>
      <c r="Q55" s="866"/>
      <c r="R55" s="866"/>
      <c r="S55" s="866"/>
      <c r="T55" s="866"/>
      <c r="U55" s="866"/>
      <c r="V55" s="866"/>
      <c r="W55" s="866"/>
      <c r="X55" s="866"/>
      <c r="Y55" s="866"/>
      <c r="Z55" s="866"/>
      <c r="AA55" s="866"/>
      <c r="AB55" s="866"/>
      <c r="AC55" s="861"/>
      <c r="AD55" s="861"/>
      <c r="AE55" s="729"/>
    </row>
    <row r="56" customFormat="false" ht="13.5" hidden="false" customHeight="true" outlineLevel="1" collapsed="false">
      <c r="A56" s="7" t="s">
        <v>657</v>
      </c>
      <c r="B56" s="883" t="s">
        <v>658</v>
      </c>
    </row>
    <row r="57" customFormat="false" ht="13.5" hidden="false" customHeight="true" outlineLevel="1" collapsed="false">
      <c r="A57" s="7" t="n">
        <v>1</v>
      </c>
      <c r="B57" s="884" t="n">
        <v>0.05</v>
      </c>
    </row>
    <row r="58" customFormat="false" ht="13.5" hidden="false" customHeight="true" outlineLevel="1" collapsed="false">
      <c r="A58" s="7" t="n">
        <v>2</v>
      </c>
      <c r="B58" s="884" t="n">
        <v>0.095</v>
      </c>
    </row>
    <row r="59" customFormat="false" ht="13.5" hidden="false" customHeight="true" outlineLevel="1" collapsed="false">
      <c r="A59" s="7" t="n">
        <v>3</v>
      </c>
      <c r="B59" s="884" t="n">
        <v>0.0855</v>
      </c>
    </row>
    <row r="60" customFormat="false" ht="13.5" hidden="false" customHeight="true" outlineLevel="1" collapsed="false">
      <c r="A60" s="7" t="n">
        <v>4</v>
      </c>
      <c r="B60" s="884" t="n">
        <v>0.077</v>
      </c>
    </row>
    <row r="61" customFormat="false" ht="13.5" hidden="false" customHeight="true" outlineLevel="1" collapsed="false">
      <c r="A61" s="7" t="n">
        <v>5</v>
      </c>
      <c r="B61" s="884" t="n">
        <v>0.0693</v>
      </c>
    </row>
    <row r="62" customFormat="false" ht="13.5" hidden="false" customHeight="true" outlineLevel="1" collapsed="false">
      <c r="A62" s="7" t="n">
        <v>6</v>
      </c>
      <c r="B62" s="884" t="n">
        <v>0.0623</v>
      </c>
    </row>
    <row r="63" customFormat="false" ht="13.5" hidden="false" customHeight="true" outlineLevel="1" collapsed="false">
      <c r="A63" s="7" t="n">
        <v>7</v>
      </c>
      <c r="B63" s="884" t="n">
        <v>0.059</v>
      </c>
    </row>
    <row r="64" customFormat="false" ht="13.5" hidden="false" customHeight="true" outlineLevel="1" collapsed="false">
      <c r="A64" s="7" t="n">
        <v>8</v>
      </c>
      <c r="B64" s="884" t="n">
        <v>0.0591</v>
      </c>
    </row>
    <row r="65" customFormat="false" ht="13.5" hidden="false" customHeight="true" outlineLevel="1" collapsed="false">
      <c r="A65" s="7" t="n">
        <v>9</v>
      </c>
      <c r="B65" s="884" t="n">
        <v>0.059</v>
      </c>
    </row>
    <row r="66" customFormat="false" ht="13.5" hidden="false" customHeight="true" outlineLevel="1" collapsed="false">
      <c r="A66" s="7" t="n">
        <v>10</v>
      </c>
      <c r="B66" s="884" t="n">
        <v>0.0591</v>
      </c>
    </row>
    <row r="67" customFormat="false" ht="13.5" hidden="false" customHeight="true" outlineLevel="1" collapsed="false">
      <c r="A67" s="7" t="n">
        <v>11</v>
      </c>
      <c r="B67" s="884" t="n">
        <v>0.059</v>
      </c>
    </row>
    <row r="68" customFormat="false" ht="12.75" hidden="false" customHeight="false" outlineLevel="1" collapsed="false">
      <c r="A68" s="7" t="n">
        <v>12</v>
      </c>
      <c r="B68" s="884" t="n">
        <v>0.0591</v>
      </c>
    </row>
    <row r="69" customFormat="false" ht="12.75" hidden="false" customHeight="false" outlineLevel="1" collapsed="false">
      <c r="A69" s="7" t="n">
        <v>13</v>
      </c>
      <c r="B69" s="884" t="n">
        <v>0.059</v>
      </c>
    </row>
    <row r="70" customFormat="false" ht="12.75" hidden="false" customHeight="false" outlineLevel="1" collapsed="false">
      <c r="A70" s="7" t="n">
        <v>14</v>
      </c>
      <c r="B70" s="884" t="n">
        <v>0.0591</v>
      </c>
    </row>
    <row r="71" customFormat="false" ht="12.75" hidden="false" customHeight="false" outlineLevel="1" collapsed="false">
      <c r="A71" s="7" t="n">
        <v>15</v>
      </c>
      <c r="B71" s="884" t="n">
        <v>0.059</v>
      </c>
    </row>
    <row r="72" customFormat="false" ht="12.75" hidden="false" customHeight="false" outlineLevel="1" collapsed="false">
      <c r="A72" s="7" t="n">
        <v>16</v>
      </c>
      <c r="B72" s="885" t="n">
        <v>0.0295</v>
      </c>
    </row>
    <row r="73" customFormat="false" ht="11.25" hidden="false" customHeight="false" outlineLevel="0" collapsed="false">
      <c r="B73" s="886" t="n">
        <f aca="false">SUM(B57:B72)</f>
        <v>1</v>
      </c>
    </row>
    <row r="74" customFormat="false" ht="12.75" hidden="false" customHeight="false" outlineLevel="0" collapsed="false">
      <c r="A74" s="882" t="s">
        <v>659</v>
      </c>
      <c r="B74" s="7"/>
    </row>
    <row r="75" customFormat="false" ht="12.75" hidden="true" customHeight="false" outlineLevel="1" collapsed="false">
      <c r="A75" s="7" t="s">
        <v>656</v>
      </c>
      <c r="B75" s="7"/>
    </row>
    <row r="76" customFormat="false" ht="12.75" hidden="true" customHeight="false" outlineLevel="1" collapsed="false">
      <c r="A76" s="7" t="s">
        <v>657</v>
      </c>
      <c r="B76" s="7" t="s">
        <v>658</v>
      </c>
    </row>
    <row r="77" customFormat="false" ht="12.75" hidden="true" customHeight="false" outlineLevel="1" collapsed="false">
      <c r="A77" s="7" t="n">
        <v>1</v>
      </c>
      <c r="B77" s="546" t="n">
        <v>0.0375</v>
      </c>
    </row>
    <row r="78" customFormat="false" ht="12.75" hidden="true" customHeight="false" outlineLevel="1" collapsed="false">
      <c r="A78" s="7" t="n">
        <v>2</v>
      </c>
      <c r="B78" s="546" t="n">
        <v>0.07219</v>
      </c>
    </row>
    <row r="79" customFormat="false" ht="12.75" hidden="true" customHeight="false" outlineLevel="1" collapsed="false">
      <c r="A79" s="7" t="n">
        <v>3</v>
      </c>
      <c r="B79" s="546" t="n">
        <v>0.06677</v>
      </c>
    </row>
    <row r="80" customFormat="false" ht="12.75" hidden="true" customHeight="false" outlineLevel="1" collapsed="false">
      <c r="A80" s="7" t="n">
        <v>4</v>
      </c>
      <c r="B80" s="546" t="n">
        <v>0.06177</v>
      </c>
    </row>
    <row r="81" customFormat="false" ht="12.75" hidden="true" customHeight="false" outlineLevel="1" collapsed="false">
      <c r="A81" s="7" t="n">
        <v>5</v>
      </c>
      <c r="B81" s="546" t="n">
        <v>0.05713</v>
      </c>
    </row>
    <row r="82" customFormat="false" ht="12.75" hidden="true" customHeight="false" outlineLevel="1" collapsed="false">
      <c r="A82" s="7" t="n">
        <v>6</v>
      </c>
      <c r="B82" s="546" t="n">
        <v>0.05285</v>
      </c>
    </row>
    <row r="83" customFormat="false" ht="12.75" hidden="true" customHeight="false" outlineLevel="1" collapsed="false">
      <c r="A83" s="7" t="n">
        <v>7</v>
      </c>
      <c r="B83" s="546" t="n">
        <v>0.04888</v>
      </c>
    </row>
    <row r="84" customFormat="false" ht="12.75" hidden="true" customHeight="false" outlineLevel="1" collapsed="false">
      <c r="A84" s="7" t="n">
        <v>8</v>
      </c>
      <c r="B84" s="546" t="n">
        <v>0.04522</v>
      </c>
    </row>
    <row r="85" customFormat="false" ht="12.75" hidden="true" customHeight="false" outlineLevel="1" collapsed="false">
      <c r="A85" s="7" t="n">
        <v>9</v>
      </c>
      <c r="B85" s="546" t="n">
        <v>0.04462</v>
      </c>
    </row>
    <row r="86" customFormat="false" ht="12.75" hidden="true" customHeight="false" outlineLevel="1" collapsed="false">
      <c r="A86" s="7" t="n">
        <v>10</v>
      </c>
      <c r="B86" s="546" t="n">
        <v>0.04461</v>
      </c>
    </row>
    <row r="87" customFormat="false" ht="12.75" hidden="true" customHeight="false" outlineLevel="1" collapsed="false">
      <c r="A87" s="7" t="n">
        <v>11</v>
      </c>
      <c r="B87" s="546" t="n">
        <v>0.04462</v>
      </c>
    </row>
    <row r="88" customFormat="false" ht="12.75" hidden="true" customHeight="false" outlineLevel="1" collapsed="false">
      <c r="A88" s="7" t="n">
        <v>12</v>
      </c>
      <c r="B88" s="546" t="n">
        <v>0.04461</v>
      </c>
    </row>
    <row r="89" customFormat="false" ht="12.75" hidden="true" customHeight="false" outlineLevel="1" collapsed="false">
      <c r="A89" s="7" t="n">
        <v>13</v>
      </c>
      <c r="B89" s="546" t="n">
        <v>0.04462</v>
      </c>
    </row>
    <row r="90" customFormat="false" ht="12.75" hidden="true" customHeight="false" outlineLevel="1" collapsed="false">
      <c r="A90" s="7" t="n">
        <v>14</v>
      </c>
      <c r="B90" s="546" t="n">
        <v>0.04461</v>
      </c>
    </row>
    <row r="91" customFormat="false" ht="12.75" hidden="true" customHeight="false" outlineLevel="1" collapsed="false">
      <c r="A91" s="7" t="n">
        <v>15</v>
      </c>
      <c r="B91" s="546" t="n">
        <v>0.04462</v>
      </c>
    </row>
    <row r="92" customFormat="false" ht="12.75" hidden="true" customHeight="false" outlineLevel="1" collapsed="false">
      <c r="A92" s="7" t="n">
        <v>16</v>
      </c>
      <c r="B92" s="546" t="n">
        <v>0.04461</v>
      </c>
    </row>
    <row r="93" customFormat="false" ht="12.75" hidden="true" customHeight="false" outlineLevel="1" collapsed="false">
      <c r="A93" s="7" t="n">
        <v>17</v>
      </c>
      <c r="B93" s="546" t="n">
        <v>0.04462</v>
      </c>
    </row>
    <row r="94" customFormat="false" ht="12.75" hidden="true" customHeight="false" outlineLevel="1" collapsed="false">
      <c r="A94" s="7" t="n">
        <v>18</v>
      </c>
      <c r="B94" s="546" t="n">
        <v>0.04461</v>
      </c>
    </row>
    <row r="95" customFormat="false" ht="12.75" hidden="true" customHeight="false" outlineLevel="1" collapsed="false">
      <c r="A95" s="7" t="n">
        <v>19</v>
      </c>
      <c r="B95" s="546" t="n">
        <v>0.04462</v>
      </c>
    </row>
    <row r="96" customFormat="false" ht="12.75" hidden="true" customHeight="false" outlineLevel="1" collapsed="false">
      <c r="A96" s="7" t="n">
        <v>20</v>
      </c>
      <c r="B96" s="546" t="n">
        <v>0.04461</v>
      </c>
    </row>
    <row r="97" customFormat="false" ht="12.75" hidden="true" customHeight="false" outlineLevel="1" collapsed="false">
      <c r="A97" s="7" t="n">
        <v>21</v>
      </c>
      <c r="B97" s="546" t="n">
        <v>0.0225</v>
      </c>
    </row>
  </sheetData>
  <printOptions headings="false" gridLines="false" gridLinesSet="true" horizontalCentered="false" verticalCentered="false"/>
  <pageMargins left="0.25" right="0.25" top="0.2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colBreaks count="2" manualBreakCount="2">
    <brk id="15" man="true" max="65535" min="0"/>
    <brk id="32" man="true" max="65535" min="0"/>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F312"/>
  <sheetViews>
    <sheetView showFormulas="false" showGridLines="true" showRowColHeaders="true" showZeros="true" rightToLeft="false" tabSelected="false" showOutlineSymbols="true" defaultGridColor="true" view="normal" topLeftCell="A7" colorId="64" zoomScale="75" zoomScaleNormal="75" zoomScalePageLayoutView="100" workbookViewId="0">
      <selection pane="topLeft" activeCell="C9" activeCellId="0" sqref="C9"/>
    </sheetView>
  </sheetViews>
  <sheetFormatPr defaultColWidth="10.5625" defaultRowHeight="11.25" customHeight="true" zeroHeight="false" outlineLevelRow="0" outlineLevelCol="0"/>
  <cols>
    <col collapsed="false" customWidth="false" hidden="false" outlineLevel="0" max="1" min="1" style="887" width="10.56"/>
    <col collapsed="false" customWidth="true" hidden="false" outlineLevel="0" max="2" min="2" style="887" width="18.28"/>
    <col collapsed="false" customWidth="true" hidden="false" outlineLevel="0" max="3" min="3" style="887" width="9.99"/>
    <col collapsed="false" customWidth="true" hidden="false" outlineLevel="0" max="4" min="4" style="887" width="15.99"/>
    <col collapsed="false" customWidth="true" hidden="false" outlineLevel="0" max="5" min="5" style="887" width="14.28"/>
    <col collapsed="false" customWidth="true" hidden="false" outlineLevel="0" max="6" min="6" style="887" width="16.99"/>
    <col collapsed="false" customWidth="false" hidden="false" outlineLevel="0" max="7" min="7" style="887" width="10.56"/>
    <col collapsed="false" customWidth="true" hidden="false" outlineLevel="0" max="8" min="8" style="887" width="12.28"/>
    <col collapsed="false" customWidth="true" hidden="false" outlineLevel="0" max="9" min="9" style="887" width="7.28"/>
    <col collapsed="false" customWidth="false" hidden="false" outlineLevel="0" max="11" min="10" style="887" width="10.56"/>
    <col collapsed="false" customWidth="false" hidden="false" outlineLevel="0" max="257" min="12" style="888" width="10.56"/>
  </cols>
  <sheetData>
    <row r="1" customFormat="false" ht="20.25" hidden="false" customHeight="false" outlineLevel="0" collapsed="false">
      <c r="A1" s="374" t="str">
        <f aca="false">'Project Assumptions'!$A$2</f>
        <v>GLEASON, TN</v>
      </c>
      <c r="B1" s="375"/>
      <c r="C1" s="889"/>
      <c r="D1" s="889"/>
      <c r="E1" s="889"/>
      <c r="F1" s="890"/>
      <c r="G1" s="890"/>
      <c r="H1" s="890"/>
      <c r="I1" s="889"/>
      <c r="L1" s="891"/>
      <c r="M1" s="891"/>
      <c r="N1" s="891"/>
      <c r="O1" s="891"/>
      <c r="P1" s="891"/>
      <c r="Q1" s="891"/>
      <c r="R1" s="891"/>
    </row>
    <row r="2" customFormat="false" ht="12.75" hidden="false" customHeight="false" outlineLevel="0" collapsed="false">
      <c r="A2" s="377" t="s">
        <v>660</v>
      </c>
      <c r="B2" s="892"/>
      <c r="C2" s="889"/>
      <c r="D2" s="889"/>
      <c r="E2" s="889"/>
      <c r="F2" s="890"/>
      <c r="G2" s="890"/>
      <c r="H2" s="890"/>
      <c r="I2" s="889"/>
      <c r="L2" s="891"/>
      <c r="M2" s="891"/>
      <c r="N2" s="891"/>
      <c r="O2" s="891"/>
      <c r="P2" s="891"/>
      <c r="Q2" s="891"/>
      <c r="R2" s="891"/>
    </row>
    <row r="3" customFormat="false" ht="12.75" hidden="false" customHeight="false" outlineLevel="0" collapsed="false">
      <c r="A3" s="19"/>
      <c r="B3" s="893"/>
      <c r="C3" s="889"/>
      <c r="D3" s="889"/>
      <c r="E3" s="889"/>
      <c r="F3" s="890"/>
      <c r="G3" s="890"/>
      <c r="H3" s="890"/>
      <c r="I3" s="889"/>
      <c r="L3" s="891"/>
      <c r="M3" s="891"/>
      <c r="N3" s="891"/>
      <c r="O3" s="891"/>
      <c r="P3" s="891"/>
      <c r="Q3" s="891"/>
      <c r="R3" s="891"/>
    </row>
    <row r="4" customFormat="false" ht="11.45" hidden="false" customHeight="true" outlineLevel="0" collapsed="false">
      <c r="A4" s="894" t="s">
        <v>661</v>
      </c>
      <c r="B4" s="889"/>
      <c r="C4" s="889"/>
      <c r="D4" s="889"/>
      <c r="E4" s="889"/>
      <c r="F4" s="890"/>
      <c r="G4" s="890"/>
      <c r="H4" s="890"/>
      <c r="I4" s="889"/>
      <c r="L4" s="891"/>
      <c r="M4" s="891"/>
      <c r="N4" s="891"/>
      <c r="O4" s="891"/>
      <c r="P4" s="891"/>
      <c r="Q4" s="891"/>
      <c r="R4" s="891"/>
    </row>
    <row r="5" customFormat="false" ht="11.45" hidden="false" customHeight="true" outlineLevel="0" collapsed="false">
      <c r="C5" s="895"/>
      <c r="D5" s="895"/>
      <c r="E5" s="895"/>
      <c r="F5" s="890"/>
      <c r="G5" s="890"/>
      <c r="H5" s="889"/>
      <c r="I5" s="896"/>
      <c r="L5" s="891"/>
      <c r="M5" s="891"/>
      <c r="N5" s="891"/>
      <c r="O5" s="891"/>
      <c r="P5" s="891"/>
      <c r="Q5" s="891"/>
      <c r="R5" s="891"/>
    </row>
    <row r="6" customFormat="false" ht="11.45" hidden="false" customHeight="true" outlineLevel="0" collapsed="false">
      <c r="A6" s="897" t="s">
        <v>662</v>
      </c>
      <c r="B6" s="898"/>
      <c r="C6" s="899" t="n">
        <v>138356</v>
      </c>
      <c r="D6" s="900" t="str">
        <f aca="false">IF(ABS(C6-C58)&gt;1,"Total Drawdown not Updated!!!","")</f>
        <v>Total Drawdown not Updated!!!</v>
      </c>
      <c r="E6" s="889"/>
      <c r="H6" s="896"/>
      <c r="I6" s="896"/>
      <c r="L6" s="891"/>
      <c r="M6" s="891"/>
      <c r="N6" s="891"/>
      <c r="O6" s="891"/>
      <c r="P6" s="891"/>
      <c r="Q6" s="891"/>
      <c r="R6" s="891"/>
    </row>
    <row r="7" customFormat="false" ht="11.45" hidden="false" customHeight="true" outlineLevel="0" collapsed="false">
      <c r="A7" s="901" t="s">
        <v>663</v>
      </c>
      <c r="B7" s="902"/>
      <c r="C7" s="903" t="n">
        <f aca="false">'Project Assumptions'!B54</f>
        <v>0.064</v>
      </c>
      <c r="D7" s="904"/>
      <c r="H7" s="902"/>
      <c r="I7" s="905"/>
      <c r="L7" s="891"/>
      <c r="M7" s="891"/>
      <c r="N7" s="891"/>
      <c r="O7" s="891"/>
      <c r="P7" s="891"/>
      <c r="Q7" s="891"/>
      <c r="R7" s="891"/>
    </row>
    <row r="8" customFormat="false" ht="11.45" hidden="false" customHeight="true" outlineLevel="0" collapsed="false">
      <c r="A8" s="901" t="s">
        <v>664</v>
      </c>
      <c r="B8" s="902"/>
      <c r="C8" s="906" t="n">
        <v>19</v>
      </c>
      <c r="D8" s="907"/>
      <c r="G8" s="908"/>
      <c r="H8" s="905"/>
      <c r="I8" s="905"/>
      <c r="L8" s="891"/>
      <c r="M8" s="891"/>
      <c r="N8" s="891"/>
      <c r="O8" s="891"/>
      <c r="P8" s="891"/>
      <c r="Q8" s="891"/>
      <c r="R8" s="891"/>
    </row>
    <row r="9" customFormat="false" ht="11.25" hidden="false" customHeight="false" outlineLevel="0" collapsed="false">
      <c r="A9" s="901" t="s">
        <v>665</v>
      </c>
      <c r="B9" s="902"/>
      <c r="C9" s="903" t="n">
        <f aca="false">C7/12</f>
        <v>0.00533333333333333</v>
      </c>
      <c r="D9" s="904"/>
      <c r="G9" s="908"/>
      <c r="H9" s="905"/>
      <c r="I9" s="905"/>
      <c r="L9" s="891"/>
      <c r="M9" s="891"/>
      <c r="N9" s="891"/>
      <c r="O9" s="891"/>
      <c r="P9" s="891"/>
      <c r="Q9" s="891"/>
      <c r="R9" s="891"/>
    </row>
    <row r="10" customFormat="false" ht="11.45" hidden="false" customHeight="true" outlineLevel="0" collapsed="false">
      <c r="A10" s="909"/>
      <c r="B10" s="902"/>
      <c r="C10" s="910"/>
      <c r="D10" s="902"/>
      <c r="H10" s="905"/>
      <c r="I10" s="905"/>
      <c r="L10" s="891"/>
      <c r="M10" s="891"/>
      <c r="N10" s="891"/>
      <c r="O10" s="891"/>
      <c r="P10" s="891"/>
      <c r="Q10" s="891"/>
      <c r="R10" s="891"/>
    </row>
    <row r="11" customFormat="false" ht="11.45" hidden="false" customHeight="true" outlineLevel="0" collapsed="false">
      <c r="A11" s="901" t="s">
        <v>666</v>
      </c>
      <c r="B11" s="902"/>
      <c r="C11" s="911" t="n">
        <v>0.0035</v>
      </c>
      <c r="D11" s="912"/>
      <c r="H11" s="913"/>
      <c r="I11" s="913"/>
      <c r="L11" s="891"/>
      <c r="M11" s="891"/>
      <c r="N11" s="891"/>
      <c r="O11" s="891"/>
      <c r="P11" s="891"/>
      <c r="Q11" s="891"/>
      <c r="R11" s="891"/>
    </row>
    <row r="12" customFormat="false" ht="11.45" hidden="false" customHeight="true" outlineLevel="0" collapsed="false">
      <c r="A12" s="909"/>
      <c r="B12" s="902"/>
      <c r="C12" s="910"/>
      <c r="D12" s="902"/>
      <c r="L12" s="891"/>
      <c r="M12" s="891"/>
      <c r="N12" s="891"/>
      <c r="O12" s="891"/>
      <c r="P12" s="891"/>
      <c r="Q12" s="891"/>
      <c r="R12" s="891"/>
    </row>
    <row r="13" customFormat="false" ht="11.45" hidden="false" customHeight="true" outlineLevel="0" collapsed="false">
      <c r="A13" s="901" t="s">
        <v>667</v>
      </c>
      <c r="B13" s="902"/>
      <c r="C13" s="914" t="n">
        <v>1</v>
      </c>
      <c r="D13" s="915"/>
      <c r="F13" s="916"/>
      <c r="L13" s="891"/>
      <c r="M13" s="891"/>
      <c r="N13" s="891"/>
      <c r="O13" s="891"/>
      <c r="P13" s="891"/>
      <c r="Q13" s="891"/>
      <c r="R13" s="891"/>
    </row>
    <row r="14" customFormat="false" ht="11.45" hidden="false" customHeight="true" outlineLevel="0" collapsed="false">
      <c r="A14" s="917" t="s">
        <v>668</v>
      </c>
      <c r="B14" s="918"/>
      <c r="C14" s="919"/>
      <c r="D14" s="894"/>
      <c r="G14" s="908"/>
      <c r="H14" s="908"/>
      <c r="I14" s="908"/>
      <c r="L14" s="891"/>
      <c r="M14" s="891"/>
      <c r="N14" s="891"/>
      <c r="O14" s="891"/>
      <c r="P14" s="891"/>
      <c r="Q14" s="891"/>
      <c r="R14" s="891"/>
    </row>
    <row r="15" customFormat="false" ht="11.45" hidden="false" customHeight="true" outlineLevel="0" collapsed="false">
      <c r="A15" s="920" t="s">
        <v>669</v>
      </c>
      <c r="B15" s="918"/>
      <c r="C15" s="921" t="n">
        <f aca="false">VLOOKUP(C8,A21:F57,6)</f>
        <v>11404.0576513671</v>
      </c>
      <c r="D15" s="922"/>
      <c r="G15" s="908"/>
      <c r="H15" s="908"/>
      <c r="I15" s="908"/>
      <c r="L15" s="891"/>
      <c r="M15" s="891"/>
      <c r="N15" s="891"/>
      <c r="O15" s="891"/>
      <c r="P15" s="891"/>
      <c r="Q15" s="891"/>
      <c r="R15" s="891"/>
    </row>
    <row r="16" customFormat="false" ht="11.45" hidden="false" customHeight="true" outlineLevel="0" collapsed="false">
      <c r="A16" s="894"/>
      <c r="B16" s="902"/>
      <c r="C16" s="922"/>
      <c r="D16" s="922"/>
      <c r="F16" s="923"/>
      <c r="G16" s="923"/>
      <c r="H16" s="923"/>
      <c r="I16" s="923"/>
      <c r="J16" s="923"/>
      <c r="K16" s="923"/>
      <c r="L16" s="924"/>
      <c r="M16" s="924"/>
      <c r="N16" s="924"/>
      <c r="O16" s="924"/>
      <c r="P16" s="924"/>
      <c r="Q16" s="924"/>
      <c r="R16" s="924"/>
      <c r="S16" s="924"/>
      <c r="T16" s="924"/>
      <c r="U16" s="924"/>
      <c r="V16" s="924"/>
      <c r="W16" s="924"/>
      <c r="X16" s="924"/>
      <c r="Y16" s="924"/>
      <c r="Z16" s="924"/>
      <c r="AA16" s="924"/>
      <c r="AB16" s="924"/>
      <c r="AC16" s="924"/>
      <c r="AD16" s="924"/>
      <c r="AE16" s="924"/>
      <c r="AF16" s="924"/>
    </row>
    <row r="17" customFormat="false" ht="11.45" hidden="false" customHeight="true" outlineLevel="0" collapsed="false">
      <c r="A17" s="894"/>
      <c r="B17" s="902"/>
      <c r="C17" s="922"/>
      <c r="D17" s="922"/>
      <c r="G17" s="908"/>
      <c r="H17" s="908"/>
      <c r="I17" s="908"/>
      <c r="L17" s="891"/>
      <c r="M17" s="891"/>
      <c r="N17" s="891"/>
      <c r="O17" s="891"/>
      <c r="P17" s="891"/>
      <c r="Q17" s="891"/>
      <c r="R17" s="891"/>
    </row>
    <row r="18" customFormat="false" ht="22.5" hidden="false" customHeight="true" outlineLevel="0" collapsed="false">
      <c r="A18" s="925" t="s">
        <v>670</v>
      </c>
      <c r="B18" s="925" t="s">
        <v>671</v>
      </c>
      <c r="C18" s="925" t="s">
        <v>278</v>
      </c>
      <c r="D18" s="926" t="s">
        <v>672</v>
      </c>
      <c r="E18" s="925" t="s">
        <v>673</v>
      </c>
      <c r="F18" s="927" t="s">
        <v>674</v>
      </c>
      <c r="G18" s="908"/>
      <c r="H18" s="7"/>
      <c r="I18" s="7"/>
      <c r="L18" s="891"/>
      <c r="M18" s="891"/>
      <c r="N18" s="891"/>
      <c r="O18" s="891"/>
      <c r="P18" s="891"/>
      <c r="Q18" s="891"/>
      <c r="R18" s="891"/>
    </row>
    <row r="19" customFormat="false" ht="11.45" hidden="false" customHeight="true" outlineLevel="0" collapsed="false">
      <c r="A19" s="928"/>
      <c r="B19" s="929"/>
      <c r="C19" s="928"/>
      <c r="D19" s="928"/>
      <c r="E19" s="929"/>
      <c r="F19" s="930"/>
      <c r="G19" s="908"/>
      <c r="H19" s="7"/>
      <c r="I19" s="7"/>
      <c r="L19" s="891"/>
      <c r="M19" s="891"/>
      <c r="N19" s="891"/>
      <c r="O19" s="891"/>
      <c r="P19" s="891"/>
      <c r="Q19" s="891"/>
      <c r="R19" s="891"/>
    </row>
    <row r="20" customFormat="false" ht="12.75" hidden="false" customHeight="false" outlineLevel="0" collapsed="false">
      <c r="A20" s="928"/>
      <c r="B20" s="929"/>
      <c r="C20" s="928"/>
      <c r="D20" s="928"/>
      <c r="E20" s="929"/>
      <c r="F20" s="930"/>
      <c r="H20" s="7"/>
      <c r="I20" s="7"/>
    </row>
    <row r="21" customFormat="false" ht="11.45" hidden="false" customHeight="true" outlineLevel="0" collapsed="false">
      <c r="A21" s="931" t="n">
        <v>0</v>
      </c>
      <c r="B21" s="932" t="n">
        <f aca="false">C21/$C$6</f>
        <v>0.212325811674232</v>
      </c>
      <c r="C21" s="933" t="n">
        <v>29376.55</v>
      </c>
      <c r="D21" s="934" t="n">
        <f aca="false">D20+C21+E20</f>
        <v>29376.55</v>
      </c>
      <c r="E21" s="933" t="n">
        <v>704.264</v>
      </c>
      <c r="F21" s="935" t="n">
        <f aca="false">IF(A21&lt;=$C$8,E21+F20,F20)</f>
        <v>704.264</v>
      </c>
      <c r="H21" s="7"/>
      <c r="I21" s="7"/>
    </row>
    <row r="22" customFormat="false" ht="11.45" hidden="false" customHeight="true" outlineLevel="0" collapsed="false">
      <c r="A22" s="931" t="n">
        <v>1</v>
      </c>
      <c r="B22" s="932" t="n">
        <f aca="false">C22/$C$6</f>
        <v>0.31621613807858</v>
      </c>
      <c r="C22" s="933" t="n">
        <v>43750.4</v>
      </c>
      <c r="D22" s="934" t="n">
        <f aca="false">D21+C22+E21</f>
        <v>73831.214</v>
      </c>
      <c r="E22" s="933" t="n">
        <v>320.324</v>
      </c>
      <c r="F22" s="935" t="n">
        <f aca="false">IF(A22&lt;=$C$8,E22+F21,F21)</f>
        <v>1024.588</v>
      </c>
      <c r="H22" s="7"/>
      <c r="I22" s="7"/>
    </row>
    <row r="23" customFormat="false" ht="11.45" hidden="false" customHeight="true" outlineLevel="0" collapsed="false">
      <c r="A23" s="931" t="n">
        <f aca="false">A22+1</f>
        <v>2</v>
      </c>
      <c r="B23" s="932" t="n">
        <f aca="false">C23/$C$6</f>
        <v>0.0225147445719738</v>
      </c>
      <c r="C23" s="933" t="n">
        <v>3115.05</v>
      </c>
      <c r="D23" s="934" t="n">
        <f aca="false">D22+C23+E22</f>
        <v>77266.588</v>
      </c>
      <c r="E23" s="933" t="n">
        <v>477.324</v>
      </c>
      <c r="F23" s="935" t="n">
        <f aca="false">IF(A23&lt;=$C$8,E23+F22,F22)</f>
        <v>1501.912</v>
      </c>
      <c r="H23" s="7"/>
      <c r="I23" s="7"/>
    </row>
    <row r="24" customFormat="false" ht="11.45" hidden="false" customHeight="true" outlineLevel="0" collapsed="false">
      <c r="A24" s="931" t="n">
        <f aca="false">A23+1</f>
        <v>3</v>
      </c>
      <c r="B24" s="932" t="n">
        <f aca="false">C24/$C$6</f>
        <v>0</v>
      </c>
      <c r="C24" s="933" t="n">
        <v>0</v>
      </c>
      <c r="D24" s="934" t="n">
        <f aca="false">D23+C24+E23</f>
        <v>77743.912</v>
      </c>
      <c r="E24" s="936" t="n">
        <f aca="false">IF(A24&gt;$C$8,0,((D23+(C24/2))*($C$9))+(($C$6-SUM($C$21:C24))*($C$11/12)))</f>
        <v>430.205052666667</v>
      </c>
      <c r="F24" s="935" t="n">
        <f aca="false">IF(A24&lt;=$C$8,E24+F23,F23)</f>
        <v>1932.11705266667</v>
      </c>
      <c r="H24" s="7"/>
      <c r="I24" s="7"/>
    </row>
    <row r="25" customFormat="false" ht="11.45" hidden="false" customHeight="true" outlineLevel="0" collapsed="false">
      <c r="A25" s="931" t="n">
        <f aca="false">A24+1</f>
        <v>4</v>
      </c>
      <c r="B25" s="932" t="n">
        <f aca="false">C25/$C$6</f>
        <v>0.0228395588192778</v>
      </c>
      <c r="C25" s="933" t="n">
        <v>3159.99</v>
      </c>
      <c r="D25" s="934" t="n">
        <f aca="false">D24+C25+E24</f>
        <v>81334.1070526667</v>
      </c>
      <c r="E25" s="936" t="n">
        <f aca="false">IF(A25&gt;$C$8,0,((D24+(C25/2))*($C$9))+(($C$6-SUM($C$21:C25))*($C$11/12)))</f>
        <v>440.255756916667</v>
      </c>
      <c r="F25" s="935" t="n">
        <f aca="false">IF(A25&lt;=$C$8,E25+F24,F24)</f>
        <v>2372.37280958333</v>
      </c>
      <c r="H25" s="7"/>
      <c r="I25" s="7"/>
    </row>
    <row r="26" customFormat="false" ht="11.45" hidden="false" customHeight="true" outlineLevel="0" collapsed="false">
      <c r="A26" s="931" t="n">
        <f aca="false">A25+1</f>
        <v>5</v>
      </c>
      <c r="B26" s="932" t="n">
        <f aca="false">C26/$C$6</f>
        <v>0.0253180780016768</v>
      </c>
      <c r="C26" s="933" t="n">
        <v>3502.908</v>
      </c>
      <c r="D26" s="934" t="n">
        <f aca="false">D25+C26+E25</f>
        <v>85277.2708095833</v>
      </c>
      <c r="E26" s="936" t="n">
        <f aca="false">IF(A26&gt;$C$8,0,((D25+(C26/2))*($C$9))+(($C$6-SUM($C$21:C26))*($C$11/12)))</f>
        <v>459.296230364222</v>
      </c>
      <c r="F26" s="935" t="n">
        <f aca="false">IF(A26&lt;=$C$8,E26+F25,F25)</f>
        <v>2831.66903994756</v>
      </c>
      <c r="H26" s="7"/>
      <c r="I26" s="7"/>
    </row>
    <row r="27" customFormat="false" ht="11.45" hidden="false" customHeight="true" outlineLevel="0" collapsed="false">
      <c r="A27" s="931" t="n">
        <f aca="false">A26+1</f>
        <v>6</v>
      </c>
      <c r="B27" s="932" t="n">
        <f aca="false">C27/$C$6</f>
        <v>0.0254682124374801</v>
      </c>
      <c r="C27" s="933" t="n">
        <v>3523.68</v>
      </c>
      <c r="D27" s="934" t="n">
        <f aca="false">D26+C27+E26</f>
        <v>89260.2470399475</v>
      </c>
      <c r="E27" s="936" t="n">
        <f aca="false">IF(A27&gt;$C$8,0,((D26+(C27/2))*($C$9))+(($C$6-SUM($C$21:C27))*($C$11/12)))</f>
        <v>479.354089067778</v>
      </c>
      <c r="F27" s="935" t="n">
        <f aca="false">IF(A27&lt;=$C$8,E27+F26,F26)</f>
        <v>3311.02312901533</v>
      </c>
      <c r="H27" s="7"/>
      <c r="I27" s="7"/>
    </row>
    <row r="28" customFormat="false" ht="11.45" hidden="false" customHeight="true" outlineLevel="0" collapsed="false">
      <c r="A28" s="931" t="n">
        <f aca="false">A27+1</f>
        <v>7</v>
      </c>
      <c r="B28" s="932" t="n">
        <f aca="false">C28/$C$6</f>
        <v>0.000865520830321779</v>
      </c>
      <c r="C28" s="933" t="n">
        <v>119.75</v>
      </c>
      <c r="D28" s="934" t="n">
        <f aca="false">D27+C28+E27</f>
        <v>89859.3511290153</v>
      </c>
      <c r="E28" s="936" t="n">
        <f aca="false">IF(A28&gt;$C$8,0,((D27+(C28/2))*($C$9))+(($C$6-SUM($C$21:C28))*($C$11/12)))</f>
        <v>491.484555213054</v>
      </c>
      <c r="F28" s="935" t="n">
        <f aca="false">IF(A28&lt;=$C$8,E28+F27,F27)</f>
        <v>3802.50768422839</v>
      </c>
      <c r="H28" s="7"/>
      <c r="I28" s="7"/>
    </row>
    <row r="29" customFormat="false" ht="11.45" hidden="false" customHeight="true" outlineLevel="0" collapsed="false">
      <c r="A29" s="931" t="n">
        <f aca="false">A28+1</f>
        <v>8</v>
      </c>
      <c r="B29" s="932" t="n">
        <f aca="false">C29/$C$6</f>
        <v>0.038304677787736</v>
      </c>
      <c r="C29" s="933" t="n">
        <v>5299.682</v>
      </c>
      <c r="D29" s="934" t="n">
        <f aca="false">D28+C29+E28</f>
        <v>95650.5176842284</v>
      </c>
      <c r="E29" s="936" t="n">
        <f aca="false">IF(A29&gt;$C$8,0,((D28+(C29/2))*($C$9))+(($C$6-SUM($C$21:C29))*($C$11/12)))</f>
        <v>506.947188438082</v>
      </c>
      <c r="F29" s="935" t="n">
        <f aca="false">IF(A29&lt;=$C$8,E29+F28,F28)</f>
        <v>4309.45487266647</v>
      </c>
      <c r="H29" s="7"/>
      <c r="I29" s="7"/>
    </row>
    <row r="30" customFormat="false" ht="11.45" hidden="false" customHeight="true" outlineLevel="0" collapsed="false">
      <c r="A30" s="931" t="n">
        <f aca="false">A29+1</f>
        <v>9</v>
      </c>
      <c r="B30" s="932" t="n">
        <f aca="false">C30/$C$6</f>
        <v>0.0249333820000578</v>
      </c>
      <c r="C30" s="933" t="n">
        <v>3449.683</v>
      </c>
      <c r="D30" s="934" t="n">
        <f aca="false">D29+C30+E29</f>
        <v>99607.1478726665</v>
      </c>
      <c r="E30" s="936" t="n">
        <f aca="false">IF(A30&gt;$C$8,0,((D29+(C30/2))*($C$9))+(($C$6-SUM($C$21:C30))*($C$11/12)))</f>
        <v>531.893921857551</v>
      </c>
      <c r="F30" s="935" t="n">
        <f aca="false">IF(A30&lt;=$C$8,E30+F29,F29)</f>
        <v>4841.34879452402</v>
      </c>
      <c r="H30" s="7"/>
      <c r="I30" s="7"/>
    </row>
    <row r="31" customFormat="false" ht="11.45" hidden="false" customHeight="true" outlineLevel="0" collapsed="false">
      <c r="A31" s="931" t="n">
        <f aca="false">A30+1</f>
        <v>10</v>
      </c>
      <c r="B31" s="932" t="n">
        <f aca="false">C31/$C$6</f>
        <v>0.0107670285350834</v>
      </c>
      <c r="C31" s="933" t="n">
        <v>1489.683</v>
      </c>
      <c r="D31" s="934" t="n">
        <f aca="false">D30+C31+E30</f>
        <v>101628.724794524</v>
      </c>
      <c r="E31" s="936" t="n">
        <f aca="false">IF(A31&gt;$C$8,0,((D30+(C31/2))*($C$9))+(($C$6-SUM($C$21:C31))*($C$11/12)))</f>
        <v>547.334791987555</v>
      </c>
      <c r="F31" s="935" t="n">
        <f aca="false">IF(A31&lt;=$C$8,E31+F30,F30)</f>
        <v>5388.68358651157</v>
      </c>
      <c r="H31" s="7"/>
      <c r="I31" s="7"/>
    </row>
    <row r="32" customFormat="false" ht="11.45" hidden="false" customHeight="true" outlineLevel="0" collapsed="false">
      <c r="A32" s="931" t="n">
        <f aca="false">A31+1</f>
        <v>11</v>
      </c>
      <c r="B32" s="932" t="n">
        <f aca="false">C32/$C$6</f>
        <v>0.0219962126687675</v>
      </c>
      <c r="C32" s="933" t="n">
        <v>3043.308</v>
      </c>
      <c r="D32" s="934" t="n">
        <f aca="false">D31+C32+E31</f>
        <v>105219.367586512</v>
      </c>
      <c r="E32" s="936" t="n">
        <f aca="false">IF(A32&gt;$C$8,0,((D31+(C32/2))*($C$9))+(($C$6-SUM($C$21:C32))*($C$11/12)))</f>
        <v>561.371904070795</v>
      </c>
      <c r="F32" s="935" t="n">
        <f aca="false">IF(A32&lt;=$C$8,E32+F31,F31)</f>
        <v>5950.05549058237</v>
      </c>
      <c r="H32" s="7"/>
      <c r="I32" s="7"/>
    </row>
    <row r="33" customFormat="false" ht="11.45" hidden="false" customHeight="true" outlineLevel="0" collapsed="false">
      <c r="A33" s="931" t="n">
        <f aca="false">A32+1</f>
        <v>12</v>
      </c>
      <c r="B33" s="932" t="n">
        <f aca="false">C33/$C$6</f>
        <v>0.0315820998005146</v>
      </c>
      <c r="C33" s="933" t="n">
        <v>4369.573</v>
      </c>
      <c r="D33" s="934" t="n">
        <f aca="false">D32+C33+E32</f>
        <v>110150.312490582</v>
      </c>
      <c r="E33" s="936" t="n">
        <f aca="false">IF(A33&gt;$C$8,0,((D32+(C33/2))*($C$9))+(($C$6-SUM($C$21:C33))*($C$11/12)))</f>
        <v>582.784246836395</v>
      </c>
      <c r="F33" s="935" t="n">
        <f aca="false">IF(A33&lt;=$C$8,E33+F32,F32)</f>
        <v>6532.83973741876</v>
      </c>
      <c r="H33" s="7"/>
      <c r="I33" s="7"/>
    </row>
    <row r="34" customFormat="false" ht="11.45" hidden="false" customHeight="true" outlineLevel="0" collapsed="false">
      <c r="A34" s="931" t="n">
        <f aca="false">A33+1</f>
        <v>13</v>
      </c>
      <c r="B34" s="932" t="n">
        <f aca="false">C34/$C$6</f>
        <v>0.0402682211107578</v>
      </c>
      <c r="C34" s="933" t="n">
        <v>5571.35</v>
      </c>
      <c r="D34" s="934" t="n">
        <f aca="false">D33+C34+E33</f>
        <v>116304.446737419</v>
      </c>
      <c r="E34" s="936" t="n">
        <f aca="false">IF(A34&gt;$C$8,0,((D33+(C34/2))*($C$9))+(($C$6-SUM($C$21:C34))*($C$11/12)))</f>
        <v>610.662381241439</v>
      </c>
      <c r="F34" s="935" t="n">
        <f aca="false">IF(A34&lt;=$C$8,E34+F33,F33)</f>
        <v>7143.5021186602</v>
      </c>
      <c r="H34" s="7"/>
      <c r="I34" s="7"/>
    </row>
    <row r="35" customFormat="false" ht="11.45" hidden="false" customHeight="true" outlineLevel="0" collapsed="false">
      <c r="A35" s="931" t="n">
        <f aca="false">A34+1</f>
        <v>14</v>
      </c>
      <c r="B35" s="932" t="n">
        <f aca="false">C35/$C$6</f>
        <v>0.0378107852207349</v>
      </c>
      <c r="C35" s="933" t="n">
        <v>5231.349</v>
      </c>
      <c r="D35" s="934" t="n">
        <f aca="false">D34+C35+E34</f>
        <v>122146.45811866</v>
      </c>
      <c r="E35" s="936" t="n">
        <f aca="false">IF(A35&gt;$C$8,0,((D34+(C35/2))*($C$9))+(($C$6-SUM($C$21:C35))*($C$11/12)))</f>
        <v>641.051951099567</v>
      </c>
      <c r="F35" s="935" t="n">
        <f aca="false">IF(A35&lt;=$C$8,E35+F34,F34)</f>
        <v>7784.55406975977</v>
      </c>
      <c r="H35" s="7"/>
      <c r="I35" s="7"/>
    </row>
    <row r="36" customFormat="false" ht="11.45" hidden="false" customHeight="true" outlineLevel="0" collapsed="false">
      <c r="A36" s="931" t="n">
        <f aca="false">A35+1</f>
        <v>15</v>
      </c>
      <c r="B36" s="932" t="n">
        <f aca="false">C36/$C$6</f>
        <v>0.03498591315158</v>
      </c>
      <c r="C36" s="933" t="n">
        <v>4840.511</v>
      </c>
      <c r="D36" s="934" t="n">
        <f aca="false">D35+C36+E35</f>
        <v>127628.02106976</v>
      </c>
      <c r="E36" s="936" t="n">
        <f aca="false">IF(A36&gt;$C$8,0,((D35+(C36/2))*($C$9))+(($C$6-SUM($C$21:C36))*($C$11/12)))</f>
        <v>669.755294757854</v>
      </c>
      <c r="F36" s="935" t="n">
        <f aca="false">IF(A36&lt;=$C$8,E36+F35,F35)</f>
        <v>8454.30936451762</v>
      </c>
      <c r="H36" s="7"/>
      <c r="I36" s="7"/>
    </row>
    <row r="37" customFormat="false" ht="11.45" hidden="false" customHeight="true" outlineLevel="0" collapsed="false">
      <c r="A37" s="931" t="n">
        <f aca="false">A36+1</f>
        <v>16</v>
      </c>
      <c r="B37" s="932" t="n">
        <f aca="false">C37/$C$6</f>
        <v>0.0320171297233224</v>
      </c>
      <c r="C37" s="933" t="n">
        <v>4429.762</v>
      </c>
      <c r="D37" s="934" t="n">
        <f aca="false">D36+C37+E36</f>
        <v>132727.538364518</v>
      </c>
      <c r="E37" s="936" t="n">
        <f aca="false">IF(A37&gt;$C$8,0,((D36+(C37/2))*($C$9))+(($C$6-SUM($C$21:C37))*($C$11/12)))</f>
        <v>696.602952580385</v>
      </c>
      <c r="F37" s="935" t="n">
        <f aca="false">IF(A37&lt;=$C$8,E37+F36,F36)</f>
        <v>9150.91231709801</v>
      </c>
      <c r="H37" s="7"/>
      <c r="I37" s="7"/>
    </row>
    <row r="38" customFormat="false" ht="11.45" hidden="false" customHeight="true" outlineLevel="0" collapsed="false">
      <c r="A38" s="931" t="n">
        <f aca="false">A37+1</f>
        <v>17</v>
      </c>
      <c r="B38" s="932" t="n">
        <f aca="false">C38/$C$6</f>
        <v>0.0298488103154182</v>
      </c>
      <c r="C38" s="933" t="n">
        <v>4129.762</v>
      </c>
      <c r="D38" s="934" t="n">
        <f aca="false">D37+C38+E37</f>
        <v>137553.903317098</v>
      </c>
      <c r="E38" s="936" t="n">
        <f aca="false">IF(A38&gt;$C$8,0,((D37+(C38/2))*($C$9))+(($C$6-SUM($C$21:C38))*($C$11/12)))</f>
        <v>721.795864235761</v>
      </c>
      <c r="F38" s="935" t="n">
        <f aca="false">IF(A38&lt;=$C$8,E38+F37,F37)</f>
        <v>9872.70818133377</v>
      </c>
      <c r="H38" s="7"/>
      <c r="I38" s="7"/>
    </row>
    <row r="39" customFormat="false" ht="11.45" hidden="false" customHeight="true" outlineLevel="0" collapsed="false">
      <c r="A39" s="931" t="n">
        <f aca="false">A38+1</f>
        <v>18</v>
      </c>
      <c r="B39" s="932" t="n">
        <f aca="false">C39/$C$6</f>
        <v>0.0301034794298766</v>
      </c>
      <c r="C39" s="933" t="n">
        <v>4164.997</v>
      </c>
      <c r="D39" s="934" t="n">
        <f aca="false">D38+C39+E38</f>
        <v>142440.696181334</v>
      </c>
      <c r="E39" s="936" t="n">
        <f aca="false">IF(A39&gt;$C$8,0,((D38+(C39/2))*($C$9))+(($C$6-SUM($C$21:C39))*($C$11/12)))</f>
        <v>746.415646524523</v>
      </c>
      <c r="F39" s="935" t="n">
        <f aca="false">IF(A39&lt;=$C$8,E39+F38,F38)</f>
        <v>10619.1238278583</v>
      </c>
      <c r="H39" s="7"/>
      <c r="I39" s="7"/>
    </row>
    <row r="40" customFormat="false" ht="11.45" hidden="false" customHeight="true" outlineLevel="0" collapsed="false">
      <c r="A40" s="931" t="n">
        <f aca="false">A39+1</f>
        <v>19</v>
      </c>
      <c r="B40" s="932" t="n">
        <f aca="false">C40/$C$6</f>
        <v>0.0717050001445546</v>
      </c>
      <c r="C40" s="933" t="n">
        <v>9920.817</v>
      </c>
      <c r="D40" s="934" t="n">
        <f aca="false">D39+C40+E39</f>
        <v>153107.928827858</v>
      </c>
      <c r="E40" s="936" t="n">
        <f aca="false">IF(A40&gt;$C$8,0,((D39+(C40/2))*($C$9))+(($C$6-SUM($C$21:C40))*($C$11/12)))</f>
        <v>784.93382350878</v>
      </c>
      <c r="F40" s="935" t="n">
        <f aca="false">IF(A40&lt;=$C$8,E40+F39,F39)</f>
        <v>11404.0576513671</v>
      </c>
      <c r="H40" s="7"/>
      <c r="I40" s="7"/>
    </row>
    <row r="41" customFormat="false" ht="11.45" hidden="false" customHeight="true" outlineLevel="0" collapsed="false">
      <c r="A41" s="931" t="n">
        <f aca="false">A40+1</f>
        <v>20</v>
      </c>
      <c r="B41" s="932" t="n">
        <f aca="false">C41/$C$6</f>
        <v>0</v>
      </c>
      <c r="C41" s="933" t="n">
        <v>0</v>
      </c>
      <c r="D41" s="934" t="n">
        <f aca="false">D40+C41+E40</f>
        <v>153892.862651367</v>
      </c>
      <c r="E41" s="936" t="n">
        <f aca="false">IF(A41&gt;$C$8,0,((D40+(C41/2))*($C$9))+(($C$6-SUM($C$21:C41))*($C$11/12)))</f>
        <v>0</v>
      </c>
      <c r="F41" s="935" t="n">
        <f aca="false">IF(A41&lt;=$C$8,E41+F40,F40)</f>
        <v>11404.0576513671</v>
      </c>
      <c r="H41" s="7"/>
      <c r="I41" s="7"/>
    </row>
    <row r="42" customFormat="false" ht="11.45" hidden="false" customHeight="true" outlineLevel="0" collapsed="false">
      <c r="A42" s="931" t="n">
        <f aca="false">A41+1</f>
        <v>21</v>
      </c>
      <c r="B42" s="932" t="n">
        <f aca="false">C42/$C$6</f>
        <v>0</v>
      </c>
      <c r="C42" s="933" t="n">
        <v>0</v>
      </c>
      <c r="D42" s="934" t="n">
        <f aca="false">D41+C42+E41</f>
        <v>153892.862651367</v>
      </c>
      <c r="E42" s="936" t="n">
        <f aca="false">IF(A42&gt;$C$8,0,((D41+(C42/2))*($C$9))+(($C$6-SUM($C$21:C42))*($C$11/12)))</f>
        <v>0</v>
      </c>
      <c r="F42" s="935" t="n">
        <f aca="false">IF(A42&lt;=$C$8,E42+F41,F41)</f>
        <v>11404.0576513671</v>
      </c>
      <c r="H42" s="7"/>
      <c r="I42" s="7"/>
    </row>
    <row r="43" customFormat="false" ht="11.45" hidden="false" customHeight="true" outlineLevel="0" collapsed="false">
      <c r="A43" s="931" t="n">
        <f aca="false">A42+1</f>
        <v>22</v>
      </c>
      <c r="B43" s="932" t="n">
        <f aca="false">C43/$C$6</f>
        <v>0</v>
      </c>
      <c r="C43" s="933" t="n">
        <v>0</v>
      </c>
      <c r="D43" s="934" t="n">
        <f aca="false">D42+C43+E42</f>
        <v>153892.862651367</v>
      </c>
      <c r="E43" s="936" t="n">
        <f aca="false">IF(A43&gt;$C$8,0,((D42+(C43/2))*($C$9))+(($C$6-SUM($C$21:C43))*($C$11/12)))</f>
        <v>0</v>
      </c>
      <c r="F43" s="935" t="n">
        <f aca="false">IF(A43&lt;=$C$8,E43+F42,F42)</f>
        <v>11404.0576513671</v>
      </c>
      <c r="G43" s="7"/>
      <c r="H43" s="7"/>
      <c r="I43" s="7"/>
      <c r="L43" s="891"/>
      <c r="M43" s="891"/>
      <c r="N43" s="891"/>
      <c r="O43" s="891"/>
      <c r="P43" s="891"/>
      <c r="Q43" s="891"/>
      <c r="R43" s="891"/>
    </row>
    <row r="44" customFormat="false" ht="11.45" hidden="false" customHeight="true" outlineLevel="0" collapsed="false">
      <c r="A44" s="931" t="n">
        <f aca="false">A43+1</f>
        <v>23</v>
      </c>
      <c r="B44" s="932" t="n">
        <f aca="false">C44/$C$6</f>
        <v>0</v>
      </c>
      <c r="C44" s="933" t="n">
        <v>0</v>
      </c>
      <c r="D44" s="934" t="n">
        <f aca="false">D43+C44+E43</f>
        <v>153892.862651367</v>
      </c>
      <c r="E44" s="936" t="n">
        <f aca="false">IF(A44&gt;$C$8,0,((D43+(C44/2))*($C$9))+(($C$6-SUM($C$21:C44))*($C$11/12)))</f>
        <v>0</v>
      </c>
      <c r="F44" s="935" t="n">
        <f aca="false">IF(A44&lt;=$C$8,E44+F43,F43)</f>
        <v>11404.0576513671</v>
      </c>
      <c r="G44" s="7"/>
      <c r="H44" s="7"/>
      <c r="I44" s="7"/>
      <c r="L44" s="891"/>
      <c r="M44" s="891"/>
      <c r="N44" s="891"/>
      <c r="O44" s="891"/>
      <c r="P44" s="891"/>
      <c r="Q44" s="891"/>
      <c r="R44" s="891"/>
    </row>
    <row r="45" customFormat="false" ht="11.45" hidden="false" customHeight="true" outlineLevel="0" collapsed="false">
      <c r="A45" s="931" t="n">
        <f aca="false">A44+1</f>
        <v>24</v>
      </c>
      <c r="B45" s="932" t="n">
        <f aca="false">C45/$C$6</f>
        <v>0</v>
      </c>
      <c r="C45" s="933" t="n">
        <v>0</v>
      </c>
      <c r="D45" s="934" t="n">
        <f aca="false">D44+C45+E44</f>
        <v>153892.862651367</v>
      </c>
      <c r="E45" s="936" t="n">
        <f aca="false">IF(A45&gt;$C$8,0,((D44+(C45/2))*($C$9))+(($C$6-SUM($C$21:C45))*($C$11/12)))</f>
        <v>0</v>
      </c>
      <c r="F45" s="935" t="n">
        <f aca="false">IF(A45&lt;=$C$8,E45+F44,F44)</f>
        <v>11404.0576513671</v>
      </c>
      <c r="G45" s="7"/>
      <c r="H45" s="7"/>
      <c r="I45" s="7"/>
      <c r="L45" s="891"/>
      <c r="M45" s="891"/>
      <c r="N45" s="891"/>
      <c r="O45" s="891"/>
      <c r="P45" s="891"/>
      <c r="Q45" s="891"/>
      <c r="R45" s="891"/>
    </row>
    <row r="46" customFormat="false" ht="11.45" hidden="false" customHeight="true" outlineLevel="0" collapsed="false">
      <c r="A46" s="931" t="n">
        <f aca="false">A45+1</f>
        <v>25</v>
      </c>
      <c r="B46" s="932" t="n">
        <f aca="false">C46/$C$6</f>
        <v>0</v>
      </c>
      <c r="C46" s="933" t="n">
        <v>0</v>
      </c>
      <c r="D46" s="934" t="n">
        <f aca="false">D45+C46+E45</f>
        <v>153892.862651367</v>
      </c>
      <c r="E46" s="936" t="n">
        <f aca="false">IF(A46&gt;$C$8,0,((D45+(C46/2))*($C$9))+(($C$6-SUM($C$21:C46))*($C$11/12)))</f>
        <v>0</v>
      </c>
      <c r="F46" s="935" t="n">
        <f aca="false">IF(A46&lt;=$C$8,E46+F45,F45)</f>
        <v>11404.0576513671</v>
      </c>
      <c r="G46" s="7"/>
      <c r="H46" s="7"/>
      <c r="I46" s="7"/>
      <c r="L46" s="891"/>
      <c r="M46" s="891"/>
      <c r="N46" s="891"/>
      <c r="O46" s="891"/>
      <c r="P46" s="891"/>
      <c r="Q46" s="891"/>
      <c r="R46" s="891"/>
    </row>
    <row r="47" customFormat="false" ht="11.45" hidden="false" customHeight="true" outlineLevel="0" collapsed="false">
      <c r="A47" s="931" t="n">
        <f aca="false">A46+1</f>
        <v>26</v>
      </c>
      <c r="B47" s="932" t="n">
        <f aca="false">C47/$C$6</f>
        <v>0</v>
      </c>
      <c r="C47" s="933" t="n">
        <v>0</v>
      </c>
      <c r="D47" s="934" t="n">
        <f aca="false">D46+C47+E46</f>
        <v>153892.862651367</v>
      </c>
      <c r="E47" s="936" t="n">
        <f aca="false">IF(A47&gt;$C$8,0,((D46+(C47/2))*($C$9))+(($C$6-SUM($C$21:C47))*($C$11/12)))</f>
        <v>0</v>
      </c>
      <c r="F47" s="935" t="n">
        <f aca="false">IF(A47&lt;=$C$8,E47+F46,F46)</f>
        <v>11404.0576513671</v>
      </c>
      <c r="G47" s="7"/>
      <c r="H47" s="7"/>
      <c r="I47" s="7"/>
      <c r="L47" s="891"/>
      <c r="M47" s="891"/>
      <c r="N47" s="891"/>
      <c r="O47" s="891"/>
      <c r="P47" s="891"/>
      <c r="Q47" s="891"/>
      <c r="R47" s="891"/>
    </row>
    <row r="48" customFormat="false" ht="11.45" hidden="false" customHeight="true" outlineLevel="0" collapsed="false">
      <c r="A48" s="931" t="n">
        <f aca="false">A47+1</f>
        <v>27</v>
      </c>
      <c r="B48" s="932" t="n">
        <f aca="false">C48/$C$6</f>
        <v>0</v>
      </c>
      <c r="C48" s="933" t="n">
        <v>0</v>
      </c>
      <c r="D48" s="934" t="n">
        <f aca="false">D47+C48+E47</f>
        <v>153892.862651367</v>
      </c>
      <c r="E48" s="936" t="n">
        <f aca="false">IF(A48&gt;$C$8,0,((D47+(C48/2))*($C$9))+(($C$6-SUM($C$21:C48))*($C$11/12)))</f>
        <v>0</v>
      </c>
      <c r="F48" s="935" t="n">
        <f aca="false">IF(A48&lt;=$C$8,E48+F47,F47)</f>
        <v>11404.0576513671</v>
      </c>
      <c r="G48" s="7"/>
      <c r="H48" s="7"/>
      <c r="I48" s="7"/>
      <c r="L48" s="891"/>
      <c r="M48" s="891"/>
      <c r="N48" s="891"/>
      <c r="O48" s="891"/>
      <c r="P48" s="891"/>
      <c r="Q48" s="891"/>
      <c r="R48" s="891"/>
    </row>
    <row r="49" customFormat="false" ht="11.45" hidden="false" customHeight="true" outlineLevel="0" collapsed="false">
      <c r="A49" s="931" t="n">
        <f aca="false">A48+1</f>
        <v>28</v>
      </c>
      <c r="B49" s="932" t="n">
        <f aca="false">C49/$C$6</f>
        <v>0</v>
      </c>
      <c r="C49" s="933" t="n">
        <v>0</v>
      </c>
      <c r="D49" s="934" t="n">
        <f aca="false">D48+C49+E48</f>
        <v>153892.862651367</v>
      </c>
      <c r="E49" s="936" t="n">
        <f aca="false">IF(A49&gt;$C$8,0,((D48+(C49/2))*($C$9))+(($C$6-SUM($C$21:C49))*($C$11/12)))</f>
        <v>0</v>
      </c>
      <c r="F49" s="935" t="n">
        <f aca="false">IF(A49&lt;=$C$8,E49+F48,F48)</f>
        <v>11404.0576513671</v>
      </c>
      <c r="G49" s="7"/>
      <c r="H49" s="7"/>
      <c r="I49" s="7"/>
      <c r="L49" s="891"/>
      <c r="M49" s="891"/>
      <c r="N49" s="891"/>
      <c r="O49" s="891"/>
      <c r="P49" s="891"/>
      <c r="Q49" s="891"/>
      <c r="R49" s="891"/>
    </row>
    <row r="50" customFormat="false" ht="11.45" hidden="false" customHeight="true" outlineLevel="0" collapsed="false">
      <c r="A50" s="931" t="n">
        <f aca="false">A49+1</f>
        <v>29</v>
      </c>
      <c r="B50" s="932" t="n">
        <f aca="false">C50/$C$6</f>
        <v>0</v>
      </c>
      <c r="C50" s="933" t="n">
        <v>0</v>
      </c>
      <c r="D50" s="934" t="n">
        <f aca="false">D49+C50+E49</f>
        <v>153892.862651367</v>
      </c>
      <c r="E50" s="936" t="n">
        <f aca="false">IF(A50&gt;$C$8,0,((D49+(C50/2))*($C$9))+(($C$6-SUM($C$21:C50))*($C$11/12)))</f>
        <v>0</v>
      </c>
      <c r="F50" s="935" t="n">
        <f aca="false">IF(A50&lt;=$C$8,E50+F49,F49)</f>
        <v>11404.0576513671</v>
      </c>
      <c r="G50" s="7"/>
      <c r="H50" s="7"/>
      <c r="I50" s="7"/>
      <c r="L50" s="891"/>
      <c r="M50" s="891"/>
      <c r="N50" s="891"/>
      <c r="O50" s="891"/>
      <c r="P50" s="891"/>
      <c r="Q50" s="891"/>
      <c r="R50" s="891"/>
    </row>
    <row r="51" customFormat="false" ht="11.45" hidden="false" customHeight="true" outlineLevel="0" collapsed="false">
      <c r="A51" s="931" t="n">
        <f aca="false">A50+1</f>
        <v>30</v>
      </c>
      <c r="B51" s="932" t="n">
        <f aca="false">C51/$C$6</f>
        <v>0</v>
      </c>
      <c r="C51" s="933" t="n">
        <v>0</v>
      </c>
      <c r="D51" s="934" t="n">
        <f aca="false">D50+C51+E50</f>
        <v>153892.862651367</v>
      </c>
      <c r="E51" s="936" t="n">
        <f aca="false">IF(A51&gt;$C$8,0,((D50+(C51/2))*($C$9))+(($C$6-SUM($C$21:C51))*($C$11/12)))</f>
        <v>0</v>
      </c>
      <c r="F51" s="935" t="n">
        <f aca="false">IF(A51&lt;=$C$8,E51+F50,F50)</f>
        <v>11404.0576513671</v>
      </c>
      <c r="G51" s="7"/>
      <c r="H51" s="7"/>
      <c r="I51" s="7"/>
      <c r="L51" s="891"/>
      <c r="M51" s="891"/>
      <c r="N51" s="891"/>
      <c r="O51" s="891"/>
      <c r="P51" s="891"/>
      <c r="Q51" s="891"/>
      <c r="R51" s="891"/>
    </row>
    <row r="52" customFormat="false" ht="11.45" hidden="false" customHeight="true" outlineLevel="0" collapsed="false">
      <c r="A52" s="931" t="n">
        <f aca="false">A51+1</f>
        <v>31</v>
      </c>
      <c r="B52" s="932" t="n">
        <f aca="false">C52/$C$6</f>
        <v>0</v>
      </c>
      <c r="C52" s="933" t="n">
        <v>0</v>
      </c>
      <c r="D52" s="934" t="n">
        <f aca="false">D51+C52+E51</f>
        <v>153892.862651367</v>
      </c>
      <c r="E52" s="936" t="n">
        <f aca="false">IF(A52&gt;$C$8,0,((D51+(C52/2))*($C$9))+(($C$6-SUM($C$21:C52))*($C$11/12)))</f>
        <v>0</v>
      </c>
      <c r="F52" s="935" t="n">
        <f aca="false">IF(A52&lt;=$C$8,E52+F51,F51)</f>
        <v>11404.0576513671</v>
      </c>
      <c r="G52" s="7"/>
      <c r="H52" s="7"/>
      <c r="I52" s="7"/>
      <c r="L52" s="891"/>
      <c r="M52" s="891"/>
      <c r="N52" s="891"/>
      <c r="O52" s="891"/>
      <c r="P52" s="891"/>
      <c r="Q52" s="891"/>
      <c r="R52" s="891"/>
    </row>
    <row r="53" customFormat="false" ht="11.45" hidden="false" customHeight="true" outlineLevel="0" collapsed="false">
      <c r="A53" s="931" t="n">
        <f aca="false">A52+1</f>
        <v>32</v>
      </c>
      <c r="B53" s="932" t="n">
        <f aca="false">C53/$C$6</f>
        <v>0</v>
      </c>
      <c r="C53" s="933" t="n">
        <v>0</v>
      </c>
      <c r="D53" s="934" t="n">
        <f aca="false">D52+C53+E52</f>
        <v>153892.862651367</v>
      </c>
      <c r="E53" s="936" t="n">
        <f aca="false">IF(A53&gt;$C$8,0,((D52+(C53/2))*($C$9))+(($C$6-SUM($C$21:C53))*($C$11/12)))</f>
        <v>0</v>
      </c>
      <c r="F53" s="935" t="n">
        <f aca="false">IF(A53&lt;=$C$8,E53+F52,F52)</f>
        <v>11404.0576513671</v>
      </c>
      <c r="G53" s="7"/>
      <c r="H53" s="7"/>
      <c r="I53" s="7"/>
      <c r="L53" s="891"/>
      <c r="M53" s="891"/>
      <c r="N53" s="891"/>
      <c r="O53" s="891"/>
      <c r="P53" s="891"/>
      <c r="Q53" s="891"/>
      <c r="R53" s="891"/>
    </row>
    <row r="54" customFormat="false" ht="11.45" hidden="false" customHeight="true" outlineLevel="0" collapsed="false">
      <c r="A54" s="931" t="n">
        <f aca="false">A53+1</f>
        <v>33</v>
      </c>
      <c r="B54" s="932" t="n">
        <f aca="false">C54/$C$6</f>
        <v>0</v>
      </c>
      <c r="C54" s="933" t="n">
        <v>0</v>
      </c>
      <c r="D54" s="934" t="n">
        <f aca="false">D53+C54+E53</f>
        <v>153892.862651367</v>
      </c>
      <c r="E54" s="936" t="n">
        <f aca="false">IF(A54&gt;$C$8,0,((D53+(C54/2))*($C$9))+(($C$6-SUM($C$21:C54))*($C$11/12)))</f>
        <v>0</v>
      </c>
      <c r="F54" s="935" t="n">
        <f aca="false">IF(A54&lt;=$C$8,E54+F53,F53)</f>
        <v>11404.0576513671</v>
      </c>
      <c r="G54" s="7"/>
      <c r="H54" s="7"/>
      <c r="I54" s="7"/>
      <c r="L54" s="891"/>
      <c r="M54" s="891"/>
      <c r="N54" s="891"/>
      <c r="O54" s="891"/>
      <c r="P54" s="891"/>
      <c r="Q54" s="891"/>
      <c r="R54" s="891"/>
    </row>
    <row r="55" customFormat="false" ht="11.45" hidden="false" customHeight="true" outlineLevel="0" collapsed="false">
      <c r="A55" s="931" t="n">
        <f aca="false">A54+1</f>
        <v>34</v>
      </c>
      <c r="B55" s="932" t="n">
        <f aca="false">C55/$C$6</f>
        <v>0</v>
      </c>
      <c r="C55" s="933" t="n">
        <v>0</v>
      </c>
      <c r="D55" s="934" t="n">
        <f aca="false">D54+C55+E54</f>
        <v>153892.862651367</v>
      </c>
      <c r="E55" s="936" t="n">
        <f aca="false">IF(A55&gt;$C$8,0,((D54+(C55/2))*($C$9))+(($C$6-SUM($C$21:C55))*($C$11/12)))</f>
        <v>0</v>
      </c>
      <c r="F55" s="935" t="n">
        <f aca="false">IF(A55&lt;=$C$8,E55+F54,F54)</f>
        <v>11404.0576513671</v>
      </c>
      <c r="G55" s="7"/>
      <c r="H55" s="7"/>
      <c r="I55" s="7"/>
      <c r="L55" s="891"/>
      <c r="M55" s="891"/>
      <c r="N55" s="891"/>
      <c r="O55" s="891"/>
      <c r="P55" s="891"/>
      <c r="Q55" s="891"/>
      <c r="R55" s="891"/>
    </row>
    <row r="56" customFormat="false" ht="11.45" hidden="false" customHeight="true" outlineLevel="0" collapsed="false">
      <c r="A56" s="931" t="n">
        <f aca="false">A55+1</f>
        <v>35</v>
      </c>
      <c r="B56" s="932" t="n">
        <f aca="false">C56/$C$6</f>
        <v>0</v>
      </c>
      <c r="C56" s="933" t="n">
        <v>0</v>
      </c>
      <c r="D56" s="934" t="n">
        <f aca="false">D55+C56+E55</f>
        <v>153892.862651367</v>
      </c>
      <c r="E56" s="936" t="n">
        <f aca="false">IF(A56&gt;$C$8,0,((D55+(C56/2))*($C$9))+(($C$6-SUM($C$21:C56))*($C$11/12)))</f>
        <v>0</v>
      </c>
      <c r="F56" s="935" t="n">
        <f aca="false">IF(A56&lt;=$C$8,E56+F55,F55)</f>
        <v>11404.0576513671</v>
      </c>
      <c r="G56" s="7"/>
      <c r="H56" s="7"/>
      <c r="I56" s="7"/>
      <c r="L56" s="891"/>
      <c r="M56" s="891"/>
      <c r="N56" s="891"/>
      <c r="O56" s="891"/>
      <c r="P56" s="891"/>
      <c r="Q56" s="891"/>
      <c r="R56" s="891"/>
    </row>
    <row r="57" customFormat="false" ht="11.45" hidden="false" customHeight="true" outlineLevel="0" collapsed="false">
      <c r="A57" s="937" t="n">
        <f aca="false">A56+1</f>
        <v>36</v>
      </c>
      <c r="B57" s="938" t="n">
        <f aca="false">IF($C$13=1,I57,H57)</f>
        <v>0</v>
      </c>
      <c r="C57" s="939" t="n">
        <v>0</v>
      </c>
      <c r="D57" s="940" t="n">
        <f aca="false">D56+C57+E56</f>
        <v>153892.862651367</v>
      </c>
      <c r="E57" s="941" t="n">
        <f aca="false">IF(A57&gt;$C$8,0,((D56+(C57))*($C$9))+(($C$6-SUM($C$21:C57))*($C$11/12)))</f>
        <v>0</v>
      </c>
      <c r="F57" s="942" t="n">
        <f aca="false">IF(A57&lt;=$C$8,E57+F56,F56)</f>
        <v>11404.0576513671</v>
      </c>
      <c r="G57" s="7"/>
      <c r="H57" s="7"/>
      <c r="I57" s="7"/>
      <c r="L57" s="891"/>
      <c r="M57" s="891"/>
      <c r="N57" s="891"/>
      <c r="O57" s="891"/>
      <c r="P57" s="891"/>
      <c r="Q57" s="891"/>
      <c r="R57" s="891"/>
    </row>
    <row r="58" customFormat="false" ht="12.75" hidden="false" customHeight="false" outlineLevel="0" collapsed="false">
      <c r="A58" s="7"/>
      <c r="B58" s="943" t="n">
        <f aca="false">SUM(B21:B57)</f>
        <v>1.02987080430195</v>
      </c>
      <c r="C58" s="644" t="n">
        <f aca="false">SUM(C21:C57)</f>
        <v>142488.805</v>
      </c>
      <c r="D58" s="7"/>
      <c r="E58" s="7"/>
      <c r="F58" s="7"/>
      <c r="G58" s="7"/>
      <c r="H58" s="7"/>
      <c r="I58" s="7"/>
      <c r="L58" s="891"/>
      <c r="M58" s="891"/>
      <c r="N58" s="891"/>
      <c r="O58" s="891"/>
      <c r="P58" s="891"/>
      <c r="Q58" s="891"/>
      <c r="R58" s="891"/>
    </row>
    <row r="59" customFormat="false" ht="12.75" hidden="false" customHeight="false" outlineLevel="0" collapsed="false">
      <c r="A59" s="7"/>
      <c r="B59" s="7"/>
      <c r="C59" s="7"/>
      <c r="D59" s="7"/>
      <c r="E59" s="7"/>
      <c r="F59" s="7"/>
      <c r="G59" s="7"/>
      <c r="H59" s="7"/>
      <c r="I59" s="7"/>
      <c r="L59" s="891"/>
      <c r="M59" s="891"/>
      <c r="N59" s="891"/>
      <c r="O59" s="891"/>
      <c r="P59" s="891"/>
      <c r="Q59" s="891"/>
      <c r="R59" s="891"/>
    </row>
    <row r="60" customFormat="false" ht="12.75" hidden="false" customHeight="false" outlineLevel="0" collapsed="false">
      <c r="A60" s="7"/>
      <c r="B60" s="7"/>
      <c r="C60" s="7"/>
      <c r="D60" s="7"/>
      <c r="E60" s="7"/>
      <c r="F60" s="7"/>
      <c r="G60" s="7"/>
      <c r="H60" s="7"/>
      <c r="I60" s="7"/>
      <c r="L60" s="891"/>
      <c r="M60" s="891"/>
      <c r="N60" s="891"/>
      <c r="O60" s="891"/>
      <c r="P60" s="891"/>
      <c r="Q60" s="891"/>
      <c r="R60" s="891"/>
    </row>
    <row r="61" customFormat="false" ht="12.75" hidden="false" customHeight="false" outlineLevel="0" collapsed="false">
      <c r="A61" s="7"/>
      <c r="B61" s="7"/>
      <c r="C61" s="7"/>
      <c r="D61" s="7"/>
      <c r="E61" s="7"/>
      <c r="F61" s="7"/>
      <c r="G61" s="7"/>
      <c r="H61" s="7"/>
      <c r="I61" s="7"/>
      <c r="L61" s="891"/>
      <c r="M61" s="891"/>
      <c r="N61" s="891"/>
      <c r="O61" s="891"/>
      <c r="P61" s="891"/>
      <c r="Q61" s="891"/>
      <c r="R61" s="891"/>
    </row>
    <row r="62" customFormat="false" ht="12.75" hidden="false" customHeight="false" outlineLevel="0" collapsed="false">
      <c r="A62" s="7"/>
      <c r="B62" s="7"/>
      <c r="C62" s="7"/>
      <c r="D62" s="7"/>
      <c r="E62" s="7"/>
      <c r="F62" s="7"/>
      <c r="G62" s="7"/>
      <c r="H62" s="7"/>
      <c r="I62" s="7"/>
      <c r="L62" s="891"/>
      <c r="M62" s="891"/>
      <c r="N62" s="891"/>
      <c r="O62" s="891"/>
      <c r="P62" s="891"/>
      <c r="Q62" s="891"/>
      <c r="R62" s="891"/>
    </row>
    <row r="63" customFormat="false" ht="12.75" hidden="false" customHeight="false" outlineLevel="0" collapsed="false">
      <c r="A63" s="7"/>
      <c r="B63" s="7"/>
      <c r="C63" s="7"/>
      <c r="D63" s="7"/>
      <c r="E63" s="7"/>
      <c r="F63" s="7"/>
      <c r="G63" s="7"/>
      <c r="H63" s="7"/>
      <c r="I63" s="7"/>
      <c r="L63" s="891"/>
      <c r="M63" s="891"/>
      <c r="N63" s="891"/>
      <c r="O63" s="891"/>
      <c r="P63" s="891"/>
      <c r="Q63" s="891"/>
      <c r="R63" s="891"/>
    </row>
    <row r="64" customFormat="false" ht="12.75" hidden="false" customHeight="false" outlineLevel="0" collapsed="false">
      <c r="H64" s="7"/>
      <c r="I64" s="7"/>
      <c r="L64" s="891"/>
      <c r="M64" s="891"/>
      <c r="N64" s="891"/>
      <c r="O64" s="891"/>
      <c r="P64" s="891"/>
      <c r="Q64" s="891"/>
      <c r="R64" s="891"/>
    </row>
    <row r="65" customFormat="false" ht="12.75" hidden="false" customHeight="false" outlineLevel="0" collapsed="false">
      <c r="H65" s="7"/>
      <c r="I65" s="7"/>
      <c r="L65" s="891"/>
      <c r="M65" s="891"/>
      <c r="N65" s="891"/>
      <c r="O65" s="891"/>
      <c r="P65" s="891"/>
      <c r="Q65" s="891"/>
      <c r="R65" s="891"/>
    </row>
    <row r="66" customFormat="false" ht="12.75" hidden="false" customHeight="false" outlineLevel="0" collapsed="false">
      <c r="H66" s="7"/>
      <c r="I66" s="7"/>
      <c r="L66" s="891"/>
      <c r="M66" s="891"/>
      <c r="N66" s="891"/>
      <c r="O66" s="891"/>
      <c r="P66" s="891"/>
      <c r="Q66" s="891"/>
      <c r="R66" s="891"/>
    </row>
    <row r="67" customFormat="false" ht="12.75" hidden="false" customHeight="false" outlineLevel="0" collapsed="false">
      <c r="A67" s="894"/>
      <c r="B67" s="894"/>
      <c r="C67" s="944"/>
      <c r="D67" s="944"/>
      <c r="E67" s="944"/>
      <c r="F67" s="944"/>
      <c r="G67" s="944"/>
      <c r="H67" s="7"/>
      <c r="I67" s="7"/>
      <c r="J67" s="944"/>
      <c r="K67" s="944"/>
      <c r="L67" s="945"/>
      <c r="M67" s="945"/>
      <c r="N67" s="945"/>
      <c r="O67" s="945"/>
      <c r="P67" s="945"/>
      <c r="Q67" s="945"/>
      <c r="R67" s="945"/>
      <c r="S67" s="945"/>
      <c r="T67" s="945"/>
      <c r="U67" s="945"/>
      <c r="V67" s="945"/>
      <c r="W67" s="945"/>
      <c r="X67" s="945"/>
      <c r="Y67" s="945"/>
      <c r="Z67" s="945"/>
      <c r="AA67" s="945"/>
      <c r="AB67" s="945"/>
      <c r="AC67" s="945"/>
      <c r="AD67" s="945"/>
      <c r="AE67" s="945"/>
    </row>
    <row r="68" customFormat="false" ht="12.75" hidden="false" customHeight="false" outlineLevel="0" collapsed="false">
      <c r="A68" s="894"/>
      <c r="B68" s="894"/>
      <c r="C68" s="946"/>
      <c r="D68" s="946"/>
      <c r="E68" s="946"/>
      <c r="F68" s="946"/>
      <c r="G68" s="946"/>
      <c r="H68" s="7"/>
      <c r="I68" s="7"/>
      <c r="J68" s="946"/>
      <c r="K68" s="946"/>
      <c r="L68" s="947"/>
      <c r="M68" s="947"/>
      <c r="N68" s="947"/>
      <c r="O68" s="947"/>
      <c r="P68" s="947"/>
      <c r="Q68" s="947"/>
      <c r="R68" s="947"/>
      <c r="S68" s="947"/>
      <c r="T68" s="947"/>
      <c r="U68" s="947"/>
      <c r="V68" s="947"/>
      <c r="W68" s="947"/>
      <c r="X68" s="947"/>
      <c r="Y68" s="947"/>
      <c r="Z68" s="947"/>
      <c r="AA68" s="947"/>
      <c r="AB68" s="947"/>
      <c r="AC68" s="947"/>
      <c r="AD68" s="947"/>
      <c r="AE68" s="947"/>
    </row>
    <row r="69" customFormat="false" ht="12.75" hidden="false" customHeight="false" outlineLevel="0" collapsed="false">
      <c r="H69" s="7"/>
      <c r="I69" s="7"/>
      <c r="L69" s="891"/>
      <c r="M69" s="891"/>
      <c r="N69" s="891"/>
      <c r="O69" s="891"/>
      <c r="P69" s="891"/>
      <c r="Q69" s="891"/>
      <c r="R69" s="891"/>
    </row>
    <row r="70" customFormat="false" ht="12.75" hidden="false" customHeight="false" outlineLevel="0" collapsed="false">
      <c r="H70" s="7"/>
      <c r="I70" s="7"/>
      <c r="L70" s="891"/>
      <c r="M70" s="891"/>
      <c r="N70" s="891"/>
      <c r="O70" s="891"/>
      <c r="P70" s="891"/>
      <c r="Q70" s="891"/>
      <c r="R70" s="891"/>
    </row>
    <row r="71" customFormat="false" ht="12.75" hidden="false" customHeight="false" outlineLevel="0" collapsed="false">
      <c r="H71" s="7"/>
      <c r="I71" s="7"/>
      <c r="L71" s="891"/>
      <c r="M71" s="891"/>
      <c r="N71" s="891"/>
      <c r="O71" s="891"/>
      <c r="P71" s="891"/>
      <c r="Q71" s="891"/>
      <c r="R71" s="891"/>
    </row>
    <row r="72" customFormat="false" ht="12.75" hidden="false" customHeight="false" outlineLevel="0" collapsed="false">
      <c r="H72" s="7"/>
      <c r="I72" s="7"/>
      <c r="L72" s="891"/>
      <c r="M72" s="891"/>
      <c r="N72" s="891"/>
      <c r="O72" s="891"/>
      <c r="P72" s="891"/>
      <c r="Q72" s="891"/>
      <c r="R72" s="891"/>
    </row>
    <row r="73" customFormat="false" ht="12.75" hidden="false" customHeight="false" outlineLevel="0" collapsed="false">
      <c r="G73" s="908"/>
      <c r="H73" s="7"/>
      <c r="I73" s="7"/>
      <c r="L73" s="891"/>
      <c r="M73" s="891"/>
      <c r="N73" s="891"/>
      <c r="O73" s="891"/>
      <c r="P73" s="891"/>
      <c r="Q73" s="891"/>
      <c r="R73" s="891"/>
    </row>
    <row r="74" customFormat="false" ht="12.75" hidden="false" customHeight="false" outlineLevel="0" collapsed="false">
      <c r="G74" s="908"/>
      <c r="H74" s="7"/>
      <c r="I74" s="7"/>
      <c r="L74" s="891"/>
      <c r="M74" s="891"/>
      <c r="N74" s="891"/>
      <c r="O74" s="891"/>
      <c r="P74" s="891"/>
      <c r="Q74" s="891"/>
      <c r="R74" s="891"/>
    </row>
    <row r="75" customFormat="false" ht="12.75" hidden="false" customHeight="false" outlineLevel="0" collapsed="false">
      <c r="H75" s="7"/>
      <c r="I75" s="7"/>
      <c r="L75" s="891"/>
      <c r="M75" s="891"/>
      <c r="N75" s="891"/>
      <c r="O75" s="891"/>
      <c r="P75" s="891"/>
      <c r="Q75" s="891"/>
      <c r="R75" s="891"/>
    </row>
    <row r="76" customFormat="false" ht="12.75" hidden="false" customHeight="false" outlineLevel="0" collapsed="false">
      <c r="H76" s="7"/>
      <c r="I76" s="7"/>
      <c r="L76" s="891"/>
      <c r="M76" s="891"/>
      <c r="N76" s="891"/>
      <c r="O76" s="891"/>
      <c r="P76" s="891"/>
      <c r="Q76" s="891"/>
      <c r="R76" s="891"/>
    </row>
    <row r="77" customFormat="false" ht="12.75" hidden="false" customHeight="false" outlineLevel="0" collapsed="false">
      <c r="H77" s="7"/>
      <c r="I77" s="7"/>
      <c r="L77" s="891"/>
      <c r="M77" s="891"/>
      <c r="N77" s="891"/>
      <c r="O77" s="891"/>
      <c r="P77" s="891"/>
      <c r="Q77" s="891"/>
      <c r="R77" s="891"/>
    </row>
    <row r="78" customFormat="false" ht="12.75" hidden="false" customHeight="false" outlineLevel="0" collapsed="false">
      <c r="H78" s="7"/>
      <c r="I78" s="7"/>
      <c r="L78" s="891"/>
      <c r="M78" s="891"/>
      <c r="N78" s="891"/>
      <c r="O78" s="891"/>
      <c r="P78" s="891"/>
      <c r="Q78" s="891"/>
      <c r="R78" s="891"/>
    </row>
    <row r="79" customFormat="false" ht="12.75" hidden="false" customHeight="false" outlineLevel="0" collapsed="false">
      <c r="G79" s="908"/>
      <c r="H79" s="7"/>
      <c r="I79" s="7"/>
      <c r="L79" s="891"/>
      <c r="M79" s="891"/>
      <c r="N79" s="891"/>
      <c r="O79" s="891"/>
      <c r="P79" s="891"/>
      <c r="Q79" s="891"/>
      <c r="R79" s="891"/>
    </row>
    <row r="80" customFormat="false" ht="12.75" hidden="false" customHeight="false" outlineLevel="0" collapsed="false">
      <c r="G80" s="908"/>
      <c r="H80" s="7"/>
      <c r="I80" s="7"/>
      <c r="L80" s="891"/>
      <c r="M80" s="891"/>
      <c r="N80" s="891"/>
      <c r="O80" s="891"/>
      <c r="P80" s="891"/>
      <c r="Q80" s="891"/>
      <c r="R80" s="891"/>
    </row>
    <row r="81" customFormat="false" ht="12.75" hidden="false" customHeight="false" outlineLevel="0" collapsed="false">
      <c r="A81" s="894"/>
      <c r="B81" s="902"/>
      <c r="C81" s="922"/>
      <c r="D81" s="922"/>
      <c r="G81" s="908"/>
      <c r="H81" s="7"/>
      <c r="I81" s="7"/>
      <c r="L81" s="891"/>
      <c r="M81" s="891"/>
      <c r="N81" s="891"/>
      <c r="O81" s="891"/>
      <c r="P81" s="891"/>
      <c r="Q81" s="891"/>
      <c r="R81" s="891"/>
    </row>
    <row r="82" customFormat="false" ht="12.75" hidden="false" customHeight="false" outlineLevel="0" collapsed="false">
      <c r="A82" s="7"/>
      <c r="B82" s="7"/>
      <c r="C82" s="7"/>
      <c r="D82" s="7"/>
      <c r="E82" s="7"/>
      <c r="F82" s="7"/>
      <c r="G82" s="7"/>
      <c r="H82" s="7"/>
      <c r="I82" s="7"/>
      <c r="L82" s="891"/>
      <c r="M82" s="891"/>
      <c r="N82" s="891"/>
      <c r="O82" s="891"/>
      <c r="P82" s="891"/>
      <c r="Q82" s="891"/>
      <c r="R82" s="891"/>
    </row>
    <row r="83" customFormat="false" ht="12.75" hidden="false" customHeight="false" outlineLevel="0" collapsed="false">
      <c r="A83" s="7"/>
      <c r="B83" s="7"/>
      <c r="C83" s="7"/>
      <c r="D83" s="7"/>
      <c r="E83" s="7"/>
      <c r="F83" s="7"/>
      <c r="G83" s="7"/>
      <c r="H83" s="7"/>
      <c r="I83" s="7"/>
      <c r="L83" s="891"/>
      <c r="M83" s="891"/>
      <c r="N83" s="891"/>
      <c r="O83" s="891"/>
      <c r="P83" s="891"/>
      <c r="Q83" s="891"/>
      <c r="R83" s="891"/>
    </row>
    <row r="84" customFormat="false" ht="12.75" hidden="false" customHeight="false" outlineLevel="0" collapsed="false">
      <c r="A84" s="7"/>
      <c r="B84" s="7"/>
      <c r="C84" s="7"/>
      <c r="D84" s="7"/>
      <c r="E84" s="7"/>
      <c r="F84" s="7"/>
      <c r="G84" s="7"/>
      <c r="H84" s="7"/>
      <c r="I84" s="7"/>
      <c r="L84" s="891"/>
      <c r="M84" s="891"/>
      <c r="N84" s="891"/>
      <c r="O84" s="891"/>
      <c r="P84" s="891"/>
      <c r="Q84" s="891"/>
      <c r="R84" s="891"/>
    </row>
    <row r="85" customFormat="false" ht="12.75" hidden="false" customHeight="false" outlineLevel="0" collapsed="false">
      <c r="A85" s="7"/>
      <c r="B85" s="7"/>
      <c r="C85" s="7"/>
      <c r="D85" s="7"/>
      <c r="E85" s="7"/>
      <c r="F85" s="7"/>
      <c r="G85" s="7"/>
      <c r="H85" s="7"/>
      <c r="I85" s="7"/>
      <c r="L85" s="891"/>
      <c r="M85" s="891"/>
      <c r="N85" s="891"/>
      <c r="O85" s="891"/>
      <c r="P85" s="891"/>
      <c r="Q85" s="891"/>
      <c r="R85" s="891"/>
    </row>
    <row r="86" customFormat="false" ht="12.75" hidden="false" customHeight="false" outlineLevel="0" collapsed="false">
      <c r="A86" s="7"/>
      <c r="B86" s="7"/>
      <c r="C86" s="7"/>
      <c r="D86" s="7"/>
      <c r="E86" s="7"/>
      <c r="F86" s="7"/>
      <c r="G86" s="7"/>
      <c r="H86" s="7"/>
      <c r="I86" s="7"/>
      <c r="L86" s="891"/>
      <c r="M86" s="891"/>
      <c r="N86" s="891"/>
      <c r="O86" s="891"/>
      <c r="P86" s="891"/>
      <c r="Q86" s="891"/>
      <c r="R86" s="891"/>
    </row>
    <row r="87" customFormat="false" ht="12.75" hidden="false" customHeight="false" outlineLevel="0" collapsed="false">
      <c r="A87" s="7"/>
      <c r="B87" s="7"/>
      <c r="C87" s="7"/>
      <c r="D87" s="7"/>
      <c r="E87" s="7"/>
      <c r="F87" s="7"/>
      <c r="G87" s="7"/>
      <c r="H87" s="7"/>
      <c r="I87" s="7"/>
      <c r="L87" s="891"/>
      <c r="M87" s="891"/>
      <c r="N87" s="891"/>
      <c r="O87" s="891"/>
      <c r="P87" s="891"/>
      <c r="Q87" s="891"/>
      <c r="R87" s="891"/>
    </row>
    <row r="88" customFormat="false" ht="12.75" hidden="false" customHeight="false" outlineLevel="0" collapsed="false">
      <c r="A88" s="7"/>
      <c r="B88" s="7"/>
      <c r="C88" s="7"/>
      <c r="D88" s="7"/>
      <c r="E88" s="7"/>
      <c r="F88" s="7"/>
      <c r="G88" s="7"/>
      <c r="H88" s="7"/>
      <c r="I88" s="7"/>
      <c r="L88" s="891"/>
      <c r="M88" s="891"/>
      <c r="N88" s="891"/>
      <c r="O88" s="891"/>
      <c r="P88" s="891"/>
      <c r="Q88" s="891"/>
      <c r="R88" s="891"/>
    </row>
    <row r="89" customFormat="false" ht="11.45" hidden="false" customHeight="true" outlineLevel="0" collapsed="false">
      <c r="A89" s="894"/>
      <c r="B89" s="902"/>
      <c r="C89" s="922"/>
      <c r="D89" s="922"/>
      <c r="G89" s="908"/>
      <c r="H89" s="908"/>
      <c r="I89" s="908"/>
      <c r="L89" s="891"/>
      <c r="M89" s="891"/>
      <c r="N89" s="891"/>
      <c r="O89" s="891"/>
      <c r="P89" s="891"/>
      <c r="Q89" s="891"/>
      <c r="R89" s="891"/>
    </row>
    <row r="90" customFormat="false" ht="11.45" hidden="false" customHeight="true" outlineLevel="0" collapsed="false">
      <c r="A90" s="894"/>
      <c r="B90" s="902"/>
      <c r="C90" s="902"/>
      <c r="D90" s="902"/>
      <c r="E90" s="922"/>
      <c r="H90" s="908"/>
      <c r="I90" s="908"/>
      <c r="L90" s="891"/>
      <c r="M90" s="891"/>
      <c r="N90" s="891"/>
      <c r="O90" s="891"/>
      <c r="P90" s="891"/>
      <c r="Q90" s="891"/>
      <c r="R90" s="891"/>
      <c r="S90" s="891"/>
    </row>
    <row r="91" customFormat="false" ht="11.45" hidden="false" customHeight="true" outlineLevel="0" collapsed="false">
      <c r="A91" s="902"/>
      <c r="B91" s="894"/>
      <c r="C91" s="894"/>
      <c r="D91" s="894"/>
      <c r="E91" s="944"/>
      <c r="F91" s="944"/>
      <c r="G91" s="944"/>
      <c r="H91" s="944"/>
      <c r="I91" s="944"/>
      <c r="J91" s="944"/>
      <c r="K91" s="944"/>
      <c r="L91" s="945"/>
      <c r="M91" s="945"/>
      <c r="N91" s="945"/>
      <c r="O91" s="945"/>
      <c r="P91" s="945"/>
      <c r="Q91" s="945"/>
      <c r="R91" s="945"/>
      <c r="S91" s="945"/>
      <c r="T91" s="945"/>
      <c r="U91" s="945"/>
      <c r="V91" s="945"/>
      <c r="W91" s="945"/>
      <c r="X91" s="945"/>
      <c r="Y91" s="945"/>
      <c r="Z91" s="945"/>
      <c r="AA91" s="945"/>
      <c r="AB91" s="945"/>
      <c r="AC91" s="945"/>
      <c r="AD91" s="945"/>
      <c r="AE91" s="945"/>
      <c r="AF91" s="945"/>
    </row>
    <row r="92" customFormat="false" ht="11.45" hidden="false" customHeight="true" outlineLevel="0" collapsed="false">
      <c r="A92" s="902"/>
      <c r="B92" s="894"/>
      <c r="C92" s="894"/>
      <c r="D92" s="894"/>
      <c r="E92" s="946"/>
      <c r="F92" s="946"/>
      <c r="G92" s="946"/>
      <c r="H92" s="946"/>
      <c r="I92" s="946"/>
      <c r="J92" s="946"/>
      <c r="K92" s="946"/>
      <c r="L92" s="947"/>
      <c r="M92" s="947"/>
      <c r="N92" s="947"/>
      <c r="O92" s="947"/>
      <c r="P92" s="947"/>
      <c r="Q92" s="947"/>
      <c r="R92" s="947"/>
      <c r="S92" s="947"/>
      <c r="T92" s="947"/>
      <c r="U92" s="947"/>
      <c r="V92" s="947"/>
      <c r="W92" s="947"/>
      <c r="X92" s="947"/>
      <c r="Y92" s="947"/>
      <c r="Z92" s="947"/>
      <c r="AA92" s="947"/>
      <c r="AB92" s="947"/>
      <c r="AC92" s="947"/>
      <c r="AD92" s="947"/>
      <c r="AE92" s="947"/>
      <c r="AF92" s="947"/>
    </row>
    <row r="93" customFormat="false" ht="11.45" hidden="false" customHeight="true" outlineLevel="0" collapsed="false">
      <c r="A93" s="894"/>
      <c r="B93" s="902"/>
      <c r="C93" s="902"/>
      <c r="D93" s="902"/>
      <c r="E93" s="922"/>
      <c r="H93" s="908"/>
      <c r="I93" s="908"/>
      <c r="L93" s="891"/>
      <c r="M93" s="891"/>
      <c r="N93" s="891"/>
      <c r="O93" s="891"/>
      <c r="P93" s="891"/>
      <c r="Q93" s="891"/>
      <c r="R93" s="891"/>
      <c r="S93" s="891"/>
    </row>
    <row r="94" customFormat="false" ht="11.45" hidden="false" customHeight="true" outlineLevel="0" collapsed="false">
      <c r="A94" s="894"/>
      <c r="B94" s="902"/>
      <c r="C94" s="902"/>
      <c r="D94" s="902"/>
      <c r="E94" s="902"/>
      <c r="F94" s="902"/>
      <c r="G94" s="902"/>
      <c r="H94" s="902"/>
      <c r="I94" s="902"/>
      <c r="J94" s="902"/>
      <c r="K94" s="902"/>
      <c r="L94" s="948"/>
      <c r="M94" s="948"/>
      <c r="N94" s="948"/>
      <c r="O94" s="948"/>
      <c r="P94" s="948"/>
      <c r="Q94" s="948"/>
      <c r="R94" s="948"/>
      <c r="S94" s="948"/>
      <c r="T94" s="948"/>
      <c r="U94" s="948"/>
      <c r="V94" s="948"/>
      <c r="W94" s="948"/>
      <c r="X94" s="948"/>
      <c r="Y94" s="948"/>
      <c r="Z94" s="948"/>
      <c r="AA94" s="948"/>
      <c r="AB94" s="948"/>
      <c r="AC94" s="948"/>
      <c r="AD94" s="948"/>
      <c r="AE94" s="948"/>
      <c r="AF94" s="948"/>
    </row>
    <row r="95" customFormat="false" ht="11.45" hidden="false" customHeight="true" outlineLevel="0" collapsed="false">
      <c r="A95" s="894"/>
      <c r="B95" s="894"/>
      <c r="C95" s="894"/>
      <c r="D95" s="894"/>
      <c r="E95" s="944"/>
      <c r="F95" s="944"/>
      <c r="G95" s="944"/>
      <c r="H95" s="944"/>
      <c r="I95" s="944"/>
      <c r="J95" s="944"/>
      <c r="K95" s="944"/>
      <c r="L95" s="945"/>
      <c r="M95" s="945"/>
      <c r="N95" s="945"/>
      <c r="O95" s="945"/>
      <c r="P95" s="945"/>
      <c r="Q95" s="945"/>
      <c r="R95" s="945"/>
      <c r="S95" s="945"/>
      <c r="T95" s="945"/>
      <c r="U95" s="945"/>
      <c r="V95" s="945"/>
      <c r="W95" s="945"/>
      <c r="X95" s="945"/>
      <c r="Y95" s="945"/>
      <c r="Z95" s="945"/>
      <c r="AA95" s="945"/>
      <c r="AB95" s="945"/>
      <c r="AC95" s="945"/>
      <c r="AD95" s="945"/>
      <c r="AE95" s="945"/>
      <c r="AF95" s="945"/>
    </row>
    <row r="96" customFormat="false" ht="11.45" hidden="false" customHeight="true" outlineLevel="0" collapsed="false">
      <c r="A96" s="894"/>
      <c r="B96" s="902"/>
      <c r="C96" s="902"/>
      <c r="D96" s="902"/>
      <c r="E96" s="902"/>
      <c r="F96" s="949"/>
      <c r="G96" s="949"/>
      <c r="H96" s="949"/>
      <c r="I96" s="949"/>
      <c r="J96" s="949"/>
      <c r="K96" s="949"/>
      <c r="L96" s="950"/>
      <c r="M96" s="950"/>
      <c r="N96" s="950"/>
      <c r="O96" s="950"/>
      <c r="P96" s="950"/>
      <c r="Q96" s="950"/>
      <c r="R96" s="950"/>
      <c r="S96" s="950"/>
      <c r="T96" s="950"/>
      <c r="U96" s="950"/>
      <c r="V96" s="950"/>
      <c r="W96" s="950"/>
      <c r="X96" s="950"/>
      <c r="Y96" s="950"/>
      <c r="Z96" s="950"/>
      <c r="AA96" s="950"/>
      <c r="AB96" s="950"/>
      <c r="AC96" s="950"/>
      <c r="AD96" s="950"/>
      <c r="AE96" s="950"/>
      <c r="AF96" s="950"/>
    </row>
    <row r="97" customFormat="false" ht="11.45" hidden="false" customHeight="true" outlineLevel="0" collapsed="false">
      <c r="A97" s="894"/>
      <c r="B97" s="894"/>
      <c r="C97" s="894"/>
      <c r="D97" s="894"/>
      <c r="E97" s="902"/>
      <c r="F97" s="949"/>
      <c r="G97" s="949"/>
      <c r="H97" s="949"/>
      <c r="I97" s="949"/>
      <c r="J97" s="949"/>
      <c r="K97" s="949"/>
      <c r="L97" s="950"/>
      <c r="M97" s="950"/>
      <c r="N97" s="950"/>
      <c r="O97" s="950"/>
      <c r="P97" s="950"/>
      <c r="Q97" s="950"/>
      <c r="R97" s="950"/>
      <c r="S97" s="950"/>
      <c r="T97" s="950"/>
      <c r="U97" s="950"/>
      <c r="V97" s="950"/>
      <c r="W97" s="950"/>
      <c r="X97" s="950"/>
      <c r="Y97" s="950"/>
      <c r="Z97" s="950"/>
      <c r="AA97" s="950"/>
      <c r="AB97" s="950"/>
      <c r="AC97" s="950"/>
      <c r="AD97" s="950"/>
      <c r="AE97" s="950"/>
      <c r="AF97" s="950"/>
    </row>
    <row r="98" customFormat="false" ht="11.45" hidden="false" customHeight="true" outlineLevel="0" collapsed="false">
      <c r="A98" s="894"/>
      <c r="B98" s="894"/>
      <c r="C98" s="894"/>
      <c r="D98" s="894"/>
      <c r="E98" s="902"/>
      <c r="F98" s="949"/>
      <c r="G98" s="949"/>
      <c r="H98" s="949"/>
      <c r="I98" s="949"/>
      <c r="J98" s="949"/>
      <c r="K98" s="949"/>
      <c r="L98" s="950"/>
      <c r="M98" s="950"/>
      <c r="N98" s="950"/>
      <c r="O98" s="950"/>
      <c r="P98" s="950"/>
      <c r="Q98" s="950"/>
      <c r="R98" s="950"/>
      <c r="S98" s="950"/>
      <c r="T98" s="950"/>
      <c r="U98" s="950"/>
      <c r="V98" s="950"/>
      <c r="W98" s="950"/>
      <c r="X98" s="950"/>
      <c r="Y98" s="950"/>
      <c r="Z98" s="950"/>
      <c r="AA98" s="950"/>
      <c r="AB98" s="950"/>
      <c r="AC98" s="950"/>
      <c r="AD98" s="950"/>
      <c r="AE98" s="950"/>
      <c r="AF98" s="950"/>
    </row>
    <row r="99" customFormat="false" ht="12.75" hidden="false" customHeight="false" outlineLevel="0" collapsed="false">
      <c r="A99" s="7"/>
      <c r="B99" s="7"/>
      <c r="C99" s="7"/>
      <c r="D99" s="7"/>
      <c r="E99" s="7"/>
      <c r="F99" s="7"/>
      <c r="G99" s="7"/>
      <c r="H99" s="7"/>
      <c r="L99" s="891"/>
      <c r="M99" s="891"/>
      <c r="N99" s="891"/>
      <c r="O99" s="891"/>
      <c r="P99" s="891"/>
      <c r="Q99" s="891"/>
      <c r="R99" s="891"/>
    </row>
    <row r="100" customFormat="false" ht="12.75" hidden="false" customHeight="false" outlineLevel="0" collapsed="false">
      <c r="A100" s="7"/>
      <c r="B100" s="7"/>
      <c r="C100" s="7"/>
      <c r="D100" s="7"/>
      <c r="E100" s="7"/>
      <c r="F100" s="7"/>
      <c r="G100" s="7"/>
      <c r="H100" s="7"/>
      <c r="L100" s="891"/>
      <c r="M100" s="891"/>
      <c r="N100" s="891"/>
      <c r="O100" s="891"/>
      <c r="P100" s="891"/>
      <c r="Q100" s="891"/>
      <c r="R100" s="891"/>
    </row>
    <row r="101" customFormat="false" ht="12.75" hidden="false" customHeight="false" outlineLevel="0" collapsed="false">
      <c r="A101" s="7"/>
      <c r="B101" s="7"/>
      <c r="C101" s="7"/>
      <c r="D101" s="7"/>
      <c r="E101" s="7"/>
      <c r="F101" s="7"/>
      <c r="G101" s="7"/>
      <c r="H101" s="7"/>
      <c r="L101" s="891"/>
      <c r="M101" s="891"/>
      <c r="N101" s="891"/>
      <c r="O101" s="891"/>
      <c r="P101" s="891"/>
      <c r="Q101" s="891"/>
      <c r="R101" s="891"/>
    </row>
    <row r="102" customFormat="false" ht="12.75" hidden="false" customHeight="false" outlineLevel="0" collapsed="false">
      <c r="A102" s="7"/>
      <c r="B102" s="7"/>
      <c r="C102" s="7"/>
      <c r="D102" s="7"/>
      <c r="E102" s="7"/>
      <c r="F102" s="7"/>
      <c r="G102" s="7"/>
      <c r="H102" s="7"/>
      <c r="L102" s="891"/>
      <c r="M102" s="891"/>
      <c r="N102" s="891"/>
      <c r="O102" s="891"/>
      <c r="P102" s="891"/>
      <c r="Q102" s="891"/>
      <c r="R102" s="891"/>
    </row>
    <row r="103" customFormat="false" ht="12.75" hidden="false" customHeight="false" outlineLevel="0" collapsed="false">
      <c r="A103" s="7"/>
      <c r="B103" s="7"/>
      <c r="C103" s="7"/>
      <c r="D103" s="7"/>
      <c r="E103" s="7"/>
      <c r="F103" s="7"/>
      <c r="G103" s="7"/>
      <c r="H103" s="7"/>
      <c r="L103" s="891"/>
      <c r="M103" s="891"/>
      <c r="N103" s="891"/>
      <c r="O103" s="891"/>
      <c r="P103" s="891"/>
      <c r="Q103" s="891"/>
      <c r="R103" s="891"/>
    </row>
    <row r="104" customFormat="false" ht="12.75" hidden="false" customHeight="false" outlineLevel="0" collapsed="false">
      <c r="A104" s="7"/>
      <c r="B104" s="7"/>
      <c r="C104" s="7"/>
      <c r="D104" s="7"/>
      <c r="E104" s="7"/>
      <c r="F104" s="7"/>
      <c r="G104" s="7"/>
      <c r="H104" s="7"/>
      <c r="L104" s="891"/>
      <c r="M104" s="891"/>
      <c r="N104" s="891"/>
      <c r="O104" s="891"/>
      <c r="P104" s="891"/>
      <c r="Q104" s="891"/>
      <c r="R104" s="891"/>
    </row>
    <row r="105" customFormat="false" ht="12.75" hidden="false" customHeight="false" outlineLevel="0" collapsed="false">
      <c r="A105" s="7"/>
      <c r="B105" s="7"/>
      <c r="C105" s="7"/>
      <c r="D105" s="7"/>
      <c r="E105" s="7"/>
      <c r="F105" s="7"/>
      <c r="G105" s="7"/>
      <c r="H105" s="7"/>
      <c r="L105" s="891"/>
      <c r="M105" s="891"/>
      <c r="N105" s="891"/>
      <c r="O105" s="891"/>
      <c r="P105" s="891"/>
      <c r="Q105" s="891"/>
      <c r="R105" s="891"/>
    </row>
    <row r="106" customFormat="false" ht="12.75" hidden="false" customHeight="false" outlineLevel="0" collapsed="false">
      <c r="A106" s="7"/>
      <c r="B106" s="7"/>
      <c r="C106" s="7"/>
      <c r="D106" s="7"/>
      <c r="E106" s="7"/>
      <c r="F106" s="7"/>
      <c r="G106" s="7"/>
      <c r="H106" s="7"/>
      <c r="L106" s="891"/>
      <c r="M106" s="891"/>
      <c r="N106" s="891"/>
      <c r="O106" s="891"/>
      <c r="P106" s="891"/>
      <c r="Q106" s="891"/>
      <c r="R106" s="891"/>
    </row>
    <row r="107" customFormat="false" ht="12.75" hidden="false" customHeight="false" outlineLevel="0" collapsed="false">
      <c r="A107" s="7"/>
      <c r="B107" s="7"/>
      <c r="C107" s="7"/>
      <c r="D107" s="7"/>
      <c r="E107" s="7"/>
      <c r="F107" s="7"/>
      <c r="G107" s="7"/>
      <c r="H107" s="7"/>
      <c r="L107" s="891"/>
      <c r="M107" s="891"/>
      <c r="N107" s="891"/>
      <c r="O107" s="891"/>
      <c r="P107" s="891"/>
      <c r="Q107" s="891"/>
      <c r="R107" s="891"/>
    </row>
    <row r="108" customFormat="false" ht="12.75" hidden="false" customHeight="false" outlineLevel="0" collapsed="false">
      <c r="A108" s="7"/>
      <c r="B108" s="7"/>
      <c r="C108" s="7"/>
      <c r="D108" s="7"/>
      <c r="E108" s="7"/>
      <c r="F108" s="7"/>
      <c r="G108" s="7"/>
      <c r="H108" s="7"/>
      <c r="L108" s="891"/>
      <c r="M108" s="891"/>
      <c r="N108" s="891"/>
      <c r="O108" s="891"/>
      <c r="P108" s="891"/>
      <c r="Q108" s="891"/>
      <c r="R108" s="891"/>
    </row>
    <row r="109" customFormat="false" ht="12.75" hidden="false" customHeight="false" outlineLevel="0" collapsed="false">
      <c r="A109" s="7"/>
      <c r="B109" s="7"/>
      <c r="C109" s="7"/>
      <c r="D109" s="7"/>
      <c r="E109" s="7"/>
      <c r="F109" s="7"/>
      <c r="G109" s="7"/>
      <c r="H109" s="7"/>
      <c r="L109" s="891"/>
      <c r="M109" s="891"/>
      <c r="N109" s="891"/>
      <c r="O109" s="891"/>
      <c r="P109" s="891"/>
      <c r="Q109" s="891"/>
      <c r="R109" s="891"/>
    </row>
    <row r="110" customFormat="false" ht="12.75" hidden="false" customHeight="false" outlineLevel="0" collapsed="false">
      <c r="A110" s="7"/>
      <c r="B110" s="7"/>
      <c r="C110" s="7"/>
      <c r="D110" s="7"/>
      <c r="E110" s="7"/>
      <c r="F110" s="7"/>
      <c r="G110" s="7"/>
      <c r="H110" s="7"/>
      <c r="L110" s="891"/>
      <c r="M110" s="891"/>
      <c r="N110" s="891"/>
      <c r="O110" s="891"/>
      <c r="P110" s="891"/>
      <c r="Q110" s="891"/>
      <c r="R110" s="891"/>
    </row>
    <row r="111" customFormat="false" ht="12.75" hidden="false" customHeight="false" outlineLevel="0" collapsed="false">
      <c r="A111" s="7"/>
      <c r="B111" s="7"/>
      <c r="C111" s="7"/>
      <c r="D111" s="7"/>
      <c r="E111" s="7"/>
      <c r="F111" s="7"/>
      <c r="G111" s="7"/>
      <c r="H111" s="7"/>
      <c r="L111" s="891"/>
      <c r="M111" s="891"/>
      <c r="N111" s="891"/>
      <c r="O111" s="891"/>
      <c r="P111" s="891"/>
      <c r="Q111" s="891"/>
      <c r="R111" s="891"/>
    </row>
    <row r="112" customFormat="false" ht="12.75" hidden="false" customHeight="false" outlineLevel="0" collapsed="false">
      <c r="A112" s="7"/>
      <c r="B112" s="7"/>
      <c r="C112" s="7"/>
      <c r="D112" s="7"/>
      <c r="E112" s="7"/>
      <c r="F112" s="7"/>
      <c r="G112" s="7"/>
      <c r="H112" s="7"/>
      <c r="L112" s="891"/>
      <c r="M112" s="891"/>
      <c r="N112" s="891"/>
      <c r="O112" s="891"/>
      <c r="P112" s="891"/>
      <c r="Q112" s="891"/>
      <c r="R112" s="891"/>
    </row>
    <row r="113" customFormat="false" ht="12.75" hidden="false" customHeight="false" outlineLevel="0" collapsed="false">
      <c r="A113" s="7"/>
      <c r="B113" s="7"/>
      <c r="C113" s="7"/>
      <c r="D113" s="7"/>
      <c r="E113" s="7"/>
      <c r="F113" s="7"/>
      <c r="G113" s="7"/>
      <c r="H113" s="7"/>
      <c r="L113" s="891"/>
      <c r="M113" s="891"/>
      <c r="N113" s="891"/>
      <c r="O113" s="891"/>
      <c r="P113" s="891"/>
      <c r="Q113" s="891"/>
      <c r="R113" s="891"/>
    </row>
    <row r="114" customFormat="false" ht="12.75" hidden="false" customHeight="false" outlineLevel="0" collapsed="false">
      <c r="A114" s="7"/>
      <c r="B114" s="7"/>
      <c r="C114" s="7"/>
      <c r="D114" s="7"/>
      <c r="E114" s="7"/>
      <c r="F114" s="7"/>
      <c r="G114" s="7"/>
      <c r="H114" s="7"/>
      <c r="L114" s="891"/>
      <c r="M114" s="891"/>
      <c r="N114" s="891"/>
      <c r="O114" s="891"/>
      <c r="P114" s="891"/>
      <c r="Q114" s="891"/>
      <c r="R114" s="891"/>
    </row>
    <row r="115" customFormat="false" ht="12.75" hidden="false" customHeight="false" outlineLevel="0" collapsed="false">
      <c r="A115" s="7"/>
      <c r="B115" s="7"/>
      <c r="C115" s="7"/>
      <c r="D115" s="7"/>
      <c r="E115" s="7"/>
      <c r="F115" s="7"/>
      <c r="G115" s="7"/>
      <c r="H115" s="7"/>
      <c r="L115" s="891"/>
      <c r="M115" s="891"/>
      <c r="N115" s="891"/>
      <c r="O115" s="891"/>
      <c r="P115" s="891"/>
      <c r="Q115" s="891"/>
      <c r="R115" s="891"/>
    </row>
    <row r="116" customFormat="false" ht="12.75" hidden="false" customHeight="false" outlineLevel="0" collapsed="false">
      <c r="A116" s="7"/>
      <c r="B116" s="7"/>
      <c r="C116" s="7"/>
      <c r="D116" s="7"/>
      <c r="E116" s="7"/>
      <c r="F116" s="7"/>
      <c r="G116" s="7"/>
      <c r="H116" s="7"/>
      <c r="L116" s="891"/>
      <c r="M116" s="891"/>
      <c r="N116" s="891"/>
      <c r="O116" s="891"/>
      <c r="P116" s="891"/>
      <c r="Q116" s="891"/>
      <c r="R116" s="891"/>
    </row>
    <row r="117" customFormat="false" ht="12.75" hidden="false" customHeight="false" outlineLevel="0" collapsed="false">
      <c r="A117" s="7"/>
      <c r="B117" s="7"/>
      <c r="C117" s="7"/>
      <c r="D117" s="7"/>
      <c r="E117" s="7"/>
      <c r="F117" s="7"/>
      <c r="G117" s="7"/>
      <c r="H117" s="7"/>
      <c r="L117" s="891"/>
      <c r="M117" s="891"/>
      <c r="N117" s="891"/>
      <c r="O117" s="891"/>
      <c r="P117" s="891"/>
      <c r="Q117" s="891"/>
      <c r="R117" s="891"/>
    </row>
    <row r="118" customFormat="false" ht="12.75" hidden="false" customHeight="false" outlineLevel="0" collapsed="false">
      <c r="A118" s="7"/>
      <c r="B118" s="7"/>
      <c r="C118" s="7"/>
      <c r="D118" s="7"/>
      <c r="E118" s="7"/>
      <c r="F118" s="7"/>
      <c r="G118" s="7"/>
      <c r="H118" s="7"/>
      <c r="L118" s="891"/>
      <c r="M118" s="891"/>
      <c r="N118" s="891"/>
      <c r="O118" s="891"/>
      <c r="P118" s="891"/>
      <c r="Q118" s="891"/>
      <c r="R118" s="891"/>
    </row>
    <row r="119" customFormat="false" ht="12.75" hidden="false" customHeight="false" outlineLevel="0" collapsed="false">
      <c r="A119" s="7"/>
      <c r="B119" s="7"/>
      <c r="C119" s="7"/>
      <c r="D119" s="7"/>
      <c r="E119" s="7"/>
      <c r="F119" s="7"/>
      <c r="G119" s="7"/>
      <c r="H119" s="7"/>
      <c r="L119" s="891"/>
      <c r="M119" s="891"/>
      <c r="N119" s="891"/>
      <c r="O119" s="891"/>
      <c r="P119" s="891"/>
      <c r="Q119" s="891"/>
      <c r="R119" s="891"/>
    </row>
    <row r="120" customFormat="false" ht="12.75" hidden="false" customHeight="false" outlineLevel="0" collapsed="false">
      <c r="A120" s="7"/>
      <c r="B120" s="7"/>
      <c r="C120" s="7"/>
      <c r="D120" s="7"/>
      <c r="E120" s="7"/>
      <c r="F120" s="7"/>
      <c r="G120" s="7"/>
      <c r="H120" s="7"/>
      <c r="L120" s="891"/>
      <c r="M120" s="891"/>
      <c r="N120" s="891"/>
      <c r="O120" s="891"/>
      <c r="P120" s="891"/>
      <c r="Q120" s="891"/>
      <c r="R120" s="891"/>
    </row>
    <row r="121" customFormat="false" ht="12.75" hidden="false" customHeight="false" outlineLevel="0" collapsed="false">
      <c r="A121" s="7"/>
      <c r="B121" s="7"/>
      <c r="C121" s="7"/>
      <c r="D121" s="7"/>
      <c r="E121" s="7"/>
      <c r="F121" s="7"/>
      <c r="G121" s="7"/>
      <c r="H121" s="7"/>
      <c r="L121" s="891"/>
      <c r="M121" s="891"/>
      <c r="N121" s="891"/>
      <c r="O121" s="891"/>
      <c r="P121" s="891"/>
      <c r="Q121" s="891"/>
      <c r="R121" s="891"/>
    </row>
    <row r="122" customFormat="false" ht="12.75" hidden="false" customHeight="false" outlineLevel="0" collapsed="false">
      <c r="A122" s="7"/>
      <c r="B122" s="7"/>
      <c r="C122" s="7"/>
      <c r="D122" s="7"/>
      <c r="E122" s="7"/>
      <c r="F122" s="7"/>
      <c r="G122" s="7"/>
      <c r="H122" s="7"/>
      <c r="L122" s="891"/>
      <c r="M122" s="891"/>
      <c r="N122" s="891"/>
      <c r="O122" s="891"/>
      <c r="P122" s="891"/>
      <c r="Q122" s="891"/>
      <c r="R122" s="891"/>
    </row>
    <row r="123" customFormat="false" ht="12.75" hidden="false" customHeight="false" outlineLevel="0" collapsed="false">
      <c r="A123" s="7"/>
      <c r="B123" s="7"/>
      <c r="C123" s="7"/>
      <c r="D123" s="7"/>
      <c r="E123" s="7"/>
      <c r="F123" s="7"/>
      <c r="G123" s="7"/>
      <c r="H123" s="7"/>
      <c r="L123" s="891"/>
      <c r="M123" s="891"/>
      <c r="N123" s="891"/>
      <c r="O123" s="891"/>
      <c r="P123" s="891"/>
      <c r="Q123" s="891"/>
      <c r="R123" s="891"/>
    </row>
    <row r="124" customFormat="false" ht="12.75" hidden="false" customHeight="false" outlineLevel="0" collapsed="false">
      <c r="A124" s="7"/>
      <c r="B124" s="7"/>
      <c r="C124" s="7"/>
      <c r="D124" s="7"/>
      <c r="E124" s="7"/>
      <c r="F124" s="7"/>
      <c r="G124" s="7"/>
      <c r="H124" s="7"/>
      <c r="L124" s="891"/>
      <c r="M124" s="891"/>
      <c r="N124" s="891"/>
      <c r="O124" s="891"/>
      <c r="P124" s="891"/>
      <c r="Q124" s="891"/>
      <c r="R124" s="891"/>
    </row>
    <row r="125" customFormat="false" ht="12.75" hidden="false" customHeight="false" outlineLevel="0" collapsed="false">
      <c r="A125" s="7"/>
      <c r="B125" s="7"/>
      <c r="C125" s="7"/>
      <c r="D125" s="7"/>
      <c r="E125" s="7"/>
      <c r="F125" s="7"/>
      <c r="G125" s="7"/>
      <c r="H125" s="7"/>
      <c r="L125" s="891"/>
      <c r="M125" s="891"/>
      <c r="N125" s="891"/>
      <c r="O125" s="891"/>
      <c r="P125" s="891"/>
      <c r="Q125" s="891"/>
      <c r="R125" s="891"/>
    </row>
    <row r="126" customFormat="false" ht="12.75" hidden="false" customHeight="false" outlineLevel="0" collapsed="false">
      <c r="A126" s="7"/>
      <c r="B126" s="7"/>
      <c r="C126" s="7"/>
      <c r="D126" s="7"/>
      <c r="E126" s="7"/>
      <c r="F126" s="7"/>
      <c r="G126" s="7"/>
      <c r="H126" s="7"/>
      <c r="L126" s="891"/>
      <c r="M126" s="891"/>
      <c r="N126" s="891"/>
      <c r="O126" s="891"/>
      <c r="P126" s="891"/>
      <c r="Q126" s="891"/>
      <c r="R126" s="891"/>
    </row>
    <row r="127" customFormat="false" ht="12.75" hidden="false" customHeight="false" outlineLevel="0" collapsed="false">
      <c r="A127" s="7"/>
      <c r="B127" s="7"/>
      <c r="C127" s="7"/>
      <c r="D127" s="7"/>
      <c r="E127" s="7"/>
      <c r="F127" s="7"/>
      <c r="G127" s="7"/>
      <c r="H127" s="7"/>
      <c r="L127" s="891"/>
      <c r="M127" s="891"/>
      <c r="N127" s="891"/>
      <c r="O127" s="891"/>
      <c r="P127" s="891"/>
      <c r="Q127" s="891"/>
      <c r="R127" s="891"/>
    </row>
    <row r="128" customFormat="false" ht="12.75" hidden="false" customHeight="false" outlineLevel="0" collapsed="false">
      <c r="A128" s="7"/>
      <c r="B128" s="7"/>
      <c r="C128" s="7"/>
      <c r="D128" s="7"/>
      <c r="E128" s="7"/>
      <c r="F128" s="7"/>
      <c r="G128" s="7"/>
      <c r="H128" s="7"/>
      <c r="L128" s="891"/>
      <c r="M128" s="891"/>
      <c r="N128" s="891"/>
      <c r="O128" s="891"/>
      <c r="P128" s="891"/>
      <c r="Q128" s="891"/>
      <c r="R128" s="891"/>
    </row>
    <row r="129" customFormat="false" ht="12.75" hidden="false" customHeight="false" outlineLevel="0" collapsed="false">
      <c r="A129" s="7"/>
      <c r="B129" s="7"/>
      <c r="C129" s="7"/>
      <c r="D129" s="7"/>
      <c r="E129" s="7"/>
      <c r="F129" s="7"/>
      <c r="G129" s="7"/>
      <c r="H129" s="7"/>
      <c r="L129" s="891"/>
      <c r="M129" s="891"/>
      <c r="N129" s="891"/>
      <c r="O129" s="891"/>
      <c r="P129" s="891"/>
      <c r="Q129" s="891"/>
      <c r="R129" s="891"/>
    </row>
    <row r="130" customFormat="false" ht="12.75" hidden="false" customHeight="false" outlineLevel="0" collapsed="false">
      <c r="A130" s="7"/>
      <c r="B130" s="7"/>
      <c r="C130" s="7"/>
      <c r="D130" s="7"/>
      <c r="E130" s="7"/>
      <c r="F130" s="7"/>
      <c r="G130" s="7"/>
      <c r="H130" s="7"/>
      <c r="L130" s="891"/>
      <c r="M130" s="891"/>
      <c r="N130" s="891"/>
      <c r="O130" s="891"/>
      <c r="P130" s="891"/>
      <c r="Q130" s="891"/>
      <c r="R130" s="891"/>
    </row>
    <row r="131" customFormat="false" ht="12.75" hidden="false" customHeight="false" outlineLevel="0" collapsed="false">
      <c r="A131" s="7"/>
      <c r="B131" s="7"/>
      <c r="C131" s="7"/>
      <c r="D131" s="7"/>
      <c r="E131" s="7"/>
      <c r="F131" s="7"/>
      <c r="G131" s="7"/>
      <c r="H131" s="7"/>
      <c r="L131" s="891"/>
      <c r="M131" s="891"/>
      <c r="N131" s="891"/>
      <c r="O131" s="891"/>
      <c r="P131" s="891"/>
      <c r="Q131" s="891"/>
      <c r="R131" s="891"/>
    </row>
    <row r="132" customFormat="false" ht="12.75" hidden="false" customHeight="false" outlineLevel="0" collapsed="false">
      <c r="A132" s="7"/>
      <c r="B132" s="7"/>
      <c r="C132" s="7"/>
      <c r="D132" s="7"/>
      <c r="E132" s="7"/>
      <c r="F132" s="7"/>
      <c r="G132" s="7"/>
      <c r="H132" s="7"/>
      <c r="L132" s="891"/>
      <c r="M132" s="891"/>
      <c r="N132" s="891"/>
      <c r="O132" s="891"/>
      <c r="P132" s="891"/>
      <c r="Q132" s="891"/>
      <c r="R132" s="891"/>
    </row>
    <row r="133" customFormat="false" ht="11.25" hidden="false" customHeight="false" outlineLevel="0" collapsed="false">
      <c r="L133" s="891"/>
      <c r="M133" s="891"/>
      <c r="N133" s="891"/>
      <c r="O133" s="891"/>
      <c r="P133" s="891"/>
      <c r="Q133" s="891"/>
      <c r="R133" s="891"/>
    </row>
    <row r="134" customFormat="false" ht="11.25" hidden="false" customHeight="false" outlineLevel="0" collapsed="false">
      <c r="L134" s="891"/>
      <c r="M134" s="891"/>
      <c r="N134" s="891"/>
      <c r="O134" s="891"/>
      <c r="P134" s="891"/>
      <c r="Q134" s="891"/>
      <c r="R134" s="891"/>
    </row>
    <row r="135" customFormat="false" ht="11.25" hidden="false" customHeight="false" outlineLevel="0" collapsed="false">
      <c r="L135" s="891"/>
      <c r="M135" s="891"/>
      <c r="N135" s="891"/>
      <c r="O135" s="891"/>
      <c r="P135" s="891"/>
      <c r="Q135" s="891"/>
      <c r="R135" s="891"/>
    </row>
    <row r="136" customFormat="false" ht="11.25" hidden="false" customHeight="false" outlineLevel="0" collapsed="false">
      <c r="L136" s="891"/>
      <c r="M136" s="891"/>
      <c r="N136" s="891"/>
      <c r="O136" s="891"/>
      <c r="P136" s="891"/>
      <c r="Q136" s="891"/>
      <c r="R136" s="891"/>
    </row>
    <row r="137" customFormat="false" ht="11.25" hidden="false" customHeight="false" outlineLevel="0" collapsed="false">
      <c r="L137" s="891"/>
      <c r="M137" s="891"/>
      <c r="N137" s="891"/>
      <c r="O137" s="891"/>
      <c r="P137" s="891"/>
      <c r="Q137" s="891"/>
      <c r="R137" s="891"/>
    </row>
    <row r="138" customFormat="false" ht="11.25" hidden="false" customHeight="false" outlineLevel="0" collapsed="false">
      <c r="L138" s="891"/>
      <c r="M138" s="891"/>
      <c r="N138" s="891"/>
      <c r="O138" s="891"/>
      <c r="P138" s="891"/>
      <c r="Q138" s="891"/>
      <c r="R138" s="891"/>
    </row>
    <row r="139" customFormat="false" ht="11.25" hidden="false" customHeight="false" outlineLevel="0" collapsed="false">
      <c r="L139" s="891"/>
      <c r="M139" s="891"/>
      <c r="N139" s="891"/>
      <c r="O139" s="891"/>
      <c r="P139" s="891"/>
      <c r="Q139" s="891"/>
      <c r="R139" s="891"/>
    </row>
    <row r="140" customFormat="false" ht="11.25" hidden="false" customHeight="false" outlineLevel="0" collapsed="false">
      <c r="L140" s="891"/>
      <c r="M140" s="891"/>
      <c r="N140" s="891"/>
      <c r="O140" s="891"/>
      <c r="P140" s="891"/>
      <c r="Q140" s="891"/>
      <c r="R140" s="891"/>
    </row>
    <row r="141" customFormat="false" ht="11.25" hidden="false" customHeight="false" outlineLevel="0" collapsed="false">
      <c r="L141" s="891"/>
      <c r="M141" s="891"/>
      <c r="N141" s="891"/>
      <c r="O141" s="891"/>
      <c r="P141" s="891"/>
      <c r="Q141" s="891"/>
      <c r="R141" s="891"/>
    </row>
    <row r="142" customFormat="false" ht="11.25" hidden="false" customHeight="false" outlineLevel="0" collapsed="false">
      <c r="L142" s="891"/>
      <c r="M142" s="891"/>
      <c r="N142" s="891"/>
      <c r="O142" s="891"/>
      <c r="P142" s="891"/>
      <c r="Q142" s="891"/>
      <c r="R142" s="891"/>
    </row>
    <row r="143" customFormat="false" ht="11.25" hidden="false" customHeight="false" outlineLevel="0" collapsed="false">
      <c r="L143" s="891"/>
      <c r="M143" s="891"/>
      <c r="N143" s="891"/>
      <c r="O143" s="891"/>
      <c r="P143" s="891"/>
      <c r="Q143" s="891"/>
      <c r="R143" s="891"/>
    </row>
    <row r="144" customFormat="false" ht="11.25" hidden="false" customHeight="false" outlineLevel="0" collapsed="false">
      <c r="L144" s="891"/>
      <c r="M144" s="891"/>
      <c r="N144" s="891"/>
      <c r="O144" s="891"/>
      <c r="P144" s="891"/>
      <c r="Q144" s="891"/>
      <c r="R144" s="891"/>
    </row>
    <row r="145" customFormat="false" ht="11.25" hidden="false" customHeight="false" outlineLevel="0" collapsed="false">
      <c r="L145" s="891"/>
      <c r="M145" s="891"/>
      <c r="N145" s="891"/>
      <c r="O145" s="891"/>
      <c r="P145" s="891"/>
      <c r="Q145" s="891"/>
      <c r="R145" s="891"/>
    </row>
    <row r="146" customFormat="false" ht="11.25" hidden="false" customHeight="false" outlineLevel="0" collapsed="false">
      <c r="L146" s="891"/>
      <c r="M146" s="891"/>
      <c r="N146" s="891"/>
      <c r="O146" s="891"/>
      <c r="P146" s="891"/>
      <c r="Q146" s="891"/>
      <c r="R146" s="891"/>
    </row>
    <row r="147" customFormat="false" ht="11.25" hidden="false" customHeight="false" outlineLevel="0" collapsed="false">
      <c r="L147" s="891"/>
      <c r="M147" s="891"/>
      <c r="N147" s="891"/>
      <c r="O147" s="891"/>
      <c r="P147" s="891"/>
      <c r="Q147" s="891"/>
      <c r="R147" s="891"/>
    </row>
    <row r="148" customFormat="false" ht="11.25" hidden="false" customHeight="false" outlineLevel="0" collapsed="false">
      <c r="L148" s="891"/>
      <c r="M148" s="891"/>
      <c r="N148" s="891"/>
      <c r="O148" s="891"/>
      <c r="P148" s="891"/>
      <c r="Q148" s="891"/>
      <c r="R148" s="891"/>
    </row>
    <row r="149" customFormat="false" ht="11.25" hidden="false" customHeight="false" outlineLevel="0" collapsed="false">
      <c r="L149" s="891"/>
      <c r="M149" s="891"/>
      <c r="N149" s="891"/>
      <c r="O149" s="891"/>
      <c r="P149" s="891"/>
      <c r="Q149" s="891"/>
      <c r="R149" s="891"/>
    </row>
    <row r="150" customFormat="false" ht="11.25" hidden="false" customHeight="false" outlineLevel="0" collapsed="false">
      <c r="L150" s="891"/>
      <c r="M150" s="891"/>
      <c r="N150" s="891"/>
      <c r="O150" s="891"/>
      <c r="P150" s="891"/>
      <c r="Q150" s="891"/>
      <c r="R150" s="891"/>
    </row>
    <row r="151" customFormat="false" ht="11.25" hidden="false" customHeight="false" outlineLevel="0" collapsed="false">
      <c r="L151" s="891"/>
      <c r="M151" s="891"/>
      <c r="N151" s="891"/>
      <c r="O151" s="891"/>
      <c r="P151" s="891"/>
      <c r="Q151" s="891"/>
      <c r="R151" s="891"/>
    </row>
    <row r="152" customFormat="false" ht="11.25" hidden="false" customHeight="false" outlineLevel="0" collapsed="false">
      <c r="L152" s="891"/>
      <c r="M152" s="891"/>
      <c r="N152" s="891"/>
      <c r="O152" s="891"/>
      <c r="P152" s="891"/>
      <c r="Q152" s="891"/>
      <c r="R152" s="891"/>
    </row>
    <row r="153" customFormat="false" ht="11.25" hidden="false" customHeight="false" outlineLevel="0" collapsed="false">
      <c r="L153" s="891"/>
      <c r="M153" s="891"/>
      <c r="N153" s="891"/>
      <c r="O153" s="891"/>
      <c r="P153" s="891"/>
      <c r="Q153" s="891"/>
      <c r="R153" s="891"/>
    </row>
    <row r="154" customFormat="false" ht="11.25" hidden="false" customHeight="false" outlineLevel="0" collapsed="false">
      <c r="L154" s="891"/>
      <c r="M154" s="891"/>
      <c r="N154" s="891"/>
      <c r="O154" s="891"/>
      <c r="P154" s="891"/>
      <c r="Q154" s="891"/>
      <c r="R154" s="891"/>
    </row>
    <row r="155" customFormat="false" ht="11.25" hidden="false" customHeight="false" outlineLevel="0" collapsed="false">
      <c r="L155" s="891"/>
      <c r="M155" s="891"/>
      <c r="N155" s="891"/>
      <c r="O155" s="891"/>
      <c r="P155" s="891"/>
      <c r="Q155" s="891"/>
      <c r="R155" s="891"/>
    </row>
    <row r="156" customFormat="false" ht="11.25" hidden="false" customHeight="false" outlineLevel="0" collapsed="false">
      <c r="L156" s="891"/>
      <c r="M156" s="891"/>
      <c r="N156" s="891"/>
      <c r="O156" s="891"/>
      <c r="P156" s="891"/>
      <c r="Q156" s="891"/>
      <c r="R156" s="891"/>
    </row>
    <row r="157" customFormat="false" ht="11.25" hidden="false" customHeight="false" outlineLevel="0" collapsed="false">
      <c r="L157" s="891"/>
      <c r="M157" s="891"/>
      <c r="N157" s="891"/>
      <c r="O157" s="891"/>
      <c r="P157" s="891"/>
      <c r="Q157" s="891"/>
      <c r="R157" s="891"/>
    </row>
    <row r="158" customFormat="false" ht="11.25" hidden="false" customHeight="false" outlineLevel="0" collapsed="false">
      <c r="L158" s="891"/>
      <c r="M158" s="891"/>
      <c r="N158" s="891"/>
      <c r="O158" s="891"/>
      <c r="P158" s="891"/>
      <c r="Q158" s="891"/>
      <c r="R158" s="891"/>
    </row>
    <row r="159" customFormat="false" ht="11.25" hidden="false" customHeight="false" outlineLevel="0" collapsed="false">
      <c r="L159" s="891"/>
      <c r="M159" s="891"/>
      <c r="N159" s="891"/>
      <c r="O159" s="891"/>
      <c r="P159" s="891"/>
      <c r="Q159" s="891"/>
      <c r="R159" s="891"/>
    </row>
    <row r="160" customFormat="false" ht="11.25" hidden="false" customHeight="false" outlineLevel="0" collapsed="false">
      <c r="L160" s="891"/>
      <c r="M160" s="891"/>
      <c r="N160" s="891"/>
      <c r="O160" s="891"/>
      <c r="P160" s="891"/>
      <c r="Q160" s="891"/>
      <c r="R160" s="891"/>
    </row>
    <row r="161" customFormat="false" ht="11.25" hidden="false" customHeight="false" outlineLevel="0" collapsed="false">
      <c r="L161" s="891"/>
      <c r="M161" s="891"/>
      <c r="N161" s="891"/>
      <c r="O161" s="891"/>
      <c r="P161" s="891"/>
      <c r="Q161" s="891"/>
      <c r="R161" s="891"/>
    </row>
    <row r="162" customFormat="false" ht="11.25" hidden="false" customHeight="false" outlineLevel="0" collapsed="false">
      <c r="L162" s="891"/>
      <c r="M162" s="891"/>
      <c r="N162" s="891"/>
      <c r="O162" s="891"/>
      <c r="P162" s="891"/>
      <c r="Q162" s="891"/>
      <c r="R162" s="891"/>
    </row>
    <row r="163" customFormat="false" ht="11.25" hidden="false" customHeight="false" outlineLevel="0" collapsed="false">
      <c r="L163" s="891"/>
      <c r="M163" s="891"/>
      <c r="N163" s="891"/>
      <c r="O163" s="891"/>
      <c r="P163" s="891"/>
      <c r="Q163" s="891"/>
      <c r="R163" s="891"/>
    </row>
    <row r="164" customFormat="false" ht="11.25" hidden="false" customHeight="false" outlineLevel="0" collapsed="false">
      <c r="L164" s="891"/>
      <c r="M164" s="891"/>
      <c r="N164" s="891"/>
      <c r="O164" s="891"/>
      <c r="P164" s="891"/>
      <c r="Q164" s="891"/>
      <c r="R164" s="891"/>
    </row>
    <row r="165" customFormat="false" ht="11.25" hidden="false" customHeight="false" outlineLevel="0" collapsed="false">
      <c r="E165" s="951"/>
      <c r="L165" s="891"/>
      <c r="M165" s="891"/>
      <c r="N165" s="891"/>
      <c r="O165" s="891"/>
      <c r="P165" s="891"/>
      <c r="Q165" s="891"/>
      <c r="R165" s="891"/>
    </row>
    <row r="166" customFormat="false" ht="11.25" hidden="false" customHeight="false" outlineLevel="0" collapsed="false">
      <c r="L166" s="891"/>
      <c r="M166" s="891"/>
      <c r="N166" s="891"/>
      <c r="O166" s="891"/>
      <c r="P166" s="891"/>
      <c r="Q166" s="891"/>
      <c r="R166" s="891"/>
    </row>
    <row r="167" customFormat="false" ht="11.25" hidden="false" customHeight="false" outlineLevel="0" collapsed="false">
      <c r="L167" s="891"/>
      <c r="M167" s="891"/>
      <c r="N167" s="891"/>
      <c r="O167" s="891"/>
      <c r="P167" s="891"/>
      <c r="Q167" s="891"/>
      <c r="R167" s="891"/>
    </row>
    <row r="168" customFormat="false" ht="11.25" hidden="false" customHeight="false" outlineLevel="0" collapsed="false">
      <c r="L168" s="891"/>
      <c r="M168" s="891"/>
      <c r="N168" s="891"/>
      <c r="O168" s="891"/>
      <c r="P168" s="891"/>
      <c r="Q168" s="891"/>
      <c r="R168" s="891"/>
    </row>
    <row r="169" customFormat="false" ht="11.25" hidden="false" customHeight="false" outlineLevel="0" collapsed="false">
      <c r="L169" s="891"/>
      <c r="M169" s="891"/>
      <c r="N169" s="891"/>
      <c r="O169" s="891"/>
      <c r="P169" s="891"/>
      <c r="Q169" s="891"/>
      <c r="R169" s="891"/>
    </row>
    <row r="170" customFormat="false" ht="11.25" hidden="false" customHeight="false" outlineLevel="0" collapsed="false">
      <c r="L170" s="891"/>
      <c r="M170" s="891"/>
      <c r="N170" s="891"/>
      <c r="O170" s="891"/>
      <c r="P170" s="891"/>
      <c r="Q170" s="891"/>
      <c r="R170" s="891"/>
    </row>
    <row r="171" customFormat="false" ht="11.25" hidden="false" customHeight="false" outlineLevel="0" collapsed="false">
      <c r="L171" s="891"/>
      <c r="M171" s="891"/>
      <c r="N171" s="891"/>
      <c r="O171" s="891"/>
      <c r="P171" s="891"/>
      <c r="Q171" s="891"/>
      <c r="R171" s="891"/>
    </row>
    <row r="172" customFormat="false" ht="11.25" hidden="false" customHeight="false" outlineLevel="0" collapsed="false">
      <c r="L172" s="891"/>
      <c r="M172" s="891"/>
      <c r="N172" s="891"/>
      <c r="O172" s="891"/>
      <c r="P172" s="891"/>
      <c r="Q172" s="891"/>
      <c r="R172" s="891"/>
    </row>
    <row r="173" customFormat="false" ht="11.25" hidden="false" customHeight="false" outlineLevel="0" collapsed="false">
      <c r="L173" s="891"/>
      <c r="M173" s="891"/>
      <c r="N173" s="891"/>
      <c r="O173" s="891"/>
      <c r="P173" s="891"/>
      <c r="Q173" s="891"/>
      <c r="R173" s="891"/>
    </row>
    <row r="174" customFormat="false" ht="11.25" hidden="false" customHeight="false" outlineLevel="0" collapsed="false">
      <c r="L174" s="891"/>
      <c r="M174" s="891"/>
      <c r="N174" s="891"/>
      <c r="O174" s="891"/>
      <c r="P174" s="891"/>
      <c r="Q174" s="891"/>
      <c r="R174" s="891"/>
    </row>
    <row r="175" customFormat="false" ht="11.25" hidden="false" customHeight="false" outlineLevel="0" collapsed="false">
      <c r="L175" s="891"/>
      <c r="M175" s="891"/>
      <c r="N175" s="891"/>
      <c r="O175" s="891"/>
      <c r="P175" s="891"/>
      <c r="Q175" s="891"/>
      <c r="R175" s="891"/>
    </row>
    <row r="176" customFormat="false" ht="11.25" hidden="false" customHeight="false" outlineLevel="0" collapsed="false">
      <c r="L176" s="891"/>
      <c r="M176" s="891"/>
      <c r="N176" s="891"/>
      <c r="O176" s="891"/>
      <c r="P176" s="891"/>
      <c r="Q176" s="891"/>
      <c r="R176" s="891"/>
    </row>
    <row r="177" customFormat="false" ht="11.25" hidden="false" customHeight="false" outlineLevel="0" collapsed="false">
      <c r="L177" s="891"/>
      <c r="M177" s="891"/>
      <c r="N177" s="891"/>
      <c r="O177" s="891"/>
      <c r="P177" s="891"/>
      <c r="Q177" s="891"/>
      <c r="R177" s="891"/>
    </row>
    <row r="178" customFormat="false" ht="11.25" hidden="false" customHeight="false" outlineLevel="0" collapsed="false">
      <c r="L178" s="891"/>
      <c r="M178" s="891"/>
      <c r="N178" s="891"/>
      <c r="O178" s="891"/>
      <c r="P178" s="891"/>
      <c r="Q178" s="891"/>
      <c r="R178" s="891"/>
    </row>
    <row r="179" customFormat="false" ht="11.25" hidden="false" customHeight="false" outlineLevel="0" collapsed="false">
      <c r="L179" s="891"/>
      <c r="M179" s="891"/>
      <c r="N179" s="891"/>
      <c r="O179" s="891"/>
      <c r="P179" s="891"/>
      <c r="Q179" s="891"/>
      <c r="R179" s="891"/>
    </row>
    <row r="180" customFormat="false" ht="11.25" hidden="false" customHeight="false" outlineLevel="0" collapsed="false">
      <c r="L180" s="891"/>
      <c r="M180" s="891"/>
      <c r="N180" s="891"/>
      <c r="O180" s="891"/>
      <c r="P180" s="891"/>
      <c r="Q180" s="891"/>
      <c r="R180" s="891"/>
    </row>
    <row r="181" customFormat="false" ht="11.25" hidden="false" customHeight="false" outlineLevel="0" collapsed="false">
      <c r="L181" s="891"/>
      <c r="M181" s="891"/>
      <c r="N181" s="891"/>
      <c r="O181" s="891"/>
      <c r="P181" s="891"/>
      <c r="Q181" s="891"/>
      <c r="R181" s="891"/>
    </row>
    <row r="182" customFormat="false" ht="11.25" hidden="false" customHeight="false" outlineLevel="0" collapsed="false">
      <c r="L182" s="891"/>
      <c r="M182" s="891"/>
      <c r="N182" s="891"/>
      <c r="O182" s="891"/>
      <c r="P182" s="891"/>
      <c r="Q182" s="891"/>
      <c r="R182" s="891"/>
    </row>
    <row r="183" customFormat="false" ht="11.25" hidden="false" customHeight="false" outlineLevel="0" collapsed="false">
      <c r="L183" s="891"/>
      <c r="M183" s="891"/>
      <c r="N183" s="891"/>
      <c r="O183" s="891"/>
      <c r="P183" s="891"/>
      <c r="Q183" s="891"/>
      <c r="R183" s="891"/>
    </row>
    <row r="184" customFormat="false" ht="11.25" hidden="false" customHeight="false" outlineLevel="0" collapsed="false">
      <c r="L184" s="891"/>
      <c r="M184" s="891"/>
      <c r="N184" s="891"/>
      <c r="O184" s="891"/>
      <c r="P184" s="891"/>
      <c r="Q184" s="891"/>
      <c r="R184" s="891"/>
    </row>
    <row r="185" customFormat="false" ht="11.25" hidden="false" customHeight="false" outlineLevel="0" collapsed="false">
      <c r="L185" s="891"/>
      <c r="M185" s="891"/>
      <c r="N185" s="891"/>
      <c r="O185" s="891"/>
      <c r="P185" s="891"/>
      <c r="Q185" s="891"/>
      <c r="R185" s="891"/>
    </row>
    <row r="186" customFormat="false" ht="11.25" hidden="false" customHeight="false" outlineLevel="0" collapsed="false">
      <c r="L186" s="891"/>
      <c r="M186" s="891"/>
      <c r="N186" s="891"/>
      <c r="O186" s="891"/>
      <c r="P186" s="891"/>
      <c r="Q186" s="891"/>
      <c r="R186" s="891"/>
    </row>
    <row r="187" customFormat="false" ht="11.25" hidden="false" customHeight="false" outlineLevel="0" collapsed="false">
      <c r="L187" s="891"/>
      <c r="M187" s="891"/>
      <c r="N187" s="891"/>
      <c r="O187" s="891"/>
      <c r="P187" s="891"/>
      <c r="Q187" s="891"/>
      <c r="R187" s="891"/>
    </row>
    <row r="188" customFormat="false" ht="11.25" hidden="false" customHeight="false" outlineLevel="0" collapsed="false">
      <c r="L188" s="891"/>
      <c r="M188" s="891"/>
      <c r="N188" s="891"/>
      <c r="O188" s="891"/>
      <c r="P188" s="891"/>
      <c r="Q188" s="891"/>
      <c r="R188" s="891"/>
    </row>
    <row r="189" customFormat="false" ht="11.25" hidden="false" customHeight="false" outlineLevel="0" collapsed="false">
      <c r="L189" s="891"/>
      <c r="M189" s="891"/>
      <c r="N189" s="891"/>
      <c r="O189" s="891"/>
      <c r="P189" s="891"/>
      <c r="Q189" s="891"/>
      <c r="R189" s="891"/>
    </row>
    <row r="190" customFormat="false" ht="11.25" hidden="false" customHeight="false" outlineLevel="0" collapsed="false">
      <c r="L190" s="891"/>
      <c r="M190" s="891"/>
      <c r="N190" s="891"/>
      <c r="O190" s="891"/>
      <c r="P190" s="891"/>
      <c r="Q190" s="891"/>
      <c r="R190" s="891"/>
    </row>
    <row r="191" customFormat="false" ht="11.25" hidden="false" customHeight="false" outlineLevel="0" collapsed="false">
      <c r="L191" s="891"/>
      <c r="M191" s="891"/>
      <c r="N191" s="891"/>
      <c r="O191" s="891"/>
      <c r="P191" s="891"/>
      <c r="Q191" s="891"/>
      <c r="R191" s="891"/>
    </row>
    <row r="192" customFormat="false" ht="11.25" hidden="false" customHeight="false" outlineLevel="0" collapsed="false">
      <c r="L192" s="891"/>
      <c r="M192" s="891"/>
      <c r="N192" s="891"/>
      <c r="O192" s="891"/>
      <c r="P192" s="891"/>
      <c r="Q192" s="891"/>
      <c r="R192" s="891"/>
    </row>
    <row r="193" customFormat="false" ht="11.25" hidden="false" customHeight="false" outlineLevel="0" collapsed="false">
      <c r="L193" s="891"/>
      <c r="M193" s="891"/>
      <c r="N193" s="891"/>
      <c r="O193" s="891"/>
      <c r="P193" s="891"/>
      <c r="Q193" s="891"/>
      <c r="R193" s="891"/>
    </row>
    <row r="194" customFormat="false" ht="11.25" hidden="false" customHeight="false" outlineLevel="0" collapsed="false">
      <c r="L194" s="891"/>
      <c r="M194" s="891"/>
      <c r="N194" s="891"/>
      <c r="O194" s="891"/>
      <c r="P194" s="891"/>
      <c r="Q194" s="891"/>
      <c r="R194" s="891"/>
    </row>
    <row r="195" customFormat="false" ht="11.25" hidden="false" customHeight="false" outlineLevel="0" collapsed="false">
      <c r="L195" s="891"/>
      <c r="M195" s="891"/>
      <c r="N195" s="891"/>
      <c r="O195" s="891"/>
      <c r="P195" s="891"/>
      <c r="Q195" s="891"/>
      <c r="R195" s="891"/>
    </row>
    <row r="196" customFormat="false" ht="11.25" hidden="false" customHeight="false" outlineLevel="0" collapsed="false">
      <c r="L196" s="891"/>
      <c r="M196" s="891"/>
      <c r="N196" s="891"/>
      <c r="O196" s="891"/>
      <c r="P196" s="891"/>
      <c r="Q196" s="891"/>
      <c r="R196" s="891"/>
    </row>
    <row r="197" customFormat="false" ht="11.25" hidden="false" customHeight="false" outlineLevel="0" collapsed="false">
      <c r="L197" s="891"/>
      <c r="M197" s="891"/>
      <c r="N197" s="891"/>
      <c r="O197" s="891"/>
      <c r="P197" s="891"/>
      <c r="Q197" s="891"/>
      <c r="R197" s="891"/>
    </row>
    <row r="198" customFormat="false" ht="11.25" hidden="false" customHeight="false" outlineLevel="0" collapsed="false">
      <c r="L198" s="891"/>
      <c r="M198" s="891"/>
      <c r="N198" s="891"/>
      <c r="O198" s="891"/>
      <c r="P198" s="891"/>
      <c r="Q198" s="891"/>
      <c r="R198" s="891"/>
    </row>
    <row r="199" customFormat="false" ht="11.25" hidden="false" customHeight="false" outlineLevel="0" collapsed="false">
      <c r="L199" s="891"/>
      <c r="M199" s="891"/>
      <c r="N199" s="891"/>
      <c r="O199" s="891"/>
      <c r="P199" s="891"/>
      <c r="Q199" s="891"/>
      <c r="R199" s="891"/>
    </row>
    <row r="200" customFormat="false" ht="11.25" hidden="false" customHeight="false" outlineLevel="0" collapsed="false">
      <c r="L200" s="891"/>
      <c r="M200" s="891"/>
      <c r="N200" s="891"/>
      <c r="O200" s="891"/>
      <c r="P200" s="891"/>
      <c r="Q200" s="891"/>
      <c r="R200" s="891"/>
    </row>
    <row r="201" customFormat="false" ht="11.25" hidden="false" customHeight="false" outlineLevel="0" collapsed="false">
      <c r="L201" s="891"/>
      <c r="M201" s="891"/>
      <c r="N201" s="891"/>
      <c r="O201" s="891"/>
      <c r="P201" s="891"/>
      <c r="Q201" s="891"/>
      <c r="R201" s="891"/>
    </row>
    <row r="202" customFormat="false" ht="11.25" hidden="false" customHeight="false" outlineLevel="0" collapsed="false">
      <c r="L202" s="891"/>
      <c r="M202" s="891"/>
      <c r="N202" s="891"/>
      <c r="O202" s="891"/>
      <c r="P202" s="891"/>
      <c r="Q202" s="891"/>
      <c r="R202" s="891"/>
    </row>
    <row r="203" customFormat="false" ht="11.25" hidden="false" customHeight="false" outlineLevel="0" collapsed="false">
      <c r="L203" s="891"/>
      <c r="M203" s="891"/>
      <c r="N203" s="891"/>
      <c r="O203" s="891"/>
      <c r="P203" s="891"/>
      <c r="Q203" s="891"/>
      <c r="R203" s="891"/>
    </row>
    <row r="204" customFormat="false" ht="11.25" hidden="false" customHeight="false" outlineLevel="0" collapsed="false">
      <c r="L204" s="891"/>
      <c r="M204" s="891"/>
      <c r="N204" s="891"/>
      <c r="O204" s="891"/>
      <c r="P204" s="891"/>
      <c r="Q204" s="891"/>
      <c r="R204" s="891"/>
    </row>
    <row r="205" customFormat="false" ht="11.25" hidden="false" customHeight="false" outlineLevel="0" collapsed="false">
      <c r="L205" s="891"/>
      <c r="M205" s="891"/>
      <c r="N205" s="891"/>
      <c r="O205" s="891"/>
      <c r="P205" s="891"/>
      <c r="Q205" s="891"/>
      <c r="R205" s="891"/>
    </row>
    <row r="206" customFormat="false" ht="11.25" hidden="false" customHeight="false" outlineLevel="0" collapsed="false">
      <c r="L206" s="891"/>
      <c r="M206" s="891"/>
      <c r="N206" s="891"/>
      <c r="O206" s="891"/>
      <c r="P206" s="891"/>
      <c r="Q206" s="891"/>
      <c r="R206" s="891"/>
    </row>
    <row r="207" customFormat="false" ht="11.25" hidden="false" customHeight="false" outlineLevel="0" collapsed="false">
      <c r="L207" s="891"/>
      <c r="M207" s="891"/>
      <c r="N207" s="891"/>
      <c r="O207" s="891"/>
      <c r="P207" s="891"/>
      <c r="Q207" s="891"/>
      <c r="R207" s="891"/>
    </row>
    <row r="208" customFormat="false" ht="11.25" hidden="false" customHeight="false" outlineLevel="0" collapsed="false">
      <c r="L208" s="891"/>
      <c r="M208" s="891"/>
      <c r="N208" s="891"/>
      <c r="O208" s="891"/>
      <c r="P208" s="891"/>
      <c r="Q208" s="891"/>
      <c r="R208" s="891"/>
    </row>
    <row r="209" customFormat="false" ht="11.25" hidden="false" customHeight="false" outlineLevel="0" collapsed="false">
      <c r="L209" s="891"/>
      <c r="M209" s="891"/>
      <c r="N209" s="891"/>
      <c r="O209" s="891"/>
      <c r="P209" s="891"/>
      <c r="Q209" s="891"/>
      <c r="R209" s="891"/>
    </row>
    <row r="210" customFormat="false" ht="11.25" hidden="false" customHeight="false" outlineLevel="0" collapsed="false">
      <c r="L210" s="891"/>
      <c r="M210" s="891"/>
      <c r="N210" s="891"/>
      <c r="O210" s="891"/>
      <c r="P210" s="891"/>
      <c r="Q210" s="891"/>
      <c r="R210" s="891"/>
    </row>
    <row r="211" customFormat="false" ht="11.25" hidden="false" customHeight="false" outlineLevel="0" collapsed="false">
      <c r="L211" s="891"/>
      <c r="M211" s="891"/>
      <c r="N211" s="891"/>
      <c r="O211" s="891"/>
      <c r="P211" s="891"/>
      <c r="Q211" s="891"/>
      <c r="R211" s="891"/>
    </row>
    <row r="212" customFormat="false" ht="11.25" hidden="false" customHeight="false" outlineLevel="0" collapsed="false">
      <c r="L212" s="891"/>
      <c r="M212" s="891"/>
      <c r="N212" s="891"/>
      <c r="O212" s="891"/>
      <c r="P212" s="891"/>
      <c r="Q212" s="891"/>
      <c r="R212" s="891"/>
    </row>
    <row r="213" customFormat="false" ht="11.25" hidden="false" customHeight="false" outlineLevel="0" collapsed="false">
      <c r="L213" s="891"/>
      <c r="M213" s="891"/>
      <c r="N213" s="891"/>
      <c r="O213" s="891"/>
      <c r="P213" s="891"/>
      <c r="Q213" s="891"/>
      <c r="R213" s="891"/>
    </row>
    <row r="214" customFormat="false" ht="11.25" hidden="false" customHeight="false" outlineLevel="0" collapsed="false">
      <c r="L214" s="891"/>
      <c r="M214" s="891"/>
      <c r="N214" s="891"/>
      <c r="O214" s="891"/>
      <c r="P214" s="891"/>
      <c r="Q214" s="891"/>
      <c r="R214" s="891"/>
    </row>
    <row r="215" customFormat="false" ht="11.25" hidden="false" customHeight="false" outlineLevel="0" collapsed="false">
      <c r="L215" s="891"/>
      <c r="M215" s="891"/>
      <c r="N215" s="891"/>
      <c r="O215" s="891"/>
      <c r="P215" s="891"/>
      <c r="Q215" s="891"/>
      <c r="R215" s="891"/>
    </row>
    <row r="216" customFormat="false" ht="11.25" hidden="false" customHeight="false" outlineLevel="0" collapsed="false">
      <c r="L216" s="891"/>
      <c r="M216" s="891"/>
      <c r="N216" s="891"/>
      <c r="O216" s="891"/>
      <c r="P216" s="891"/>
      <c r="Q216" s="891"/>
      <c r="R216" s="891"/>
    </row>
    <row r="217" customFormat="false" ht="11.25" hidden="false" customHeight="false" outlineLevel="0" collapsed="false">
      <c r="L217" s="891"/>
      <c r="M217" s="891"/>
      <c r="N217" s="891"/>
      <c r="O217" s="891"/>
      <c r="P217" s="891"/>
      <c r="Q217" s="891"/>
      <c r="R217" s="891"/>
    </row>
    <row r="218" customFormat="false" ht="11.25" hidden="false" customHeight="false" outlineLevel="0" collapsed="false">
      <c r="L218" s="891"/>
      <c r="M218" s="891"/>
      <c r="N218" s="891"/>
      <c r="O218" s="891"/>
      <c r="P218" s="891"/>
      <c r="Q218" s="891"/>
      <c r="R218" s="891"/>
    </row>
    <row r="219" customFormat="false" ht="11.25" hidden="false" customHeight="false" outlineLevel="0" collapsed="false">
      <c r="L219" s="891"/>
      <c r="M219" s="891"/>
      <c r="N219" s="891"/>
      <c r="O219" s="891"/>
      <c r="P219" s="891"/>
      <c r="Q219" s="891"/>
      <c r="R219" s="891"/>
    </row>
    <row r="220" customFormat="false" ht="11.25" hidden="false" customHeight="false" outlineLevel="0" collapsed="false">
      <c r="L220" s="891"/>
      <c r="M220" s="891"/>
      <c r="N220" s="891"/>
      <c r="O220" s="891"/>
      <c r="P220" s="891"/>
      <c r="Q220" s="891"/>
      <c r="R220" s="891"/>
    </row>
    <row r="221" customFormat="false" ht="11.25" hidden="false" customHeight="false" outlineLevel="0" collapsed="false">
      <c r="L221" s="891"/>
      <c r="M221" s="891"/>
      <c r="N221" s="891"/>
      <c r="O221" s="891"/>
      <c r="P221" s="891"/>
      <c r="Q221" s="891"/>
      <c r="R221" s="891"/>
    </row>
    <row r="222" customFormat="false" ht="11.25" hidden="false" customHeight="false" outlineLevel="0" collapsed="false">
      <c r="L222" s="891"/>
      <c r="M222" s="891"/>
      <c r="N222" s="891"/>
      <c r="O222" s="891"/>
      <c r="P222" s="891"/>
      <c r="Q222" s="891"/>
      <c r="R222" s="891"/>
    </row>
    <row r="223" customFormat="false" ht="11.25" hidden="false" customHeight="false" outlineLevel="0" collapsed="false">
      <c r="L223" s="891"/>
      <c r="M223" s="891"/>
      <c r="N223" s="891"/>
      <c r="O223" s="891"/>
      <c r="P223" s="891"/>
      <c r="Q223" s="891"/>
      <c r="R223" s="891"/>
    </row>
    <row r="224" customFormat="false" ht="11.25" hidden="false" customHeight="false" outlineLevel="0" collapsed="false">
      <c r="L224" s="891"/>
      <c r="M224" s="891"/>
      <c r="N224" s="891"/>
      <c r="O224" s="891"/>
      <c r="P224" s="891"/>
      <c r="Q224" s="891"/>
      <c r="R224" s="891"/>
    </row>
    <row r="225" customFormat="false" ht="11.25" hidden="false" customHeight="false" outlineLevel="0" collapsed="false">
      <c r="L225" s="891"/>
      <c r="M225" s="891"/>
      <c r="N225" s="891"/>
      <c r="O225" s="891"/>
      <c r="P225" s="891"/>
      <c r="Q225" s="891"/>
      <c r="R225" s="891"/>
    </row>
    <row r="226" customFormat="false" ht="11.25" hidden="false" customHeight="false" outlineLevel="0" collapsed="false">
      <c r="L226" s="891"/>
      <c r="M226" s="891"/>
      <c r="N226" s="891"/>
      <c r="O226" s="891"/>
      <c r="P226" s="891"/>
      <c r="Q226" s="891"/>
      <c r="R226" s="891"/>
    </row>
    <row r="227" customFormat="false" ht="11.25" hidden="false" customHeight="false" outlineLevel="0" collapsed="false">
      <c r="L227" s="891"/>
      <c r="M227" s="891"/>
      <c r="N227" s="891"/>
      <c r="O227" s="891"/>
      <c r="P227" s="891"/>
      <c r="Q227" s="891"/>
      <c r="R227" s="891"/>
    </row>
    <row r="228" customFormat="false" ht="11.25" hidden="false" customHeight="false" outlineLevel="0" collapsed="false">
      <c r="L228" s="891"/>
      <c r="M228" s="891"/>
      <c r="N228" s="891"/>
      <c r="O228" s="891"/>
      <c r="P228" s="891"/>
      <c r="Q228" s="891"/>
      <c r="R228" s="891"/>
    </row>
    <row r="229" customFormat="false" ht="11.25" hidden="false" customHeight="false" outlineLevel="0" collapsed="false">
      <c r="L229" s="891"/>
      <c r="M229" s="891"/>
      <c r="N229" s="891"/>
      <c r="O229" s="891"/>
      <c r="P229" s="891"/>
      <c r="Q229" s="891"/>
      <c r="R229" s="891"/>
    </row>
    <row r="230" customFormat="false" ht="11.25" hidden="false" customHeight="false" outlineLevel="0" collapsed="false">
      <c r="L230" s="891"/>
      <c r="M230" s="891"/>
      <c r="N230" s="891"/>
      <c r="O230" s="891"/>
      <c r="P230" s="891"/>
      <c r="Q230" s="891"/>
      <c r="R230" s="891"/>
    </row>
    <row r="231" customFormat="false" ht="11.25" hidden="false" customHeight="false" outlineLevel="0" collapsed="false">
      <c r="L231" s="891"/>
      <c r="M231" s="891"/>
      <c r="N231" s="891"/>
      <c r="O231" s="891"/>
      <c r="P231" s="891"/>
      <c r="Q231" s="891"/>
      <c r="R231" s="891"/>
    </row>
    <row r="232" customFormat="false" ht="11.25" hidden="false" customHeight="false" outlineLevel="0" collapsed="false">
      <c r="L232" s="891"/>
      <c r="M232" s="891"/>
      <c r="N232" s="891"/>
      <c r="O232" s="891"/>
      <c r="P232" s="891"/>
      <c r="Q232" s="891"/>
      <c r="R232" s="891"/>
    </row>
    <row r="233" customFormat="false" ht="11.25" hidden="false" customHeight="false" outlineLevel="0" collapsed="false">
      <c r="L233" s="891"/>
      <c r="M233" s="891"/>
      <c r="N233" s="891"/>
      <c r="O233" s="891"/>
      <c r="P233" s="891"/>
      <c r="Q233" s="891"/>
      <c r="R233" s="891"/>
    </row>
    <row r="234" customFormat="false" ht="11.25" hidden="false" customHeight="false" outlineLevel="0" collapsed="false">
      <c r="L234" s="891"/>
      <c r="M234" s="891"/>
      <c r="N234" s="891"/>
      <c r="O234" s="891"/>
      <c r="P234" s="891"/>
      <c r="Q234" s="891"/>
      <c r="R234" s="891"/>
    </row>
    <row r="235" customFormat="false" ht="11.25" hidden="false" customHeight="false" outlineLevel="0" collapsed="false">
      <c r="L235" s="891"/>
      <c r="M235" s="891"/>
      <c r="N235" s="891"/>
      <c r="O235" s="891"/>
      <c r="P235" s="891"/>
      <c r="Q235" s="891"/>
      <c r="R235" s="891"/>
    </row>
    <row r="236" customFormat="false" ht="11.25" hidden="false" customHeight="false" outlineLevel="0" collapsed="false">
      <c r="L236" s="891"/>
      <c r="M236" s="891"/>
      <c r="N236" s="891"/>
      <c r="O236" s="891"/>
      <c r="P236" s="891"/>
      <c r="Q236" s="891"/>
      <c r="R236" s="891"/>
    </row>
    <row r="237" customFormat="false" ht="11.25" hidden="false" customHeight="false" outlineLevel="0" collapsed="false">
      <c r="L237" s="891"/>
      <c r="M237" s="891"/>
      <c r="N237" s="891"/>
      <c r="O237" s="891"/>
      <c r="P237" s="891"/>
      <c r="Q237" s="891"/>
      <c r="R237" s="891"/>
    </row>
    <row r="238" customFormat="false" ht="11.25" hidden="false" customHeight="false" outlineLevel="0" collapsed="false">
      <c r="L238" s="891"/>
      <c r="M238" s="891"/>
      <c r="N238" s="891"/>
      <c r="O238" s="891"/>
      <c r="P238" s="891"/>
      <c r="Q238" s="891"/>
      <c r="R238" s="891"/>
    </row>
    <row r="239" customFormat="false" ht="11.25" hidden="false" customHeight="false" outlineLevel="0" collapsed="false">
      <c r="L239" s="891"/>
      <c r="M239" s="891"/>
      <c r="N239" s="891"/>
      <c r="O239" s="891"/>
      <c r="P239" s="891"/>
      <c r="Q239" s="891"/>
      <c r="R239" s="891"/>
    </row>
    <row r="240" customFormat="false" ht="11.25" hidden="false" customHeight="false" outlineLevel="0" collapsed="false">
      <c r="L240" s="891"/>
      <c r="M240" s="891"/>
      <c r="N240" s="891"/>
      <c r="O240" s="891"/>
      <c r="P240" s="891"/>
      <c r="Q240" s="891"/>
      <c r="R240" s="891"/>
    </row>
    <row r="241" customFormat="false" ht="11.25" hidden="false" customHeight="false" outlineLevel="0" collapsed="false">
      <c r="L241" s="891"/>
      <c r="M241" s="891"/>
      <c r="N241" s="891"/>
      <c r="O241" s="891"/>
      <c r="P241" s="891"/>
      <c r="Q241" s="891"/>
      <c r="R241" s="891"/>
    </row>
    <row r="242" customFormat="false" ht="11.25" hidden="false" customHeight="false" outlineLevel="0" collapsed="false">
      <c r="L242" s="891"/>
      <c r="M242" s="891"/>
      <c r="N242" s="891"/>
      <c r="O242" s="891"/>
      <c r="P242" s="891"/>
      <c r="Q242" s="891"/>
      <c r="R242" s="891"/>
    </row>
    <row r="243" customFormat="false" ht="11.25" hidden="false" customHeight="false" outlineLevel="0" collapsed="false">
      <c r="L243" s="891"/>
      <c r="M243" s="891"/>
      <c r="N243" s="891"/>
      <c r="O243" s="891"/>
      <c r="P243" s="891"/>
      <c r="Q243" s="891"/>
      <c r="R243" s="891"/>
    </row>
    <row r="244" customFormat="false" ht="11.25" hidden="false" customHeight="false" outlineLevel="0" collapsed="false">
      <c r="L244" s="891"/>
      <c r="M244" s="891"/>
      <c r="N244" s="891"/>
      <c r="O244" s="891"/>
      <c r="P244" s="891"/>
      <c r="Q244" s="891"/>
      <c r="R244" s="891"/>
    </row>
    <row r="245" customFormat="false" ht="11.25" hidden="false" customHeight="false" outlineLevel="0" collapsed="false">
      <c r="L245" s="891"/>
      <c r="M245" s="891"/>
      <c r="N245" s="891"/>
      <c r="O245" s="891"/>
      <c r="P245" s="891"/>
      <c r="Q245" s="891"/>
      <c r="R245" s="891"/>
    </row>
    <row r="246" customFormat="false" ht="11.25" hidden="false" customHeight="false" outlineLevel="0" collapsed="false">
      <c r="L246" s="891"/>
      <c r="M246" s="891"/>
      <c r="N246" s="891"/>
      <c r="O246" s="891"/>
      <c r="P246" s="891"/>
      <c r="Q246" s="891"/>
      <c r="R246" s="891"/>
    </row>
    <row r="247" customFormat="false" ht="11.25" hidden="false" customHeight="false" outlineLevel="0" collapsed="false">
      <c r="L247" s="891"/>
      <c r="M247" s="891"/>
      <c r="N247" s="891"/>
      <c r="O247" s="891"/>
      <c r="P247" s="891"/>
      <c r="Q247" s="891"/>
      <c r="R247" s="891"/>
    </row>
    <row r="248" customFormat="false" ht="11.25" hidden="false" customHeight="false" outlineLevel="0" collapsed="false">
      <c r="L248" s="891"/>
      <c r="M248" s="891"/>
      <c r="N248" s="891"/>
      <c r="O248" s="891"/>
      <c r="P248" s="891"/>
      <c r="Q248" s="891"/>
      <c r="R248" s="891"/>
    </row>
    <row r="249" customFormat="false" ht="11.25" hidden="false" customHeight="false" outlineLevel="0" collapsed="false">
      <c r="L249" s="891"/>
      <c r="M249" s="891"/>
      <c r="N249" s="891"/>
      <c r="O249" s="891"/>
      <c r="P249" s="891"/>
      <c r="Q249" s="891"/>
      <c r="R249" s="891"/>
    </row>
    <row r="250" customFormat="false" ht="11.25" hidden="false" customHeight="false" outlineLevel="0" collapsed="false">
      <c r="L250" s="891"/>
      <c r="M250" s="891"/>
      <c r="N250" s="891"/>
      <c r="O250" s="891"/>
      <c r="P250" s="891"/>
      <c r="Q250" s="891"/>
      <c r="R250" s="891"/>
    </row>
    <row r="251" customFormat="false" ht="11.25" hidden="false" customHeight="false" outlineLevel="0" collapsed="false">
      <c r="L251" s="891"/>
      <c r="M251" s="891"/>
      <c r="N251" s="891"/>
      <c r="O251" s="891"/>
      <c r="P251" s="891"/>
      <c r="Q251" s="891"/>
      <c r="R251" s="891"/>
    </row>
    <row r="252" customFormat="false" ht="11.25" hidden="false" customHeight="false" outlineLevel="0" collapsed="false">
      <c r="L252" s="891"/>
      <c r="M252" s="891"/>
      <c r="N252" s="891"/>
      <c r="O252" s="891"/>
      <c r="P252" s="891"/>
      <c r="Q252" s="891"/>
      <c r="R252" s="891"/>
    </row>
    <row r="253" customFormat="false" ht="11.25" hidden="false" customHeight="false" outlineLevel="0" collapsed="false">
      <c r="L253" s="891"/>
      <c r="M253" s="891"/>
      <c r="N253" s="891"/>
      <c r="O253" s="891"/>
      <c r="P253" s="891"/>
      <c r="Q253" s="891"/>
      <c r="R253" s="891"/>
    </row>
    <row r="254" customFormat="false" ht="11.25" hidden="false" customHeight="false" outlineLevel="0" collapsed="false">
      <c r="L254" s="891"/>
      <c r="M254" s="891"/>
      <c r="N254" s="891"/>
      <c r="O254" s="891"/>
      <c r="P254" s="891"/>
      <c r="Q254" s="891"/>
      <c r="R254" s="891"/>
    </row>
    <row r="255" customFormat="false" ht="11.25" hidden="false" customHeight="false" outlineLevel="0" collapsed="false">
      <c r="L255" s="891"/>
      <c r="M255" s="891"/>
      <c r="N255" s="891"/>
      <c r="O255" s="891"/>
      <c r="P255" s="891"/>
      <c r="Q255" s="891"/>
      <c r="R255" s="891"/>
    </row>
    <row r="256" customFormat="false" ht="11.25" hidden="false" customHeight="false" outlineLevel="0" collapsed="false">
      <c r="L256" s="891"/>
      <c r="M256" s="891"/>
      <c r="N256" s="891"/>
      <c r="O256" s="891"/>
      <c r="P256" s="891"/>
      <c r="Q256" s="891"/>
      <c r="R256" s="891"/>
    </row>
    <row r="257" customFormat="false" ht="11.25" hidden="false" customHeight="false" outlineLevel="0" collapsed="false">
      <c r="L257" s="891"/>
      <c r="M257" s="891"/>
      <c r="N257" s="891"/>
      <c r="O257" s="891"/>
      <c r="P257" s="891"/>
      <c r="Q257" s="891"/>
      <c r="R257" s="891"/>
    </row>
    <row r="258" customFormat="false" ht="11.25" hidden="false" customHeight="false" outlineLevel="0" collapsed="false">
      <c r="L258" s="891"/>
      <c r="M258" s="891"/>
      <c r="N258" s="891"/>
      <c r="O258" s="891"/>
      <c r="P258" s="891"/>
      <c r="Q258" s="891"/>
      <c r="R258" s="891"/>
    </row>
    <row r="259" customFormat="false" ht="11.25" hidden="false" customHeight="false" outlineLevel="0" collapsed="false">
      <c r="L259" s="891"/>
      <c r="M259" s="891"/>
      <c r="N259" s="891"/>
      <c r="O259" s="891"/>
      <c r="P259" s="891"/>
      <c r="Q259" s="891"/>
      <c r="R259" s="891"/>
    </row>
    <row r="260" customFormat="false" ht="11.25" hidden="false" customHeight="false" outlineLevel="0" collapsed="false">
      <c r="L260" s="891"/>
      <c r="M260" s="891"/>
      <c r="N260" s="891"/>
      <c r="O260" s="891"/>
      <c r="P260" s="891"/>
      <c r="Q260" s="891"/>
      <c r="R260" s="891"/>
    </row>
    <row r="261" customFormat="false" ht="11.25" hidden="false" customHeight="false" outlineLevel="0" collapsed="false">
      <c r="L261" s="891"/>
      <c r="M261" s="891"/>
      <c r="N261" s="891"/>
      <c r="O261" s="891"/>
      <c r="P261" s="891"/>
      <c r="Q261" s="891"/>
      <c r="R261" s="891"/>
    </row>
    <row r="262" customFormat="false" ht="11.25" hidden="false" customHeight="false" outlineLevel="0" collapsed="false">
      <c r="L262" s="891"/>
      <c r="M262" s="891"/>
      <c r="N262" s="891"/>
      <c r="O262" s="891"/>
      <c r="P262" s="891"/>
      <c r="Q262" s="891"/>
      <c r="R262" s="891"/>
    </row>
    <row r="263" customFormat="false" ht="11.25" hidden="false" customHeight="false" outlineLevel="0" collapsed="false">
      <c r="L263" s="891"/>
      <c r="M263" s="891"/>
      <c r="N263" s="891"/>
      <c r="O263" s="891"/>
      <c r="P263" s="891"/>
      <c r="Q263" s="891"/>
      <c r="R263" s="891"/>
    </row>
    <row r="264" customFormat="false" ht="11.25" hidden="false" customHeight="false" outlineLevel="0" collapsed="false">
      <c r="L264" s="891"/>
      <c r="M264" s="891"/>
      <c r="N264" s="891"/>
      <c r="O264" s="891"/>
      <c r="P264" s="891"/>
      <c r="Q264" s="891"/>
      <c r="R264" s="891"/>
    </row>
    <row r="265" customFormat="false" ht="11.25" hidden="false" customHeight="false" outlineLevel="0" collapsed="false">
      <c r="L265" s="891"/>
      <c r="M265" s="891"/>
      <c r="N265" s="891"/>
      <c r="O265" s="891"/>
      <c r="P265" s="891"/>
      <c r="Q265" s="891"/>
      <c r="R265" s="891"/>
    </row>
    <row r="266" customFormat="false" ht="11.25" hidden="false" customHeight="false" outlineLevel="0" collapsed="false">
      <c r="L266" s="891"/>
      <c r="M266" s="891"/>
      <c r="N266" s="891"/>
      <c r="O266" s="891"/>
      <c r="P266" s="891"/>
      <c r="Q266" s="891"/>
      <c r="R266" s="891"/>
    </row>
    <row r="267" customFormat="false" ht="11.25" hidden="false" customHeight="false" outlineLevel="0" collapsed="false">
      <c r="L267" s="891"/>
      <c r="M267" s="891"/>
      <c r="N267" s="891"/>
      <c r="O267" s="891"/>
      <c r="P267" s="891"/>
      <c r="Q267" s="891"/>
      <c r="R267" s="891"/>
    </row>
    <row r="268" customFormat="false" ht="11.25" hidden="false" customHeight="false" outlineLevel="0" collapsed="false">
      <c r="L268" s="891"/>
      <c r="M268" s="891"/>
      <c r="N268" s="891"/>
      <c r="O268" s="891"/>
      <c r="P268" s="891"/>
      <c r="Q268" s="891"/>
      <c r="R268" s="891"/>
    </row>
    <row r="269" customFormat="false" ht="11.25" hidden="false" customHeight="false" outlineLevel="0" collapsed="false">
      <c r="L269" s="891"/>
      <c r="M269" s="891"/>
      <c r="N269" s="891"/>
      <c r="O269" s="891"/>
      <c r="P269" s="891"/>
      <c r="Q269" s="891"/>
      <c r="R269" s="891"/>
    </row>
    <row r="270" customFormat="false" ht="11.25" hidden="false" customHeight="false" outlineLevel="0" collapsed="false">
      <c r="L270" s="891"/>
      <c r="M270" s="891"/>
      <c r="N270" s="891"/>
      <c r="O270" s="891"/>
      <c r="P270" s="891"/>
      <c r="Q270" s="891"/>
      <c r="R270" s="891"/>
    </row>
    <row r="271" customFormat="false" ht="11.25" hidden="false" customHeight="false" outlineLevel="0" collapsed="false">
      <c r="L271" s="891"/>
      <c r="M271" s="891"/>
      <c r="N271" s="891"/>
      <c r="O271" s="891"/>
      <c r="P271" s="891"/>
      <c r="Q271" s="891"/>
      <c r="R271" s="891"/>
    </row>
    <row r="272" customFormat="false" ht="11.25" hidden="false" customHeight="false" outlineLevel="0" collapsed="false">
      <c r="L272" s="891"/>
      <c r="M272" s="891"/>
      <c r="N272" s="891"/>
      <c r="O272" s="891"/>
      <c r="P272" s="891"/>
      <c r="Q272" s="891"/>
      <c r="R272" s="891"/>
    </row>
    <row r="290" customFormat="false" ht="11.45" hidden="false" customHeight="true" outlineLevel="0" collapsed="false">
      <c r="G290" s="908"/>
      <c r="H290" s="908"/>
      <c r="I290" s="908"/>
      <c r="L290" s="891"/>
      <c r="M290" s="891"/>
      <c r="N290" s="891"/>
      <c r="O290" s="891"/>
      <c r="P290" s="891"/>
      <c r="Q290" s="891"/>
      <c r="R290" s="891"/>
    </row>
    <row r="291" customFormat="false" ht="11.45" hidden="false" customHeight="true" outlineLevel="0" collapsed="false">
      <c r="G291" s="908"/>
      <c r="H291" s="908"/>
      <c r="I291" s="908"/>
      <c r="L291" s="891"/>
      <c r="M291" s="891"/>
      <c r="N291" s="891"/>
      <c r="O291" s="891"/>
      <c r="P291" s="891"/>
      <c r="Q291" s="891"/>
      <c r="R291" s="891"/>
    </row>
    <row r="292" customFormat="false" ht="11.45" hidden="false" customHeight="true" outlineLevel="0" collapsed="false">
      <c r="E292" s="889"/>
      <c r="G292" s="908"/>
      <c r="H292" s="908"/>
      <c r="I292" s="908"/>
      <c r="L292" s="891"/>
      <c r="M292" s="891"/>
      <c r="N292" s="891"/>
      <c r="O292" s="891"/>
      <c r="P292" s="891"/>
      <c r="Q292" s="891"/>
      <c r="R292" s="891"/>
    </row>
    <row r="293" customFormat="false" ht="11.45" hidden="false" customHeight="true" outlineLevel="0" collapsed="false">
      <c r="G293" s="908"/>
      <c r="H293" s="908"/>
      <c r="I293" s="908"/>
      <c r="L293" s="891"/>
      <c r="M293" s="891"/>
      <c r="N293" s="891"/>
      <c r="O293" s="891"/>
      <c r="P293" s="891"/>
      <c r="Q293" s="891"/>
      <c r="R293" s="891"/>
    </row>
    <row r="294" customFormat="false" ht="11.25" hidden="false" customHeight="false" outlineLevel="0" collapsed="false">
      <c r="F294" s="908"/>
      <c r="G294" s="908"/>
      <c r="H294" s="908"/>
      <c r="I294" s="908"/>
      <c r="L294" s="891"/>
      <c r="M294" s="891"/>
      <c r="N294" s="891"/>
      <c r="O294" s="891"/>
      <c r="P294" s="891"/>
      <c r="Q294" s="891"/>
      <c r="R294" s="891"/>
    </row>
    <row r="295" customFormat="false" ht="12.75" hidden="false" customHeight="false" outlineLevel="0" collapsed="false">
      <c r="F295" s="7"/>
      <c r="G295" s="7"/>
      <c r="H295" s="7"/>
      <c r="L295" s="891"/>
      <c r="M295" s="891"/>
      <c r="N295" s="891"/>
      <c r="O295" s="891"/>
      <c r="P295" s="891"/>
      <c r="Q295" s="891"/>
      <c r="R295" s="891"/>
    </row>
    <row r="296" customFormat="false" ht="12.75" hidden="false" customHeight="false" outlineLevel="0" collapsed="false">
      <c r="F296" s="7"/>
      <c r="G296" s="7"/>
      <c r="H296" s="7"/>
      <c r="L296" s="891"/>
      <c r="M296" s="891"/>
      <c r="N296" s="891"/>
      <c r="O296" s="891"/>
      <c r="P296" s="891"/>
      <c r="Q296" s="891"/>
      <c r="R296" s="891"/>
    </row>
    <row r="297" customFormat="false" ht="12.75" hidden="false" customHeight="false" outlineLevel="0" collapsed="false">
      <c r="F297" s="7"/>
      <c r="G297" s="7"/>
      <c r="H297" s="7"/>
      <c r="L297" s="891"/>
      <c r="M297" s="891"/>
      <c r="N297" s="891"/>
      <c r="O297" s="891"/>
      <c r="P297" s="891"/>
      <c r="Q297" s="891"/>
      <c r="R297" s="891"/>
    </row>
    <row r="298" customFormat="false" ht="12.75" hidden="false" customHeight="false" outlineLevel="0" collapsed="false">
      <c r="F298" s="7"/>
      <c r="G298" s="7"/>
      <c r="H298" s="7"/>
      <c r="L298" s="891"/>
      <c r="M298" s="891"/>
      <c r="N298" s="891"/>
      <c r="O298" s="891"/>
      <c r="P298" s="891"/>
      <c r="Q298" s="891"/>
      <c r="R298" s="891"/>
    </row>
    <row r="299" customFormat="false" ht="12.75" hidden="false" customHeight="false" outlineLevel="0" collapsed="false">
      <c r="F299" s="7"/>
      <c r="G299" s="7"/>
      <c r="H299" s="7"/>
      <c r="L299" s="891"/>
      <c r="M299" s="891"/>
      <c r="N299" s="891"/>
      <c r="O299" s="891"/>
      <c r="P299" s="891"/>
      <c r="Q299" s="891"/>
      <c r="R299" s="891"/>
    </row>
    <row r="300" customFormat="false" ht="12.75" hidden="false" customHeight="false" outlineLevel="0" collapsed="false">
      <c r="F300" s="7"/>
      <c r="G300" s="7"/>
      <c r="H300" s="7"/>
      <c r="L300" s="891"/>
      <c r="M300" s="891"/>
      <c r="N300" s="891"/>
      <c r="O300" s="891"/>
      <c r="P300" s="891"/>
      <c r="Q300" s="891"/>
      <c r="R300" s="891"/>
    </row>
    <row r="301" customFormat="false" ht="12.75" hidden="false" customHeight="false" outlineLevel="0" collapsed="false">
      <c r="F301" s="7"/>
      <c r="G301" s="7"/>
      <c r="H301" s="7"/>
      <c r="L301" s="891"/>
      <c r="M301" s="891"/>
      <c r="N301" s="891"/>
      <c r="O301" s="891"/>
      <c r="P301" s="891"/>
      <c r="Q301" s="891"/>
      <c r="R301" s="891"/>
    </row>
    <row r="302" customFormat="false" ht="12.75" hidden="false" customHeight="false" outlineLevel="0" collapsed="false">
      <c r="A302" s="7"/>
      <c r="B302" s="7"/>
      <c r="C302" s="7"/>
      <c r="D302" s="7"/>
      <c r="E302" s="7"/>
      <c r="F302" s="7"/>
      <c r="G302" s="7"/>
      <c r="H302" s="7"/>
      <c r="L302" s="891"/>
      <c r="M302" s="891"/>
      <c r="N302" s="891"/>
      <c r="O302" s="891"/>
      <c r="P302" s="891"/>
      <c r="Q302" s="891"/>
      <c r="R302" s="891"/>
    </row>
    <row r="303" customFormat="false" ht="12.75" hidden="false" customHeight="false" outlineLevel="0" collapsed="false">
      <c r="A303" s="7"/>
      <c r="B303" s="7"/>
      <c r="C303" s="7"/>
      <c r="D303" s="7"/>
      <c r="E303" s="7"/>
      <c r="F303" s="7"/>
      <c r="G303" s="7"/>
      <c r="H303" s="7"/>
      <c r="L303" s="891"/>
      <c r="M303" s="891"/>
      <c r="N303" s="891"/>
      <c r="O303" s="891"/>
      <c r="P303" s="891"/>
      <c r="Q303" s="891"/>
      <c r="R303" s="891"/>
    </row>
    <row r="304" customFormat="false" ht="11.45" hidden="false" customHeight="true" outlineLevel="0" collapsed="false">
      <c r="A304" s="894"/>
      <c r="B304" s="902"/>
      <c r="C304" s="902"/>
      <c r="D304" s="902"/>
      <c r="E304" s="922"/>
      <c r="H304" s="908"/>
      <c r="I304" s="908"/>
      <c r="L304" s="891"/>
      <c r="M304" s="891"/>
      <c r="N304" s="891"/>
      <c r="O304" s="891"/>
      <c r="P304" s="891"/>
      <c r="Q304" s="891"/>
      <c r="R304" s="891"/>
      <c r="S304" s="891"/>
    </row>
    <row r="305" customFormat="false" ht="11.45" hidden="false" customHeight="true" outlineLevel="0" collapsed="false">
      <c r="A305" s="902"/>
      <c r="B305" s="894"/>
      <c r="C305" s="894"/>
      <c r="D305" s="894"/>
      <c r="E305" s="944"/>
      <c r="F305" s="944"/>
      <c r="G305" s="944"/>
      <c r="H305" s="944"/>
      <c r="I305" s="944"/>
      <c r="J305" s="944"/>
      <c r="K305" s="944"/>
      <c r="L305" s="945"/>
      <c r="M305" s="945"/>
      <c r="N305" s="945"/>
      <c r="O305" s="945"/>
      <c r="P305" s="945"/>
      <c r="Q305" s="945"/>
      <c r="R305" s="945"/>
      <c r="S305" s="945"/>
      <c r="T305" s="945"/>
      <c r="U305" s="945"/>
      <c r="V305" s="945"/>
      <c r="W305" s="945"/>
      <c r="X305" s="945"/>
      <c r="Y305" s="945"/>
      <c r="Z305" s="945"/>
      <c r="AA305" s="945"/>
      <c r="AB305" s="945"/>
      <c r="AC305" s="945"/>
      <c r="AD305" s="945"/>
      <c r="AE305" s="945"/>
      <c r="AF305" s="945"/>
    </row>
    <row r="306" customFormat="false" ht="11.45" hidden="false" customHeight="true" outlineLevel="0" collapsed="false">
      <c r="A306" s="902"/>
      <c r="B306" s="894"/>
      <c r="C306" s="894"/>
      <c r="D306" s="894"/>
      <c r="E306" s="946"/>
      <c r="F306" s="946"/>
      <c r="G306" s="946"/>
      <c r="H306" s="946"/>
      <c r="I306" s="946"/>
      <c r="J306" s="946"/>
      <c r="K306" s="946"/>
      <c r="L306" s="947"/>
      <c r="M306" s="947"/>
      <c r="N306" s="947"/>
      <c r="O306" s="947"/>
      <c r="P306" s="947"/>
      <c r="Q306" s="947"/>
      <c r="R306" s="947"/>
      <c r="S306" s="947"/>
      <c r="T306" s="947"/>
      <c r="U306" s="947"/>
      <c r="V306" s="947"/>
      <c r="W306" s="947"/>
      <c r="X306" s="947"/>
      <c r="Y306" s="947"/>
      <c r="Z306" s="947"/>
      <c r="AA306" s="947"/>
      <c r="AB306" s="947"/>
      <c r="AC306" s="947"/>
      <c r="AD306" s="947"/>
      <c r="AE306" s="947"/>
      <c r="AF306" s="947"/>
    </row>
    <row r="307" customFormat="false" ht="11.45" hidden="false" customHeight="true" outlineLevel="0" collapsed="false">
      <c r="A307" s="894"/>
      <c r="B307" s="902"/>
      <c r="C307" s="902"/>
      <c r="D307" s="902"/>
      <c r="E307" s="922"/>
      <c r="H307" s="908"/>
      <c r="I307" s="908"/>
      <c r="L307" s="891"/>
      <c r="M307" s="891"/>
      <c r="N307" s="891"/>
      <c r="O307" s="891"/>
      <c r="P307" s="891"/>
      <c r="Q307" s="891"/>
      <c r="R307" s="891"/>
      <c r="S307" s="891"/>
    </row>
    <row r="308" customFormat="false" ht="11.45" hidden="false" customHeight="true" outlineLevel="0" collapsed="false">
      <c r="A308" s="894"/>
      <c r="B308" s="902"/>
      <c r="C308" s="902"/>
      <c r="D308" s="902"/>
      <c r="E308" s="902"/>
      <c r="F308" s="902"/>
      <c r="G308" s="902"/>
      <c r="H308" s="902"/>
      <c r="I308" s="902"/>
      <c r="J308" s="902"/>
      <c r="K308" s="902"/>
      <c r="L308" s="948"/>
      <c r="M308" s="948"/>
      <c r="N308" s="948"/>
      <c r="O308" s="948"/>
      <c r="P308" s="948"/>
      <c r="Q308" s="948"/>
      <c r="R308" s="948"/>
      <c r="S308" s="948"/>
      <c r="T308" s="948"/>
      <c r="U308" s="948"/>
      <c r="V308" s="948"/>
      <c r="W308" s="948"/>
      <c r="X308" s="948"/>
      <c r="Y308" s="948"/>
      <c r="Z308" s="948"/>
      <c r="AA308" s="948"/>
      <c r="AB308" s="948"/>
      <c r="AC308" s="948"/>
      <c r="AD308" s="948"/>
      <c r="AE308" s="948"/>
      <c r="AF308" s="948"/>
    </row>
    <row r="309" customFormat="false" ht="11.45" hidden="false" customHeight="true" outlineLevel="0" collapsed="false">
      <c r="A309" s="894"/>
      <c r="B309" s="894"/>
      <c r="C309" s="894"/>
      <c r="D309" s="894"/>
      <c r="E309" s="944"/>
      <c r="F309" s="944"/>
      <c r="G309" s="944"/>
      <c r="H309" s="944"/>
      <c r="I309" s="944"/>
      <c r="J309" s="944"/>
      <c r="K309" s="944"/>
      <c r="L309" s="945"/>
      <c r="M309" s="945"/>
      <c r="N309" s="945"/>
      <c r="O309" s="945"/>
      <c r="P309" s="945"/>
      <c r="Q309" s="945"/>
      <c r="R309" s="945"/>
      <c r="S309" s="945"/>
      <c r="T309" s="945"/>
      <c r="U309" s="945"/>
      <c r="V309" s="945"/>
      <c r="W309" s="945"/>
      <c r="X309" s="945"/>
      <c r="Y309" s="945"/>
      <c r="Z309" s="945"/>
      <c r="AA309" s="945"/>
      <c r="AB309" s="945"/>
      <c r="AC309" s="945"/>
      <c r="AD309" s="945"/>
      <c r="AE309" s="945"/>
      <c r="AF309" s="945"/>
    </row>
    <row r="310" customFormat="false" ht="11.45" hidden="false" customHeight="true" outlineLevel="0" collapsed="false">
      <c r="A310" s="894"/>
      <c r="B310" s="902"/>
      <c r="C310" s="902"/>
      <c r="D310" s="902"/>
      <c r="E310" s="902"/>
      <c r="F310" s="949"/>
      <c r="G310" s="949"/>
      <c r="H310" s="949"/>
      <c r="I310" s="949"/>
      <c r="J310" s="949"/>
      <c r="K310" s="949"/>
      <c r="L310" s="950"/>
      <c r="M310" s="950"/>
      <c r="N310" s="950"/>
      <c r="O310" s="950"/>
      <c r="P310" s="950"/>
      <c r="Q310" s="950"/>
      <c r="R310" s="950"/>
      <c r="S310" s="950"/>
      <c r="T310" s="950"/>
      <c r="U310" s="950"/>
      <c r="V310" s="950"/>
      <c r="W310" s="950"/>
      <c r="X310" s="950"/>
      <c r="Y310" s="950"/>
      <c r="Z310" s="950"/>
      <c r="AA310" s="950"/>
      <c r="AB310" s="950"/>
      <c r="AC310" s="950"/>
      <c r="AD310" s="950"/>
      <c r="AE310" s="950"/>
      <c r="AF310" s="950"/>
    </row>
    <row r="311" customFormat="false" ht="11.45" hidden="false" customHeight="true" outlineLevel="0" collapsed="false">
      <c r="A311" s="894"/>
      <c r="B311" s="894"/>
      <c r="C311" s="894"/>
      <c r="D311" s="894"/>
      <c r="E311" s="902"/>
      <c r="F311" s="949"/>
      <c r="G311" s="949"/>
      <c r="H311" s="949"/>
      <c r="I311" s="949"/>
      <c r="J311" s="949"/>
      <c r="K311" s="949"/>
      <c r="L311" s="950"/>
      <c r="M311" s="950"/>
      <c r="N311" s="950"/>
      <c r="O311" s="950"/>
      <c r="P311" s="950"/>
      <c r="Q311" s="950"/>
      <c r="R311" s="950"/>
      <c r="S311" s="950"/>
      <c r="T311" s="950"/>
      <c r="U311" s="950"/>
      <c r="V311" s="950"/>
      <c r="W311" s="950"/>
      <c r="X311" s="950"/>
      <c r="Y311" s="950"/>
      <c r="Z311" s="950"/>
      <c r="AA311" s="950"/>
      <c r="AB311" s="950"/>
      <c r="AC311" s="950"/>
      <c r="AD311" s="950"/>
      <c r="AE311" s="950"/>
      <c r="AF311" s="950"/>
    </row>
    <row r="312" customFormat="false" ht="11.45" hidden="false" customHeight="true" outlineLevel="0" collapsed="false">
      <c r="A312" s="894"/>
      <c r="B312" s="894"/>
      <c r="C312" s="894"/>
      <c r="D312" s="894"/>
      <c r="E312" s="902"/>
      <c r="F312" s="949"/>
      <c r="G312" s="949"/>
      <c r="H312" s="949"/>
      <c r="I312" s="949"/>
      <c r="J312" s="949"/>
      <c r="K312" s="949"/>
      <c r="L312" s="950"/>
      <c r="M312" s="950"/>
      <c r="N312" s="950"/>
      <c r="O312" s="950"/>
      <c r="P312" s="950"/>
      <c r="Q312" s="950"/>
      <c r="R312" s="950"/>
      <c r="S312" s="950"/>
      <c r="T312" s="950"/>
      <c r="U312" s="950"/>
      <c r="V312" s="950"/>
      <c r="W312" s="950"/>
      <c r="X312" s="950"/>
      <c r="Y312" s="950"/>
      <c r="Z312" s="950"/>
      <c r="AA312" s="950"/>
      <c r="AB312" s="950"/>
      <c r="AC312" s="950"/>
      <c r="AD312" s="950"/>
      <c r="AE312" s="950"/>
      <c r="AF312" s="950"/>
    </row>
  </sheetData>
  <printOptions headings="false" gridLines="false" gridLinesSet="true" horizontalCentered="false" verticalCentered="false"/>
  <pageMargins left="0.25" right="0.25" top="0.2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44"/>
  <sheetViews>
    <sheetView showFormulas="false" showGridLines="true" showRowColHeaders="true" showZeros="true" rightToLeft="false" tabSelected="false" showOutlineSymbols="true" defaultGridColor="true" view="normal" topLeftCell="A1" colorId="64" zoomScale="75" zoomScaleNormal="75" zoomScalePageLayoutView="85" workbookViewId="0">
      <selection pane="topLeft" activeCell="C7" activeCellId="0" sqref="C7"/>
    </sheetView>
  </sheetViews>
  <sheetFormatPr defaultColWidth="8.70703125" defaultRowHeight="12.75" customHeight="true" zeroHeight="false" outlineLevelRow="0" outlineLevelCol="0"/>
  <cols>
    <col collapsed="false" customWidth="true" hidden="false" outlineLevel="0" max="1" min="1" style="7" width="26.99"/>
    <col collapsed="false" customWidth="false" hidden="false" outlineLevel="0" max="2" min="2" style="7" width="8.7"/>
    <col collapsed="false" customWidth="true" hidden="false" outlineLevel="0" max="4" min="3" style="7" width="6.56"/>
    <col collapsed="false" customWidth="true" hidden="false" outlineLevel="0" max="5" min="5" style="7" width="9.28"/>
    <col collapsed="false" customWidth="true" hidden="false" outlineLevel="0" max="6" min="6" style="7" width="7.28"/>
    <col collapsed="false" customWidth="true" hidden="false" outlineLevel="0" max="7" min="7" style="7" width="6.99"/>
    <col collapsed="false" customWidth="true" hidden="false" outlineLevel="0" max="8" min="8" style="7" width="10.28"/>
    <col collapsed="false" customWidth="true" hidden="false" outlineLevel="0" max="9" min="9" style="7" width="6.99"/>
    <col collapsed="false" customWidth="true" hidden="false" outlineLevel="0" max="10" min="10" style="7" width="9.41"/>
    <col collapsed="false" customWidth="true" hidden="false" outlineLevel="0" max="11" min="11" style="7" width="6.99"/>
    <col collapsed="false" customWidth="true" hidden="false" outlineLevel="0" max="12" min="12" style="7" width="6.7"/>
    <col collapsed="false" customWidth="true" hidden="false" outlineLevel="0" max="14" min="13" style="7" width="6.99"/>
    <col collapsed="false" customWidth="true" hidden="false" outlineLevel="0" max="15" min="15" style="7" width="6.56"/>
    <col collapsed="false" customWidth="true" hidden="false" outlineLevel="0" max="16" min="16" style="7" width="7.28"/>
    <col collapsed="false" customWidth="true" hidden="false" outlineLevel="0" max="17" min="17" style="7" width="6.85"/>
    <col collapsed="false" customWidth="true" hidden="false" outlineLevel="0" max="23" min="18" style="7" width="7.28"/>
    <col collapsed="false" customWidth="true" hidden="false" outlineLevel="0" max="28" min="24" style="7" width="7.42"/>
    <col collapsed="false" customWidth="false" hidden="false" outlineLevel="0" max="32" min="29" style="7" width="8.7"/>
    <col collapsed="false" customWidth="false" hidden="false" outlineLevel="0" max="257" min="33" style="952" width="8.7"/>
  </cols>
  <sheetData>
    <row r="1" customFormat="false" ht="20.25" hidden="false" customHeight="false" outlineLevel="0" collapsed="false">
      <c r="A1" s="374" t="str">
        <f aca="false">'Project Assumptions'!$A$2</f>
        <v>GLEASON, TN</v>
      </c>
      <c r="B1" s="375"/>
    </row>
    <row r="2" customFormat="false" ht="12.75" hidden="false" customHeight="false" outlineLevel="0" collapsed="false">
      <c r="A2" s="953" t="s">
        <v>566</v>
      </c>
      <c r="B2" s="378"/>
    </row>
    <row r="3" customFormat="false" ht="11.25" hidden="false" customHeight="true" outlineLevel="0" collapsed="false">
      <c r="A3" s="63"/>
      <c r="B3" s="63"/>
      <c r="C3" s="954"/>
      <c r="D3" s="954"/>
      <c r="E3" s="954"/>
      <c r="F3" s="954"/>
      <c r="G3" s="954"/>
      <c r="H3" s="954"/>
      <c r="I3" s="954"/>
      <c r="J3" s="954"/>
      <c r="K3" s="954"/>
      <c r="L3" s="954"/>
      <c r="M3" s="954"/>
      <c r="N3" s="954"/>
      <c r="O3" s="954"/>
      <c r="P3" s="954"/>
      <c r="Q3" s="954"/>
      <c r="R3" s="63"/>
      <c r="S3" s="63"/>
      <c r="T3" s="63"/>
      <c r="U3" s="63"/>
      <c r="V3" s="63"/>
      <c r="W3" s="63"/>
      <c r="X3" s="63"/>
      <c r="Y3" s="63"/>
      <c r="Z3" s="63"/>
      <c r="AA3" s="63"/>
      <c r="AB3" s="63"/>
      <c r="AC3" s="63"/>
      <c r="AD3" s="63"/>
      <c r="AE3" s="63"/>
      <c r="AF3" s="63"/>
      <c r="AG3" s="955"/>
      <c r="AH3" s="955"/>
      <c r="AI3" s="955"/>
      <c r="AJ3" s="955"/>
      <c r="AK3" s="955"/>
      <c r="AL3" s="955"/>
      <c r="AM3" s="955"/>
      <c r="AN3" s="955"/>
      <c r="AO3" s="955"/>
      <c r="AP3" s="955"/>
      <c r="AQ3" s="955"/>
      <c r="AR3" s="955"/>
      <c r="AS3" s="955"/>
      <c r="AT3" s="955"/>
      <c r="AU3" s="955"/>
      <c r="AV3" s="955"/>
      <c r="AW3" s="955"/>
      <c r="AX3" s="955"/>
      <c r="AY3" s="955"/>
      <c r="AZ3" s="955"/>
      <c r="BA3" s="955"/>
      <c r="BB3" s="955"/>
      <c r="BC3" s="955"/>
      <c r="BD3" s="955"/>
      <c r="BE3" s="955"/>
      <c r="BF3" s="955"/>
      <c r="BG3" s="955"/>
      <c r="BH3" s="955"/>
      <c r="BI3" s="955"/>
      <c r="BJ3" s="955"/>
      <c r="BK3" s="955"/>
      <c r="BL3" s="955"/>
      <c r="BM3" s="955"/>
      <c r="BN3" s="955"/>
      <c r="BO3" s="955"/>
      <c r="BP3" s="955"/>
      <c r="BQ3" s="955"/>
      <c r="BR3" s="955"/>
      <c r="BS3" s="955"/>
      <c r="BT3" s="955"/>
      <c r="BU3" s="955"/>
      <c r="BV3" s="955"/>
      <c r="BW3" s="955"/>
      <c r="BX3" s="955"/>
      <c r="BY3" s="955"/>
      <c r="BZ3" s="955"/>
      <c r="CA3" s="955"/>
      <c r="CB3" s="955"/>
      <c r="CC3" s="955"/>
      <c r="CD3" s="955"/>
      <c r="CE3" s="955"/>
      <c r="CF3" s="955"/>
      <c r="CG3" s="955"/>
      <c r="CH3" s="955"/>
      <c r="CI3" s="955"/>
      <c r="CJ3" s="955"/>
      <c r="CK3" s="955"/>
      <c r="CL3" s="955"/>
      <c r="CM3" s="955"/>
      <c r="CN3" s="955"/>
      <c r="CO3" s="955"/>
      <c r="CP3" s="955"/>
      <c r="CQ3" s="955"/>
      <c r="CR3" s="955"/>
      <c r="CS3" s="955"/>
      <c r="CT3" s="955"/>
      <c r="CU3" s="955"/>
      <c r="CV3" s="955"/>
      <c r="CW3" s="955"/>
      <c r="CX3" s="955"/>
      <c r="CY3" s="955"/>
      <c r="CZ3" s="955"/>
      <c r="DA3" s="955"/>
      <c r="DB3" s="955"/>
      <c r="DC3" s="955"/>
      <c r="DD3" s="955"/>
      <c r="DE3" s="955"/>
      <c r="DF3" s="955"/>
      <c r="DG3" s="955"/>
      <c r="DH3" s="955"/>
      <c r="DI3" s="955"/>
      <c r="DJ3" s="955"/>
      <c r="DK3" s="955"/>
      <c r="DL3" s="955"/>
      <c r="DM3" s="955"/>
      <c r="DN3" s="955"/>
      <c r="DO3" s="955"/>
      <c r="DP3" s="955"/>
      <c r="DQ3" s="955"/>
      <c r="DR3" s="955"/>
      <c r="DS3" s="955"/>
      <c r="DT3" s="955"/>
      <c r="DU3" s="955"/>
      <c r="DV3" s="955"/>
      <c r="DW3" s="955"/>
      <c r="DX3" s="955"/>
      <c r="DY3" s="955"/>
      <c r="DZ3" s="955"/>
      <c r="EA3" s="955"/>
      <c r="EB3" s="955"/>
      <c r="EC3" s="955"/>
      <c r="ED3" s="955"/>
      <c r="EE3" s="955"/>
      <c r="EF3" s="955"/>
      <c r="EG3" s="955"/>
      <c r="EH3" s="955"/>
      <c r="EI3" s="955"/>
      <c r="EJ3" s="955"/>
      <c r="EK3" s="955"/>
      <c r="EL3" s="955"/>
      <c r="EM3" s="955"/>
      <c r="EN3" s="955"/>
      <c r="EO3" s="955"/>
      <c r="EP3" s="955"/>
      <c r="EQ3" s="955"/>
      <c r="ER3" s="955"/>
      <c r="ES3" s="955"/>
      <c r="ET3" s="955"/>
      <c r="EU3" s="955"/>
      <c r="EV3" s="955"/>
      <c r="EW3" s="955"/>
      <c r="EX3" s="955"/>
      <c r="EY3" s="955"/>
      <c r="EZ3" s="955"/>
      <c r="FA3" s="955"/>
      <c r="FB3" s="955"/>
      <c r="FC3" s="955"/>
      <c r="FD3" s="955"/>
      <c r="FE3" s="955"/>
      <c r="FF3" s="955"/>
      <c r="FG3" s="955"/>
      <c r="FH3" s="955"/>
      <c r="FI3" s="955"/>
      <c r="FJ3" s="955"/>
      <c r="FK3" s="955"/>
      <c r="FL3" s="955"/>
      <c r="FM3" s="955"/>
      <c r="FN3" s="955"/>
      <c r="FO3" s="955"/>
      <c r="FP3" s="955"/>
      <c r="FQ3" s="955"/>
      <c r="FR3" s="955"/>
      <c r="FS3" s="955"/>
      <c r="FT3" s="955"/>
      <c r="FU3" s="955"/>
      <c r="FV3" s="955"/>
      <c r="FW3" s="955"/>
      <c r="FX3" s="955"/>
      <c r="FY3" s="955"/>
      <c r="FZ3" s="955"/>
      <c r="GA3" s="955"/>
      <c r="GB3" s="955"/>
      <c r="GC3" s="955"/>
      <c r="GD3" s="955"/>
      <c r="GE3" s="955"/>
      <c r="GF3" s="955"/>
      <c r="GG3" s="955"/>
      <c r="GH3" s="955"/>
      <c r="GI3" s="955"/>
      <c r="GJ3" s="955"/>
      <c r="GK3" s="955"/>
      <c r="GL3" s="955"/>
      <c r="GM3" s="955"/>
      <c r="GN3" s="955"/>
      <c r="GO3" s="955"/>
      <c r="GP3" s="955"/>
      <c r="GQ3" s="955"/>
      <c r="GR3" s="955"/>
      <c r="GS3" s="955"/>
      <c r="GT3" s="955"/>
      <c r="GU3" s="955"/>
      <c r="GV3" s="955"/>
      <c r="GW3" s="955"/>
      <c r="GX3" s="955"/>
      <c r="GY3" s="955"/>
      <c r="GZ3" s="955"/>
      <c r="HA3" s="955"/>
      <c r="HB3" s="955"/>
      <c r="HC3" s="955"/>
      <c r="HD3" s="955"/>
      <c r="HE3" s="955"/>
      <c r="HF3" s="955"/>
      <c r="HG3" s="955"/>
      <c r="HH3" s="955"/>
      <c r="HI3" s="955"/>
      <c r="HJ3" s="955"/>
      <c r="HK3" s="955"/>
      <c r="HL3" s="955"/>
      <c r="HM3" s="955"/>
      <c r="HN3" s="955"/>
      <c r="HO3" s="955"/>
      <c r="HP3" s="955"/>
      <c r="HQ3" s="955"/>
      <c r="HR3" s="955"/>
      <c r="HS3" s="955"/>
      <c r="HT3" s="955"/>
      <c r="HU3" s="955"/>
      <c r="HV3" s="955"/>
      <c r="HW3" s="955"/>
      <c r="HX3" s="955"/>
      <c r="HY3" s="955"/>
      <c r="HZ3" s="955"/>
      <c r="IA3" s="955"/>
      <c r="IB3" s="955"/>
      <c r="IC3" s="955"/>
      <c r="ID3" s="955"/>
      <c r="IE3" s="955"/>
      <c r="IF3" s="955"/>
      <c r="IG3" s="955"/>
      <c r="IH3" s="955"/>
      <c r="II3" s="955"/>
      <c r="IJ3" s="955"/>
      <c r="IK3" s="955"/>
      <c r="IL3" s="955"/>
      <c r="IM3" s="955"/>
      <c r="IN3" s="955"/>
      <c r="IO3" s="955"/>
      <c r="IP3" s="955"/>
      <c r="IQ3" s="955"/>
      <c r="IR3" s="955"/>
      <c r="IS3" s="955"/>
      <c r="IT3" s="955"/>
      <c r="IU3" s="955"/>
      <c r="IV3" s="955"/>
      <c r="IW3" s="955"/>
    </row>
    <row r="4" customFormat="false" ht="11.25" hidden="false" customHeight="true" outlineLevel="0" collapsed="false">
      <c r="A4" s="1"/>
      <c r="B4" s="1"/>
      <c r="C4" s="480" t="n">
        <v>0</v>
      </c>
      <c r="D4" s="480" t="n">
        <v>1</v>
      </c>
      <c r="E4" s="480" t="n">
        <v>2</v>
      </c>
      <c r="F4" s="480" t="n">
        <v>3</v>
      </c>
      <c r="G4" s="480" t="n">
        <v>4</v>
      </c>
      <c r="H4" s="480" t="n">
        <v>5</v>
      </c>
      <c r="I4" s="480" t="n">
        <v>6</v>
      </c>
      <c r="J4" s="481" t="n">
        <v>7</v>
      </c>
      <c r="K4" s="480" t="n">
        <v>8</v>
      </c>
      <c r="L4" s="480" t="n">
        <v>9</v>
      </c>
      <c r="M4" s="480" t="n">
        <v>10</v>
      </c>
      <c r="N4" s="480" t="n">
        <v>11</v>
      </c>
      <c r="O4" s="480" t="n">
        <v>12</v>
      </c>
      <c r="P4" s="481" t="n">
        <v>13</v>
      </c>
      <c r="Q4" s="480" t="n">
        <v>14</v>
      </c>
      <c r="R4" s="480" t="n">
        <v>15</v>
      </c>
      <c r="S4" s="480" t="n">
        <v>16</v>
      </c>
      <c r="T4" s="480" t="n">
        <v>17</v>
      </c>
      <c r="U4" s="480" t="n">
        <v>18</v>
      </c>
      <c r="V4" s="481" t="n">
        <v>19</v>
      </c>
      <c r="W4" s="480" t="n">
        <v>20</v>
      </c>
      <c r="X4" s="480" t="n">
        <v>21</v>
      </c>
      <c r="Y4" s="480" t="n">
        <v>22</v>
      </c>
      <c r="Z4" s="480" t="n">
        <v>23</v>
      </c>
      <c r="AA4" s="480" t="n">
        <v>24</v>
      </c>
      <c r="AB4" s="481" t="n">
        <v>25</v>
      </c>
      <c r="AC4" s="1"/>
      <c r="AD4" s="1"/>
      <c r="AE4" s="1"/>
      <c r="AF4" s="1"/>
      <c r="AG4" s="832"/>
      <c r="AH4" s="832"/>
      <c r="AI4" s="832"/>
      <c r="AJ4" s="832"/>
      <c r="AK4" s="832"/>
      <c r="AL4" s="832"/>
      <c r="AM4" s="832"/>
      <c r="AN4" s="832"/>
      <c r="AO4" s="832"/>
      <c r="AP4" s="832"/>
      <c r="AQ4" s="832"/>
      <c r="AR4" s="832"/>
      <c r="AS4" s="832"/>
      <c r="AT4" s="832"/>
      <c r="AU4" s="832"/>
      <c r="AV4" s="832"/>
      <c r="AW4" s="832"/>
      <c r="AX4" s="832"/>
      <c r="AY4" s="832"/>
      <c r="AZ4" s="832"/>
      <c r="BA4" s="832"/>
      <c r="BB4" s="832"/>
      <c r="BC4" s="832"/>
      <c r="BD4" s="832"/>
      <c r="BE4" s="832"/>
      <c r="BF4" s="832"/>
      <c r="BG4" s="832"/>
      <c r="BH4" s="832"/>
      <c r="BI4" s="832"/>
      <c r="BJ4" s="832"/>
      <c r="BK4" s="832"/>
      <c r="BL4" s="832"/>
      <c r="BM4" s="832"/>
      <c r="BN4" s="832"/>
      <c r="BO4" s="832"/>
      <c r="BP4" s="832"/>
      <c r="BQ4" s="832"/>
      <c r="BR4" s="832"/>
      <c r="BS4" s="832"/>
      <c r="BT4" s="832"/>
      <c r="BU4" s="832"/>
      <c r="BV4" s="832"/>
      <c r="BW4" s="832"/>
      <c r="BX4" s="832"/>
      <c r="BY4" s="832"/>
      <c r="BZ4" s="832"/>
      <c r="CA4" s="832"/>
      <c r="CB4" s="832"/>
      <c r="CC4" s="832"/>
      <c r="CD4" s="832"/>
      <c r="CE4" s="832"/>
      <c r="CF4" s="832"/>
      <c r="CG4" s="832"/>
      <c r="CH4" s="832"/>
      <c r="CI4" s="832"/>
      <c r="CJ4" s="832"/>
      <c r="CK4" s="832"/>
      <c r="CL4" s="832"/>
      <c r="CM4" s="832"/>
      <c r="CN4" s="832"/>
      <c r="CO4" s="832"/>
      <c r="CP4" s="832"/>
      <c r="CQ4" s="832"/>
      <c r="CR4" s="832"/>
      <c r="CS4" s="832"/>
      <c r="CT4" s="832"/>
      <c r="CU4" s="832"/>
      <c r="CV4" s="832"/>
      <c r="CW4" s="832"/>
      <c r="CX4" s="832"/>
      <c r="CY4" s="832"/>
      <c r="CZ4" s="832"/>
      <c r="DA4" s="832"/>
      <c r="DB4" s="832"/>
      <c r="DC4" s="832"/>
      <c r="DD4" s="832"/>
      <c r="DE4" s="832"/>
      <c r="DF4" s="832"/>
      <c r="DG4" s="832"/>
      <c r="DH4" s="832"/>
      <c r="DI4" s="832"/>
      <c r="DJ4" s="832"/>
      <c r="DK4" s="832"/>
      <c r="DL4" s="832"/>
      <c r="DM4" s="832"/>
      <c r="DN4" s="832"/>
      <c r="DO4" s="832"/>
      <c r="DP4" s="832"/>
      <c r="DQ4" s="832"/>
      <c r="DR4" s="832"/>
      <c r="DS4" s="832"/>
      <c r="DT4" s="832"/>
      <c r="DU4" s="832"/>
      <c r="DV4" s="832"/>
      <c r="DW4" s="832"/>
      <c r="DX4" s="832"/>
      <c r="DY4" s="832"/>
      <c r="DZ4" s="832"/>
      <c r="EA4" s="832"/>
      <c r="EB4" s="832"/>
      <c r="EC4" s="832"/>
      <c r="ED4" s="832"/>
      <c r="EE4" s="832"/>
      <c r="EF4" s="832"/>
      <c r="EG4" s="832"/>
      <c r="EH4" s="832"/>
      <c r="EI4" s="832"/>
      <c r="EJ4" s="832"/>
      <c r="EK4" s="832"/>
      <c r="EL4" s="832"/>
      <c r="EM4" s="832"/>
      <c r="EN4" s="832"/>
      <c r="EO4" s="832"/>
      <c r="EP4" s="832"/>
      <c r="EQ4" s="832"/>
      <c r="ER4" s="832"/>
      <c r="ES4" s="832"/>
      <c r="ET4" s="832"/>
      <c r="EU4" s="832"/>
      <c r="EV4" s="832"/>
      <c r="EW4" s="832"/>
      <c r="EX4" s="832"/>
      <c r="EY4" s="832"/>
      <c r="EZ4" s="832"/>
      <c r="FA4" s="832"/>
      <c r="FB4" s="832"/>
      <c r="FC4" s="832"/>
      <c r="FD4" s="832"/>
      <c r="FE4" s="832"/>
      <c r="FF4" s="832"/>
      <c r="FG4" s="832"/>
      <c r="FH4" s="832"/>
      <c r="FI4" s="832"/>
      <c r="FJ4" s="832"/>
      <c r="FK4" s="832"/>
      <c r="FL4" s="832"/>
      <c r="FM4" s="832"/>
      <c r="FN4" s="832"/>
      <c r="FO4" s="832"/>
      <c r="FP4" s="832"/>
      <c r="FQ4" s="832"/>
      <c r="FR4" s="832"/>
      <c r="FS4" s="832"/>
      <c r="FT4" s="832"/>
      <c r="FU4" s="832"/>
      <c r="FV4" s="832"/>
      <c r="FW4" s="832"/>
      <c r="FX4" s="832"/>
      <c r="FY4" s="832"/>
      <c r="FZ4" s="832"/>
      <c r="GA4" s="832"/>
      <c r="GB4" s="832"/>
      <c r="GC4" s="832"/>
      <c r="GD4" s="832"/>
      <c r="GE4" s="832"/>
      <c r="GF4" s="832"/>
      <c r="GG4" s="832"/>
      <c r="GH4" s="832"/>
      <c r="GI4" s="832"/>
      <c r="GJ4" s="832"/>
      <c r="GK4" s="832"/>
      <c r="GL4" s="832"/>
      <c r="GM4" s="832"/>
      <c r="GN4" s="832"/>
      <c r="GO4" s="832"/>
      <c r="GP4" s="832"/>
      <c r="GQ4" s="832"/>
      <c r="GR4" s="832"/>
      <c r="GS4" s="832"/>
      <c r="GT4" s="832"/>
      <c r="GU4" s="832"/>
      <c r="GV4" s="832"/>
      <c r="GW4" s="832"/>
      <c r="GX4" s="832"/>
      <c r="GY4" s="832"/>
      <c r="GZ4" s="832"/>
      <c r="HA4" s="832"/>
      <c r="HB4" s="832"/>
      <c r="HC4" s="832"/>
      <c r="HD4" s="832"/>
      <c r="HE4" s="832"/>
      <c r="HF4" s="832"/>
      <c r="HG4" s="832"/>
      <c r="HH4" s="832"/>
      <c r="HI4" s="832"/>
      <c r="HJ4" s="832"/>
      <c r="HK4" s="832"/>
      <c r="HL4" s="832"/>
      <c r="HM4" s="832"/>
      <c r="HN4" s="832"/>
      <c r="HO4" s="832"/>
      <c r="HP4" s="832"/>
      <c r="HQ4" s="832"/>
      <c r="HR4" s="832"/>
      <c r="HS4" s="832"/>
      <c r="HT4" s="832"/>
      <c r="HU4" s="832"/>
      <c r="HV4" s="832"/>
      <c r="HW4" s="832"/>
      <c r="HX4" s="832"/>
      <c r="HY4" s="832"/>
      <c r="HZ4" s="832"/>
      <c r="IA4" s="832"/>
      <c r="IB4" s="832"/>
      <c r="IC4" s="832"/>
      <c r="ID4" s="832"/>
      <c r="IE4" s="832"/>
      <c r="IF4" s="832"/>
      <c r="IG4" s="832"/>
      <c r="IH4" s="832"/>
      <c r="II4" s="832"/>
      <c r="IJ4" s="832"/>
      <c r="IK4" s="832"/>
      <c r="IL4" s="832"/>
      <c r="IM4" s="832"/>
      <c r="IN4" s="832"/>
      <c r="IO4" s="832"/>
      <c r="IP4" s="832"/>
      <c r="IQ4" s="832"/>
      <c r="IR4" s="832"/>
      <c r="IS4" s="832"/>
      <c r="IT4" s="832"/>
      <c r="IU4" s="832"/>
      <c r="IV4" s="832"/>
      <c r="IW4" s="832"/>
    </row>
    <row r="5" customFormat="false" ht="11.25" hidden="false" customHeight="true" outlineLevel="0" collapsed="false">
      <c r="A5" s="956"/>
      <c r="B5" s="381"/>
      <c r="C5" s="382" t="n">
        <f aca="false">D5-1</f>
        <v>1999</v>
      </c>
      <c r="D5" s="382" t="n">
        <f aca="false">+YEAR('Project Assumptions'!$G$16)</f>
        <v>2000</v>
      </c>
      <c r="E5" s="382" t="n">
        <f aca="false">D5+1</f>
        <v>2001</v>
      </c>
      <c r="F5" s="382" t="n">
        <f aca="false">E5+1</f>
        <v>2002</v>
      </c>
      <c r="G5" s="382" t="n">
        <f aca="false">F5+1</f>
        <v>2003</v>
      </c>
      <c r="H5" s="382" t="n">
        <f aca="false">G5+1</f>
        <v>2004</v>
      </c>
      <c r="I5" s="382" t="n">
        <f aca="false">H5+1</f>
        <v>2005</v>
      </c>
      <c r="J5" s="382" t="n">
        <f aca="false">I5+1</f>
        <v>2006</v>
      </c>
      <c r="K5" s="382" t="n">
        <f aca="false">J5+1</f>
        <v>2007</v>
      </c>
      <c r="L5" s="382" t="n">
        <f aca="false">K5+1</f>
        <v>2008</v>
      </c>
      <c r="M5" s="382" t="n">
        <f aca="false">L5+1</f>
        <v>2009</v>
      </c>
      <c r="N5" s="382" t="n">
        <f aca="false">M5+1</f>
        <v>2010</v>
      </c>
      <c r="O5" s="382" t="n">
        <f aca="false">N5+1</f>
        <v>2011</v>
      </c>
      <c r="P5" s="382" t="n">
        <f aca="false">O5+1</f>
        <v>2012</v>
      </c>
      <c r="Q5" s="382" t="n">
        <f aca="false">P5+1</f>
        <v>2013</v>
      </c>
      <c r="R5" s="382" t="n">
        <f aca="false">Q5+1</f>
        <v>2014</v>
      </c>
      <c r="S5" s="382" t="n">
        <f aca="false">R5+1</f>
        <v>2015</v>
      </c>
      <c r="T5" s="382" t="n">
        <f aca="false">S5+1</f>
        <v>2016</v>
      </c>
      <c r="U5" s="382" t="n">
        <f aca="false">T5+1</f>
        <v>2017</v>
      </c>
      <c r="V5" s="382" t="n">
        <f aca="false">U5+1</f>
        <v>2018</v>
      </c>
      <c r="W5" s="382" t="n">
        <f aca="false">V5+1</f>
        <v>2019</v>
      </c>
      <c r="X5" s="382" t="n">
        <f aca="false">W5+1</f>
        <v>2020</v>
      </c>
      <c r="Y5" s="382" t="n">
        <f aca="false">X5+1</f>
        <v>2021</v>
      </c>
      <c r="Z5" s="382" t="n">
        <f aca="false">Y5+1</f>
        <v>2022</v>
      </c>
      <c r="AA5" s="382" t="n">
        <f aca="false">Z5+1</f>
        <v>2023</v>
      </c>
      <c r="AB5" s="383" t="n">
        <f aca="false">AA5+1</f>
        <v>2024</v>
      </c>
      <c r="AC5" s="1"/>
      <c r="AD5" s="1"/>
      <c r="AE5" s="1"/>
      <c r="AF5" s="1"/>
      <c r="AG5" s="832"/>
      <c r="AH5" s="832"/>
      <c r="AI5" s="832"/>
      <c r="AJ5" s="832"/>
      <c r="AK5" s="832"/>
      <c r="AL5" s="832"/>
      <c r="AM5" s="832"/>
      <c r="AN5" s="832"/>
      <c r="AO5" s="832"/>
      <c r="AP5" s="832"/>
      <c r="AQ5" s="832"/>
      <c r="AR5" s="832"/>
      <c r="AS5" s="832"/>
      <c r="AT5" s="832"/>
      <c r="AU5" s="832"/>
      <c r="AV5" s="832"/>
      <c r="AW5" s="832"/>
      <c r="AX5" s="832"/>
      <c r="AY5" s="832"/>
      <c r="AZ5" s="832"/>
      <c r="BA5" s="832"/>
      <c r="BB5" s="832"/>
      <c r="BC5" s="832"/>
      <c r="BD5" s="832"/>
      <c r="BE5" s="832"/>
      <c r="BF5" s="832"/>
      <c r="BG5" s="832"/>
      <c r="BH5" s="832"/>
      <c r="BI5" s="832"/>
      <c r="BJ5" s="832"/>
      <c r="BK5" s="832"/>
      <c r="BL5" s="832"/>
      <c r="BM5" s="832"/>
      <c r="BN5" s="832"/>
      <c r="BO5" s="832"/>
      <c r="BP5" s="832"/>
      <c r="BQ5" s="832"/>
      <c r="BR5" s="832"/>
      <c r="BS5" s="832"/>
      <c r="BT5" s="832"/>
      <c r="BU5" s="832"/>
      <c r="BV5" s="832"/>
      <c r="BW5" s="832"/>
      <c r="BX5" s="832"/>
      <c r="BY5" s="832"/>
      <c r="BZ5" s="832"/>
      <c r="CA5" s="832"/>
      <c r="CB5" s="832"/>
      <c r="CC5" s="832"/>
      <c r="CD5" s="832"/>
      <c r="CE5" s="832"/>
      <c r="CF5" s="832"/>
      <c r="CG5" s="832"/>
      <c r="CH5" s="832"/>
      <c r="CI5" s="832"/>
      <c r="CJ5" s="832"/>
      <c r="CK5" s="832"/>
      <c r="CL5" s="832"/>
      <c r="CM5" s="832"/>
      <c r="CN5" s="832"/>
      <c r="CO5" s="832"/>
      <c r="CP5" s="832"/>
      <c r="CQ5" s="832"/>
      <c r="CR5" s="832"/>
      <c r="CS5" s="832"/>
      <c r="CT5" s="832"/>
      <c r="CU5" s="832"/>
      <c r="CV5" s="832"/>
      <c r="CW5" s="832"/>
      <c r="CX5" s="832"/>
      <c r="CY5" s="832"/>
      <c r="CZ5" s="832"/>
      <c r="DA5" s="832"/>
      <c r="DB5" s="832"/>
      <c r="DC5" s="832"/>
      <c r="DD5" s="832"/>
      <c r="DE5" s="832"/>
      <c r="DF5" s="832"/>
      <c r="DG5" s="832"/>
      <c r="DH5" s="832"/>
      <c r="DI5" s="832"/>
      <c r="DJ5" s="832"/>
      <c r="DK5" s="832"/>
      <c r="DL5" s="832"/>
      <c r="DM5" s="832"/>
      <c r="DN5" s="832"/>
      <c r="DO5" s="832"/>
      <c r="DP5" s="832"/>
      <c r="DQ5" s="832"/>
      <c r="DR5" s="832"/>
      <c r="DS5" s="832"/>
      <c r="DT5" s="832"/>
      <c r="DU5" s="832"/>
      <c r="DV5" s="832"/>
      <c r="DW5" s="832"/>
      <c r="DX5" s="832"/>
      <c r="DY5" s="832"/>
      <c r="DZ5" s="832"/>
      <c r="EA5" s="832"/>
      <c r="EB5" s="832"/>
      <c r="EC5" s="832"/>
      <c r="ED5" s="832"/>
      <c r="EE5" s="832"/>
      <c r="EF5" s="832"/>
      <c r="EG5" s="832"/>
      <c r="EH5" s="832"/>
      <c r="EI5" s="832"/>
      <c r="EJ5" s="832"/>
      <c r="EK5" s="832"/>
      <c r="EL5" s="832"/>
      <c r="EM5" s="832"/>
      <c r="EN5" s="832"/>
      <c r="EO5" s="832"/>
      <c r="EP5" s="832"/>
      <c r="EQ5" s="832"/>
      <c r="ER5" s="832"/>
      <c r="ES5" s="832"/>
      <c r="ET5" s="832"/>
      <c r="EU5" s="832"/>
      <c r="EV5" s="832"/>
      <c r="EW5" s="832"/>
      <c r="EX5" s="832"/>
      <c r="EY5" s="832"/>
      <c r="EZ5" s="832"/>
      <c r="FA5" s="832"/>
      <c r="FB5" s="832"/>
      <c r="FC5" s="832"/>
      <c r="FD5" s="832"/>
      <c r="FE5" s="832"/>
      <c r="FF5" s="832"/>
      <c r="FG5" s="832"/>
      <c r="FH5" s="832"/>
      <c r="FI5" s="832"/>
      <c r="FJ5" s="832"/>
      <c r="FK5" s="832"/>
      <c r="FL5" s="832"/>
      <c r="FM5" s="832"/>
      <c r="FN5" s="832"/>
      <c r="FO5" s="832"/>
      <c r="FP5" s="832"/>
      <c r="FQ5" s="832"/>
      <c r="FR5" s="832"/>
      <c r="FS5" s="832"/>
      <c r="FT5" s="832"/>
      <c r="FU5" s="832"/>
      <c r="FV5" s="832"/>
      <c r="FW5" s="832"/>
      <c r="FX5" s="832"/>
      <c r="FY5" s="832"/>
      <c r="FZ5" s="832"/>
      <c r="GA5" s="832"/>
      <c r="GB5" s="832"/>
      <c r="GC5" s="832"/>
      <c r="GD5" s="832"/>
      <c r="GE5" s="832"/>
      <c r="GF5" s="832"/>
      <c r="GG5" s="832"/>
      <c r="GH5" s="832"/>
      <c r="GI5" s="832"/>
      <c r="GJ5" s="832"/>
      <c r="GK5" s="832"/>
      <c r="GL5" s="832"/>
      <c r="GM5" s="832"/>
      <c r="GN5" s="832"/>
      <c r="GO5" s="832"/>
      <c r="GP5" s="832"/>
      <c r="GQ5" s="832"/>
      <c r="GR5" s="832"/>
      <c r="GS5" s="832"/>
      <c r="GT5" s="832"/>
      <c r="GU5" s="832"/>
      <c r="GV5" s="832"/>
      <c r="GW5" s="832"/>
      <c r="GX5" s="832"/>
      <c r="GY5" s="832"/>
      <c r="GZ5" s="832"/>
      <c r="HA5" s="832"/>
      <c r="HB5" s="832"/>
      <c r="HC5" s="832"/>
      <c r="HD5" s="832"/>
      <c r="HE5" s="832"/>
      <c r="HF5" s="832"/>
      <c r="HG5" s="832"/>
      <c r="HH5" s="832"/>
      <c r="HI5" s="832"/>
      <c r="HJ5" s="832"/>
      <c r="HK5" s="832"/>
      <c r="HL5" s="832"/>
      <c r="HM5" s="832"/>
      <c r="HN5" s="832"/>
      <c r="HO5" s="832"/>
      <c r="HP5" s="832"/>
      <c r="HQ5" s="832"/>
      <c r="HR5" s="832"/>
      <c r="HS5" s="832"/>
      <c r="HT5" s="832"/>
      <c r="HU5" s="832"/>
      <c r="HV5" s="832"/>
      <c r="HW5" s="832"/>
      <c r="HX5" s="832"/>
      <c r="HY5" s="832"/>
      <c r="HZ5" s="832"/>
      <c r="IA5" s="832"/>
      <c r="IB5" s="832"/>
      <c r="IC5" s="832"/>
      <c r="ID5" s="832"/>
      <c r="IE5" s="832"/>
      <c r="IF5" s="832"/>
      <c r="IG5" s="832"/>
      <c r="IH5" s="832"/>
      <c r="II5" s="832"/>
      <c r="IJ5" s="832"/>
      <c r="IK5" s="832"/>
      <c r="IL5" s="832"/>
      <c r="IM5" s="832"/>
      <c r="IN5" s="832"/>
      <c r="IO5" s="832"/>
      <c r="IP5" s="832"/>
      <c r="IQ5" s="832"/>
      <c r="IR5" s="832"/>
      <c r="IS5" s="832"/>
      <c r="IT5" s="832"/>
      <c r="IU5" s="832"/>
      <c r="IV5" s="832"/>
      <c r="IW5" s="832"/>
    </row>
    <row r="6" customFormat="false" ht="11.25" hidden="false" customHeight="true" outlineLevel="0" collapsed="false">
      <c r="A6" s="410" t="s">
        <v>675</v>
      </c>
      <c r="B6" s="0"/>
      <c r="C6" s="957"/>
      <c r="D6" s="518"/>
      <c r="E6" s="518"/>
      <c r="F6" s="518"/>
      <c r="G6" s="518"/>
      <c r="H6" s="518"/>
      <c r="I6" s="518"/>
      <c r="J6" s="518"/>
      <c r="K6" s="518"/>
      <c r="L6" s="518"/>
      <c r="M6" s="518"/>
      <c r="N6" s="518"/>
      <c r="O6" s="518"/>
      <c r="P6" s="518"/>
      <c r="Q6" s="518"/>
      <c r="R6" s="518"/>
      <c r="S6" s="518"/>
      <c r="T6" s="518"/>
      <c r="U6" s="518"/>
      <c r="V6" s="518"/>
      <c r="W6" s="518"/>
      <c r="X6" s="518"/>
      <c r="Y6" s="518"/>
      <c r="Z6" s="385"/>
      <c r="AA6" s="385"/>
      <c r="AB6" s="415"/>
      <c r="AC6" s="1"/>
      <c r="AD6" s="1"/>
      <c r="AE6" s="1"/>
      <c r="AF6" s="1"/>
      <c r="AG6" s="832"/>
      <c r="AH6" s="832"/>
      <c r="AI6" s="832"/>
      <c r="AJ6" s="832"/>
      <c r="AK6" s="832"/>
      <c r="AL6" s="832"/>
      <c r="AM6" s="832"/>
      <c r="AN6" s="832"/>
      <c r="AO6" s="832"/>
      <c r="AP6" s="832"/>
      <c r="AQ6" s="832"/>
      <c r="AR6" s="832"/>
      <c r="AS6" s="832"/>
      <c r="AT6" s="832"/>
      <c r="AU6" s="832"/>
      <c r="AV6" s="832"/>
      <c r="AW6" s="832"/>
      <c r="AX6" s="832"/>
      <c r="AY6" s="832"/>
      <c r="AZ6" s="832"/>
      <c r="BA6" s="832"/>
      <c r="BB6" s="832"/>
      <c r="BC6" s="832"/>
      <c r="BD6" s="832"/>
      <c r="BE6" s="832"/>
      <c r="BF6" s="832"/>
      <c r="BG6" s="832"/>
      <c r="BH6" s="832"/>
      <c r="BI6" s="832"/>
      <c r="BJ6" s="832"/>
      <c r="BK6" s="832"/>
      <c r="BL6" s="832"/>
      <c r="BM6" s="832"/>
      <c r="BN6" s="832"/>
      <c r="BO6" s="832"/>
      <c r="BP6" s="832"/>
      <c r="BQ6" s="832"/>
      <c r="BR6" s="832"/>
      <c r="BS6" s="832"/>
      <c r="BT6" s="832"/>
      <c r="BU6" s="832"/>
      <c r="BV6" s="832"/>
      <c r="BW6" s="832"/>
      <c r="BX6" s="832"/>
      <c r="BY6" s="832"/>
      <c r="BZ6" s="832"/>
      <c r="CA6" s="832"/>
      <c r="CB6" s="832"/>
      <c r="CC6" s="832"/>
      <c r="CD6" s="832"/>
      <c r="CE6" s="832"/>
      <c r="CF6" s="832"/>
      <c r="CG6" s="832"/>
      <c r="CH6" s="832"/>
      <c r="CI6" s="832"/>
      <c r="CJ6" s="832"/>
      <c r="CK6" s="832"/>
      <c r="CL6" s="832"/>
      <c r="CM6" s="832"/>
      <c r="CN6" s="832"/>
      <c r="CO6" s="832"/>
      <c r="CP6" s="832"/>
      <c r="CQ6" s="832"/>
      <c r="CR6" s="832"/>
      <c r="CS6" s="832"/>
      <c r="CT6" s="832"/>
      <c r="CU6" s="832"/>
      <c r="CV6" s="832"/>
      <c r="CW6" s="832"/>
      <c r="CX6" s="832"/>
      <c r="CY6" s="832"/>
      <c r="CZ6" s="832"/>
      <c r="DA6" s="832"/>
      <c r="DB6" s="832"/>
      <c r="DC6" s="832"/>
      <c r="DD6" s="832"/>
      <c r="DE6" s="832"/>
      <c r="DF6" s="832"/>
      <c r="DG6" s="832"/>
      <c r="DH6" s="832"/>
      <c r="DI6" s="832"/>
      <c r="DJ6" s="832"/>
      <c r="DK6" s="832"/>
      <c r="DL6" s="832"/>
      <c r="DM6" s="832"/>
      <c r="DN6" s="832"/>
      <c r="DO6" s="832"/>
      <c r="DP6" s="832"/>
      <c r="DQ6" s="832"/>
      <c r="DR6" s="832"/>
      <c r="DS6" s="832"/>
      <c r="DT6" s="832"/>
      <c r="DU6" s="832"/>
      <c r="DV6" s="832"/>
      <c r="DW6" s="832"/>
      <c r="DX6" s="832"/>
      <c r="DY6" s="832"/>
      <c r="DZ6" s="832"/>
      <c r="EA6" s="832"/>
      <c r="EB6" s="832"/>
      <c r="EC6" s="832"/>
      <c r="ED6" s="832"/>
      <c r="EE6" s="832"/>
      <c r="EF6" s="832"/>
      <c r="EG6" s="832"/>
      <c r="EH6" s="832"/>
      <c r="EI6" s="832"/>
      <c r="EJ6" s="832"/>
      <c r="EK6" s="832"/>
      <c r="EL6" s="832"/>
      <c r="EM6" s="832"/>
      <c r="EN6" s="832"/>
      <c r="EO6" s="832"/>
      <c r="EP6" s="832"/>
      <c r="EQ6" s="832"/>
      <c r="ER6" s="832"/>
      <c r="ES6" s="832"/>
      <c r="ET6" s="832"/>
      <c r="EU6" s="832"/>
      <c r="EV6" s="832"/>
      <c r="EW6" s="832"/>
      <c r="EX6" s="832"/>
      <c r="EY6" s="832"/>
      <c r="EZ6" s="832"/>
      <c r="FA6" s="832"/>
      <c r="FB6" s="832"/>
      <c r="FC6" s="832"/>
      <c r="FD6" s="832"/>
      <c r="FE6" s="832"/>
      <c r="FF6" s="832"/>
      <c r="FG6" s="832"/>
      <c r="FH6" s="832"/>
      <c r="FI6" s="832"/>
      <c r="FJ6" s="832"/>
      <c r="FK6" s="832"/>
      <c r="FL6" s="832"/>
      <c r="FM6" s="832"/>
      <c r="FN6" s="832"/>
      <c r="FO6" s="832"/>
      <c r="FP6" s="832"/>
      <c r="FQ6" s="832"/>
      <c r="FR6" s="832"/>
      <c r="FS6" s="832"/>
      <c r="FT6" s="832"/>
      <c r="FU6" s="832"/>
      <c r="FV6" s="832"/>
      <c r="FW6" s="832"/>
      <c r="FX6" s="832"/>
      <c r="FY6" s="832"/>
      <c r="FZ6" s="832"/>
      <c r="GA6" s="832"/>
      <c r="GB6" s="832"/>
      <c r="GC6" s="832"/>
      <c r="GD6" s="832"/>
      <c r="GE6" s="832"/>
      <c r="GF6" s="832"/>
      <c r="GG6" s="832"/>
      <c r="GH6" s="832"/>
      <c r="GI6" s="832"/>
      <c r="GJ6" s="832"/>
      <c r="GK6" s="832"/>
      <c r="GL6" s="832"/>
      <c r="GM6" s="832"/>
      <c r="GN6" s="832"/>
      <c r="GO6" s="832"/>
      <c r="GP6" s="832"/>
      <c r="GQ6" s="832"/>
      <c r="GR6" s="832"/>
      <c r="GS6" s="832"/>
      <c r="GT6" s="832"/>
      <c r="GU6" s="832"/>
      <c r="GV6" s="832"/>
      <c r="GW6" s="832"/>
      <c r="GX6" s="832"/>
      <c r="GY6" s="832"/>
      <c r="GZ6" s="832"/>
      <c r="HA6" s="832"/>
      <c r="HB6" s="832"/>
      <c r="HC6" s="832"/>
      <c r="HD6" s="832"/>
      <c r="HE6" s="832"/>
      <c r="HF6" s="832"/>
      <c r="HG6" s="832"/>
      <c r="HH6" s="832"/>
      <c r="HI6" s="832"/>
      <c r="HJ6" s="832"/>
      <c r="HK6" s="832"/>
      <c r="HL6" s="832"/>
      <c r="HM6" s="832"/>
      <c r="HN6" s="832"/>
      <c r="HO6" s="832"/>
      <c r="HP6" s="832"/>
      <c r="HQ6" s="832"/>
      <c r="HR6" s="832"/>
      <c r="HS6" s="832"/>
      <c r="HT6" s="832"/>
      <c r="HU6" s="832"/>
      <c r="HV6" s="832"/>
      <c r="HW6" s="832"/>
      <c r="HX6" s="832"/>
      <c r="HY6" s="832"/>
      <c r="HZ6" s="832"/>
      <c r="IA6" s="832"/>
      <c r="IB6" s="832"/>
      <c r="IC6" s="832"/>
      <c r="ID6" s="832"/>
      <c r="IE6" s="832"/>
      <c r="IF6" s="832"/>
      <c r="IG6" s="832"/>
      <c r="IH6" s="832"/>
      <c r="II6" s="832"/>
      <c r="IJ6" s="832"/>
      <c r="IK6" s="832"/>
      <c r="IL6" s="832"/>
      <c r="IM6" s="832"/>
      <c r="IN6" s="832"/>
      <c r="IO6" s="832"/>
      <c r="IP6" s="832"/>
      <c r="IQ6" s="832"/>
      <c r="IR6" s="832"/>
      <c r="IS6" s="832"/>
      <c r="IT6" s="832"/>
      <c r="IU6" s="832"/>
      <c r="IV6" s="832"/>
      <c r="IW6" s="832"/>
    </row>
    <row r="7" customFormat="false" ht="11.25" hidden="false" customHeight="true" outlineLevel="0" collapsed="false">
      <c r="A7" s="410" t="s">
        <v>676</v>
      </c>
      <c r="B7" s="385"/>
      <c r="C7" s="733"/>
      <c r="D7" s="746" t="n">
        <f aca="false">IF(D4&lt;=ProjectLife,'Project Assumptions'!$L$15,0)</f>
        <v>120</v>
      </c>
      <c r="E7" s="746" t="n">
        <f aca="false">IF(E4&lt;=ProjectLife,'Project Assumptions'!$L$15,0)</f>
        <v>120</v>
      </c>
      <c r="F7" s="746" t="n">
        <f aca="false">IF(F4&lt;=ProjectLife,'Project Assumptions'!$L$15,0)</f>
        <v>120</v>
      </c>
      <c r="G7" s="746" t="n">
        <f aca="false">IF(G4&lt;=ProjectLife,'Project Assumptions'!$L$15,0)</f>
        <v>120</v>
      </c>
      <c r="H7" s="746" t="n">
        <f aca="false">IF(H4&lt;=ProjectLife,'Project Assumptions'!$L$15,0)</f>
        <v>120</v>
      </c>
      <c r="I7" s="746" t="n">
        <f aca="false">IF(I4&lt;=ProjectLife,'Project Assumptions'!$L$15,0)</f>
        <v>120</v>
      </c>
      <c r="J7" s="746" t="n">
        <f aca="false">IF(J4&lt;=ProjectLife,'Project Assumptions'!$L$15,0)</f>
        <v>120</v>
      </c>
      <c r="K7" s="746" t="n">
        <f aca="false">IF(K4&lt;=ProjectLife,'Project Assumptions'!$L$15,0)</f>
        <v>120</v>
      </c>
      <c r="L7" s="746" t="n">
        <f aca="false">IF(L4&lt;=ProjectLife,'Project Assumptions'!$L$15,0)</f>
        <v>120</v>
      </c>
      <c r="M7" s="746" t="n">
        <f aca="false">IF(M4&lt;=ProjectLife,'Project Assumptions'!$L$15,0)</f>
        <v>120</v>
      </c>
      <c r="N7" s="746" t="n">
        <f aca="false">IF(N4&lt;=ProjectLife,'Project Assumptions'!$L$15,0)</f>
        <v>120</v>
      </c>
      <c r="O7" s="746" t="n">
        <f aca="false">IF(O4&lt;=ProjectLife,'Project Assumptions'!$L$15,0)</f>
        <v>120</v>
      </c>
      <c r="P7" s="746" t="n">
        <f aca="false">IF(P4&lt;=ProjectLife,'Project Assumptions'!$L$15,0)</f>
        <v>120</v>
      </c>
      <c r="Q7" s="746" t="n">
        <f aca="false">IF(Q4&lt;=ProjectLife,'Project Assumptions'!$L$15,0)</f>
        <v>120</v>
      </c>
      <c r="R7" s="746" t="n">
        <f aca="false">IF(R4&lt;=ProjectLife,'Project Assumptions'!$L$15,0)</f>
        <v>120</v>
      </c>
      <c r="S7" s="746" t="n">
        <f aca="false">IF(S4&lt;=ProjectLife,'Project Assumptions'!$L$15,0)</f>
        <v>120</v>
      </c>
      <c r="T7" s="746" t="n">
        <f aca="false">IF(T4&lt;=ProjectLife,'Project Assumptions'!$L$15,0)</f>
        <v>120</v>
      </c>
      <c r="U7" s="746" t="n">
        <f aca="false">IF(U4&lt;=ProjectLife,'Project Assumptions'!$L$15,0)</f>
        <v>120</v>
      </c>
      <c r="V7" s="746" t="n">
        <f aca="false">IF(V4&lt;=ProjectLife,'Project Assumptions'!$L$15,0)</f>
        <v>120</v>
      </c>
      <c r="W7" s="746" t="n">
        <f aca="false">IF(W4&lt;=ProjectLife,'Project Assumptions'!$L$15,0)</f>
        <v>120</v>
      </c>
      <c r="X7" s="746" t="n">
        <f aca="false">IF(X4&lt;=ProjectLife,'Project Assumptions'!$L$15,0)</f>
        <v>0</v>
      </c>
      <c r="Y7" s="746" t="n">
        <f aca="false">IF(Y4&lt;=ProjectLife,'Project Assumptions'!$L$15,0)</f>
        <v>0</v>
      </c>
      <c r="Z7" s="746" t="n">
        <f aca="false">IF(Z4&lt;=ProjectLife,'Project Assumptions'!$L$15,0)</f>
        <v>0</v>
      </c>
      <c r="AA7" s="746" t="n">
        <f aca="false">IF(AA4&lt;=ProjectLife,'Project Assumptions'!$L$15,0)</f>
        <v>0</v>
      </c>
      <c r="AB7" s="746" t="n">
        <f aca="false">IF(AB4&lt;=ProjectLife,'Project Assumptions'!$L$15,0)</f>
        <v>0</v>
      </c>
      <c r="AC7" s="1"/>
      <c r="AD7" s="1"/>
      <c r="AE7" s="1"/>
      <c r="AF7" s="1"/>
      <c r="AG7" s="832"/>
      <c r="AH7" s="832"/>
      <c r="AI7" s="832"/>
      <c r="AJ7" s="832"/>
      <c r="AK7" s="832"/>
      <c r="AL7" s="832"/>
      <c r="AM7" s="832"/>
      <c r="AN7" s="832"/>
      <c r="AO7" s="832"/>
      <c r="AP7" s="832"/>
      <c r="AQ7" s="832"/>
      <c r="AR7" s="832"/>
      <c r="AS7" s="832"/>
      <c r="AT7" s="832"/>
      <c r="AU7" s="832"/>
      <c r="AV7" s="832"/>
      <c r="AW7" s="832"/>
      <c r="AX7" s="832"/>
      <c r="AY7" s="832"/>
      <c r="AZ7" s="832"/>
      <c r="BA7" s="832"/>
      <c r="BB7" s="832"/>
      <c r="BC7" s="832"/>
      <c r="BD7" s="832"/>
      <c r="BE7" s="832"/>
      <c r="BF7" s="832"/>
      <c r="BG7" s="832"/>
      <c r="BH7" s="832"/>
      <c r="BI7" s="832"/>
      <c r="BJ7" s="832"/>
      <c r="BK7" s="832"/>
      <c r="BL7" s="832"/>
      <c r="BM7" s="832"/>
      <c r="BN7" s="832"/>
      <c r="BO7" s="832"/>
      <c r="BP7" s="832"/>
      <c r="BQ7" s="832"/>
      <c r="BR7" s="832"/>
      <c r="BS7" s="832"/>
      <c r="BT7" s="832"/>
      <c r="BU7" s="832"/>
      <c r="BV7" s="832"/>
      <c r="BW7" s="832"/>
      <c r="BX7" s="832"/>
      <c r="BY7" s="832"/>
      <c r="BZ7" s="832"/>
      <c r="CA7" s="832"/>
      <c r="CB7" s="832"/>
      <c r="CC7" s="832"/>
      <c r="CD7" s="832"/>
      <c r="CE7" s="832"/>
      <c r="CF7" s="832"/>
      <c r="CG7" s="832"/>
      <c r="CH7" s="832"/>
      <c r="CI7" s="832"/>
      <c r="CJ7" s="832"/>
      <c r="CK7" s="832"/>
      <c r="CL7" s="832"/>
      <c r="CM7" s="832"/>
      <c r="CN7" s="832"/>
      <c r="CO7" s="832"/>
      <c r="CP7" s="832"/>
      <c r="CQ7" s="832"/>
      <c r="CR7" s="832"/>
      <c r="CS7" s="832"/>
      <c r="CT7" s="832"/>
      <c r="CU7" s="832"/>
      <c r="CV7" s="832"/>
      <c r="CW7" s="832"/>
      <c r="CX7" s="832"/>
      <c r="CY7" s="832"/>
      <c r="CZ7" s="832"/>
      <c r="DA7" s="832"/>
      <c r="DB7" s="832"/>
      <c r="DC7" s="832"/>
      <c r="DD7" s="832"/>
      <c r="DE7" s="832"/>
      <c r="DF7" s="832"/>
      <c r="DG7" s="832"/>
      <c r="DH7" s="832"/>
      <c r="DI7" s="832"/>
      <c r="DJ7" s="832"/>
      <c r="DK7" s="832"/>
      <c r="DL7" s="832"/>
      <c r="DM7" s="832"/>
      <c r="DN7" s="832"/>
      <c r="DO7" s="832"/>
      <c r="DP7" s="832"/>
      <c r="DQ7" s="832"/>
      <c r="DR7" s="832"/>
      <c r="DS7" s="832"/>
      <c r="DT7" s="832"/>
      <c r="DU7" s="832"/>
      <c r="DV7" s="832"/>
      <c r="DW7" s="832"/>
      <c r="DX7" s="832"/>
      <c r="DY7" s="832"/>
      <c r="DZ7" s="832"/>
      <c r="EA7" s="832"/>
      <c r="EB7" s="832"/>
      <c r="EC7" s="832"/>
      <c r="ED7" s="832"/>
      <c r="EE7" s="832"/>
      <c r="EF7" s="832"/>
      <c r="EG7" s="832"/>
      <c r="EH7" s="832"/>
      <c r="EI7" s="832"/>
      <c r="EJ7" s="832"/>
      <c r="EK7" s="832"/>
      <c r="EL7" s="832"/>
      <c r="EM7" s="832"/>
      <c r="EN7" s="832"/>
      <c r="EO7" s="832"/>
      <c r="EP7" s="832"/>
      <c r="EQ7" s="832"/>
      <c r="ER7" s="832"/>
      <c r="ES7" s="832"/>
      <c r="ET7" s="832"/>
      <c r="EU7" s="832"/>
      <c r="EV7" s="832"/>
      <c r="EW7" s="832"/>
      <c r="EX7" s="832"/>
      <c r="EY7" s="832"/>
      <c r="EZ7" s="832"/>
      <c r="FA7" s="832"/>
      <c r="FB7" s="832"/>
      <c r="FC7" s="832"/>
      <c r="FD7" s="832"/>
      <c r="FE7" s="832"/>
      <c r="FF7" s="832"/>
      <c r="FG7" s="832"/>
      <c r="FH7" s="832"/>
      <c r="FI7" s="832"/>
      <c r="FJ7" s="832"/>
      <c r="FK7" s="832"/>
      <c r="FL7" s="832"/>
      <c r="FM7" s="832"/>
      <c r="FN7" s="832"/>
      <c r="FO7" s="832"/>
      <c r="FP7" s="832"/>
      <c r="FQ7" s="832"/>
      <c r="FR7" s="832"/>
      <c r="FS7" s="832"/>
      <c r="FT7" s="832"/>
      <c r="FU7" s="832"/>
      <c r="FV7" s="832"/>
      <c r="FW7" s="832"/>
      <c r="FX7" s="832"/>
      <c r="FY7" s="832"/>
      <c r="FZ7" s="832"/>
      <c r="GA7" s="832"/>
      <c r="GB7" s="832"/>
      <c r="GC7" s="832"/>
      <c r="GD7" s="832"/>
      <c r="GE7" s="832"/>
      <c r="GF7" s="832"/>
      <c r="GG7" s="832"/>
      <c r="GH7" s="832"/>
      <c r="GI7" s="832"/>
      <c r="GJ7" s="832"/>
      <c r="GK7" s="832"/>
      <c r="GL7" s="832"/>
      <c r="GM7" s="832"/>
      <c r="GN7" s="832"/>
      <c r="GO7" s="832"/>
      <c r="GP7" s="832"/>
      <c r="GQ7" s="832"/>
      <c r="GR7" s="832"/>
      <c r="GS7" s="832"/>
      <c r="GT7" s="832"/>
      <c r="GU7" s="832"/>
      <c r="GV7" s="832"/>
      <c r="GW7" s="832"/>
      <c r="GX7" s="832"/>
      <c r="GY7" s="832"/>
      <c r="GZ7" s="832"/>
      <c r="HA7" s="832"/>
      <c r="HB7" s="832"/>
      <c r="HC7" s="832"/>
      <c r="HD7" s="832"/>
      <c r="HE7" s="832"/>
      <c r="HF7" s="832"/>
      <c r="HG7" s="832"/>
      <c r="HH7" s="832"/>
      <c r="HI7" s="832"/>
      <c r="HJ7" s="832"/>
      <c r="HK7" s="832"/>
      <c r="HL7" s="832"/>
      <c r="HM7" s="832"/>
      <c r="HN7" s="832"/>
      <c r="HO7" s="832"/>
      <c r="HP7" s="832"/>
      <c r="HQ7" s="832"/>
      <c r="HR7" s="832"/>
      <c r="HS7" s="832"/>
      <c r="HT7" s="832"/>
      <c r="HU7" s="832"/>
      <c r="HV7" s="832"/>
      <c r="HW7" s="832"/>
      <c r="HX7" s="832"/>
      <c r="HY7" s="832"/>
      <c r="HZ7" s="832"/>
      <c r="IA7" s="832"/>
      <c r="IB7" s="832"/>
      <c r="IC7" s="832"/>
      <c r="ID7" s="832"/>
      <c r="IE7" s="832"/>
      <c r="IF7" s="832"/>
      <c r="IG7" s="832"/>
      <c r="IH7" s="832"/>
      <c r="II7" s="832"/>
      <c r="IJ7" s="832"/>
      <c r="IK7" s="832"/>
      <c r="IL7" s="832"/>
      <c r="IM7" s="832"/>
      <c r="IN7" s="832"/>
      <c r="IO7" s="832"/>
      <c r="IP7" s="832"/>
      <c r="IQ7" s="832"/>
      <c r="IR7" s="832"/>
      <c r="IS7" s="832"/>
      <c r="IT7" s="832"/>
      <c r="IU7" s="832"/>
      <c r="IV7" s="832"/>
      <c r="IW7" s="832"/>
    </row>
    <row r="8" customFormat="false" ht="11.25" hidden="false" customHeight="true" outlineLevel="0" collapsed="false">
      <c r="A8" s="410" t="s">
        <v>677</v>
      </c>
      <c r="B8" s="627"/>
      <c r="C8" s="733"/>
      <c r="D8" s="746" t="n">
        <f aca="false">D7</f>
        <v>120</v>
      </c>
      <c r="E8" s="746" t="n">
        <f aca="false">D8+E7</f>
        <v>240</v>
      </c>
      <c r="F8" s="746" t="n">
        <f aca="false">E8+F7</f>
        <v>360</v>
      </c>
      <c r="G8" s="746" t="n">
        <f aca="false">F8+G7</f>
        <v>480</v>
      </c>
      <c r="H8" s="746" t="n">
        <f aca="false">G8+H7</f>
        <v>600</v>
      </c>
      <c r="I8" s="746" t="n">
        <f aca="false">H8+I7</f>
        <v>720</v>
      </c>
      <c r="J8" s="746" t="n">
        <f aca="false">I8+J7</f>
        <v>840</v>
      </c>
      <c r="K8" s="746" t="n">
        <f aca="false">J8+K7</f>
        <v>960</v>
      </c>
      <c r="L8" s="746" t="n">
        <f aca="false">K8+L7</f>
        <v>1080</v>
      </c>
      <c r="M8" s="746" t="n">
        <f aca="false">L8+M7</f>
        <v>1200</v>
      </c>
      <c r="N8" s="746" t="n">
        <f aca="false">M8+N7</f>
        <v>1320</v>
      </c>
      <c r="O8" s="746" t="n">
        <f aca="false">N8+O7</f>
        <v>1440</v>
      </c>
      <c r="P8" s="746" t="n">
        <f aca="false">O8+P7</f>
        <v>1560</v>
      </c>
      <c r="Q8" s="746" t="n">
        <f aca="false">P8+Q7</f>
        <v>1680</v>
      </c>
      <c r="R8" s="746" t="n">
        <f aca="false">Q8+R7</f>
        <v>1800</v>
      </c>
      <c r="S8" s="746" t="n">
        <f aca="false">R8+S7</f>
        <v>1920</v>
      </c>
      <c r="T8" s="746" t="n">
        <f aca="false">S8+T7</f>
        <v>2040</v>
      </c>
      <c r="U8" s="746" t="n">
        <f aca="false">T8+U7</f>
        <v>2160</v>
      </c>
      <c r="V8" s="746" t="n">
        <f aca="false">U8+V7</f>
        <v>2280</v>
      </c>
      <c r="W8" s="746" t="n">
        <f aca="false">V8+W7</f>
        <v>2400</v>
      </c>
      <c r="X8" s="746" t="n">
        <f aca="false">W8+X7</f>
        <v>2400</v>
      </c>
      <c r="Y8" s="746" t="n">
        <f aca="false">X8+Y7</f>
        <v>2400</v>
      </c>
      <c r="Z8" s="746" t="n">
        <f aca="false">Y8+Z7</f>
        <v>2400</v>
      </c>
      <c r="AA8" s="746" t="n">
        <f aca="false">Z8+AA7</f>
        <v>2400</v>
      </c>
      <c r="AB8" s="805" t="n">
        <f aca="false">AA8+AB7</f>
        <v>2400</v>
      </c>
      <c r="AC8" s="1"/>
      <c r="AD8" s="1"/>
      <c r="AE8" s="1"/>
      <c r="AF8" s="1"/>
      <c r="AG8" s="832"/>
      <c r="AH8" s="832"/>
      <c r="AI8" s="832"/>
      <c r="AJ8" s="832"/>
      <c r="AK8" s="832"/>
      <c r="AL8" s="832"/>
      <c r="AM8" s="832"/>
      <c r="AN8" s="832"/>
      <c r="AO8" s="832"/>
      <c r="AP8" s="832"/>
      <c r="AQ8" s="832"/>
      <c r="AR8" s="832"/>
      <c r="AS8" s="832"/>
      <c r="AT8" s="832"/>
      <c r="AU8" s="832"/>
      <c r="AV8" s="832"/>
      <c r="AW8" s="832"/>
      <c r="AX8" s="832"/>
      <c r="AY8" s="832"/>
      <c r="AZ8" s="832"/>
      <c r="BA8" s="832"/>
      <c r="BB8" s="832"/>
      <c r="BC8" s="832"/>
      <c r="BD8" s="832"/>
      <c r="BE8" s="832"/>
      <c r="BF8" s="832"/>
      <c r="BG8" s="832"/>
      <c r="BH8" s="832"/>
      <c r="BI8" s="832"/>
      <c r="BJ8" s="832"/>
      <c r="BK8" s="832"/>
      <c r="BL8" s="832"/>
      <c r="BM8" s="832"/>
      <c r="BN8" s="832"/>
      <c r="BO8" s="832"/>
      <c r="BP8" s="832"/>
      <c r="BQ8" s="832"/>
      <c r="BR8" s="832"/>
      <c r="BS8" s="832"/>
      <c r="BT8" s="832"/>
      <c r="BU8" s="832"/>
      <c r="BV8" s="832"/>
      <c r="BW8" s="832"/>
      <c r="BX8" s="832"/>
      <c r="BY8" s="832"/>
      <c r="BZ8" s="832"/>
      <c r="CA8" s="832"/>
      <c r="CB8" s="832"/>
      <c r="CC8" s="832"/>
      <c r="CD8" s="832"/>
      <c r="CE8" s="832"/>
      <c r="CF8" s="832"/>
      <c r="CG8" s="832"/>
      <c r="CH8" s="832"/>
      <c r="CI8" s="832"/>
      <c r="CJ8" s="832"/>
      <c r="CK8" s="832"/>
      <c r="CL8" s="832"/>
      <c r="CM8" s="832"/>
      <c r="CN8" s="832"/>
      <c r="CO8" s="832"/>
      <c r="CP8" s="832"/>
      <c r="CQ8" s="832"/>
      <c r="CR8" s="832"/>
      <c r="CS8" s="832"/>
      <c r="CT8" s="832"/>
      <c r="CU8" s="832"/>
      <c r="CV8" s="832"/>
      <c r="CW8" s="832"/>
      <c r="CX8" s="832"/>
      <c r="CY8" s="832"/>
      <c r="CZ8" s="832"/>
      <c r="DA8" s="832"/>
      <c r="DB8" s="832"/>
      <c r="DC8" s="832"/>
      <c r="DD8" s="832"/>
      <c r="DE8" s="832"/>
      <c r="DF8" s="832"/>
      <c r="DG8" s="832"/>
      <c r="DH8" s="832"/>
      <c r="DI8" s="832"/>
      <c r="DJ8" s="832"/>
      <c r="DK8" s="832"/>
      <c r="DL8" s="832"/>
      <c r="DM8" s="832"/>
      <c r="DN8" s="832"/>
      <c r="DO8" s="832"/>
      <c r="DP8" s="832"/>
      <c r="DQ8" s="832"/>
      <c r="DR8" s="832"/>
      <c r="DS8" s="832"/>
      <c r="DT8" s="832"/>
      <c r="DU8" s="832"/>
      <c r="DV8" s="832"/>
      <c r="DW8" s="832"/>
      <c r="DX8" s="832"/>
      <c r="DY8" s="832"/>
      <c r="DZ8" s="832"/>
      <c r="EA8" s="832"/>
      <c r="EB8" s="832"/>
      <c r="EC8" s="832"/>
      <c r="ED8" s="832"/>
      <c r="EE8" s="832"/>
      <c r="EF8" s="832"/>
      <c r="EG8" s="832"/>
      <c r="EH8" s="832"/>
      <c r="EI8" s="832"/>
      <c r="EJ8" s="832"/>
      <c r="EK8" s="832"/>
      <c r="EL8" s="832"/>
      <c r="EM8" s="832"/>
      <c r="EN8" s="832"/>
      <c r="EO8" s="832"/>
      <c r="EP8" s="832"/>
      <c r="EQ8" s="832"/>
      <c r="ER8" s="832"/>
      <c r="ES8" s="832"/>
      <c r="ET8" s="832"/>
      <c r="EU8" s="832"/>
      <c r="EV8" s="832"/>
      <c r="EW8" s="832"/>
      <c r="EX8" s="832"/>
      <c r="EY8" s="832"/>
      <c r="EZ8" s="832"/>
      <c r="FA8" s="832"/>
      <c r="FB8" s="832"/>
      <c r="FC8" s="832"/>
      <c r="FD8" s="832"/>
      <c r="FE8" s="832"/>
      <c r="FF8" s="832"/>
      <c r="FG8" s="832"/>
      <c r="FH8" s="832"/>
      <c r="FI8" s="832"/>
      <c r="FJ8" s="832"/>
      <c r="FK8" s="832"/>
      <c r="FL8" s="832"/>
      <c r="FM8" s="832"/>
      <c r="FN8" s="832"/>
      <c r="FO8" s="832"/>
      <c r="FP8" s="832"/>
      <c r="FQ8" s="832"/>
      <c r="FR8" s="832"/>
      <c r="FS8" s="832"/>
      <c r="FT8" s="832"/>
      <c r="FU8" s="832"/>
      <c r="FV8" s="832"/>
      <c r="FW8" s="832"/>
      <c r="FX8" s="832"/>
      <c r="FY8" s="832"/>
      <c r="FZ8" s="832"/>
      <c r="GA8" s="832"/>
      <c r="GB8" s="832"/>
      <c r="GC8" s="832"/>
      <c r="GD8" s="832"/>
      <c r="GE8" s="832"/>
      <c r="GF8" s="832"/>
      <c r="GG8" s="832"/>
      <c r="GH8" s="832"/>
      <c r="GI8" s="832"/>
      <c r="GJ8" s="832"/>
      <c r="GK8" s="832"/>
      <c r="GL8" s="832"/>
      <c r="GM8" s="832"/>
      <c r="GN8" s="832"/>
      <c r="GO8" s="832"/>
      <c r="GP8" s="832"/>
      <c r="GQ8" s="832"/>
      <c r="GR8" s="832"/>
      <c r="GS8" s="832"/>
      <c r="GT8" s="832"/>
      <c r="GU8" s="832"/>
      <c r="GV8" s="832"/>
      <c r="GW8" s="832"/>
      <c r="GX8" s="832"/>
      <c r="GY8" s="832"/>
      <c r="GZ8" s="832"/>
      <c r="HA8" s="832"/>
      <c r="HB8" s="832"/>
      <c r="HC8" s="832"/>
      <c r="HD8" s="832"/>
      <c r="HE8" s="832"/>
      <c r="HF8" s="832"/>
      <c r="HG8" s="832"/>
      <c r="HH8" s="832"/>
      <c r="HI8" s="832"/>
      <c r="HJ8" s="832"/>
      <c r="HK8" s="832"/>
      <c r="HL8" s="832"/>
      <c r="HM8" s="832"/>
      <c r="HN8" s="832"/>
      <c r="HO8" s="832"/>
      <c r="HP8" s="832"/>
      <c r="HQ8" s="832"/>
      <c r="HR8" s="832"/>
      <c r="HS8" s="832"/>
      <c r="HT8" s="832"/>
      <c r="HU8" s="832"/>
      <c r="HV8" s="832"/>
      <c r="HW8" s="832"/>
      <c r="HX8" s="832"/>
      <c r="HY8" s="832"/>
      <c r="HZ8" s="832"/>
      <c r="IA8" s="832"/>
      <c r="IB8" s="832"/>
      <c r="IC8" s="832"/>
      <c r="ID8" s="832"/>
      <c r="IE8" s="832"/>
      <c r="IF8" s="832"/>
      <c r="IG8" s="832"/>
      <c r="IH8" s="832"/>
      <c r="II8" s="832"/>
      <c r="IJ8" s="832"/>
      <c r="IK8" s="832"/>
      <c r="IL8" s="832"/>
      <c r="IM8" s="832"/>
      <c r="IN8" s="832"/>
      <c r="IO8" s="832"/>
      <c r="IP8" s="832"/>
      <c r="IQ8" s="832"/>
      <c r="IR8" s="832"/>
      <c r="IS8" s="832"/>
      <c r="IT8" s="832"/>
      <c r="IU8" s="832"/>
      <c r="IV8" s="832"/>
      <c r="IW8" s="832"/>
    </row>
    <row r="9" customFormat="false" ht="11.25" hidden="false" customHeight="true" outlineLevel="0" collapsed="false">
      <c r="A9" s="410"/>
      <c r="B9" s="627"/>
      <c r="C9" s="733"/>
      <c r="D9" s="746"/>
      <c r="E9" s="746"/>
      <c r="F9" s="746"/>
      <c r="G9" s="746"/>
      <c r="H9" s="746"/>
      <c r="I9" s="746"/>
      <c r="J9" s="746"/>
      <c r="K9" s="746"/>
      <c r="L9" s="746"/>
      <c r="M9" s="746"/>
      <c r="N9" s="746"/>
      <c r="O9" s="746"/>
      <c r="P9" s="746"/>
      <c r="Q9" s="746"/>
      <c r="R9" s="746"/>
      <c r="S9" s="746"/>
      <c r="T9" s="746"/>
      <c r="U9" s="746"/>
      <c r="V9" s="746"/>
      <c r="W9" s="746"/>
      <c r="X9" s="746"/>
      <c r="Y9" s="746"/>
      <c r="Z9" s="746"/>
      <c r="AA9" s="746"/>
      <c r="AB9" s="805"/>
      <c r="AC9" s="1"/>
      <c r="AD9" s="1"/>
      <c r="AE9" s="1"/>
      <c r="AF9" s="1"/>
      <c r="AG9" s="832"/>
      <c r="AH9" s="832"/>
      <c r="AI9" s="832"/>
      <c r="AJ9" s="832"/>
      <c r="AK9" s="832"/>
      <c r="AL9" s="832"/>
      <c r="AM9" s="832"/>
      <c r="AN9" s="832"/>
      <c r="AO9" s="832"/>
      <c r="AP9" s="832"/>
      <c r="AQ9" s="832"/>
      <c r="AR9" s="832"/>
      <c r="AS9" s="832"/>
      <c r="AT9" s="832"/>
      <c r="AU9" s="832"/>
      <c r="AV9" s="832"/>
      <c r="AW9" s="832"/>
      <c r="AX9" s="832"/>
      <c r="AY9" s="832"/>
      <c r="AZ9" s="832"/>
      <c r="BA9" s="832"/>
      <c r="BB9" s="832"/>
      <c r="BC9" s="832"/>
      <c r="BD9" s="832"/>
      <c r="BE9" s="832"/>
      <c r="BF9" s="832"/>
      <c r="BG9" s="832"/>
      <c r="BH9" s="832"/>
      <c r="BI9" s="832"/>
      <c r="BJ9" s="832"/>
      <c r="BK9" s="832"/>
      <c r="BL9" s="832"/>
      <c r="BM9" s="832"/>
      <c r="BN9" s="832"/>
      <c r="BO9" s="832"/>
      <c r="BP9" s="832"/>
      <c r="BQ9" s="832"/>
      <c r="BR9" s="832"/>
      <c r="BS9" s="832"/>
      <c r="BT9" s="832"/>
      <c r="BU9" s="832"/>
      <c r="BV9" s="832"/>
      <c r="BW9" s="832"/>
      <c r="BX9" s="832"/>
      <c r="BY9" s="832"/>
      <c r="BZ9" s="832"/>
      <c r="CA9" s="832"/>
      <c r="CB9" s="832"/>
      <c r="CC9" s="832"/>
      <c r="CD9" s="832"/>
      <c r="CE9" s="832"/>
      <c r="CF9" s="832"/>
      <c r="CG9" s="832"/>
      <c r="CH9" s="832"/>
      <c r="CI9" s="832"/>
      <c r="CJ9" s="832"/>
      <c r="CK9" s="832"/>
      <c r="CL9" s="832"/>
      <c r="CM9" s="832"/>
      <c r="CN9" s="832"/>
      <c r="CO9" s="832"/>
      <c r="CP9" s="832"/>
      <c r="CQ9" s="832"/>
      <c r="CR9" s="832"/>
      <c r="CS9" s="832"/>
      <c r="CT9" s="832"/>
      <c r="CU9" s="832"/>
      <c r="CV9" s="832"/>
      <c r="CW9" s="832"/>
      <c r="CX9" s="832"/>
      <c r="CY9" s="832"/>
      <c r="CZ9" s="832"/>
      <c r="DA9" s="832"/>
      <c r="DB9" s="832"/>
      <c r="DC9" s="832"/>
      <c r="DD9" s="832"/>
      <c r="DE9" s="832"/>
      <c r="DF9" s="832"/>
      <c r="DG9" s="832"/>
      <c r="DH9" s="832"/>
      <c r="DI9" s="832"/>
      <c r="DJ9" s="832"/>
      <c r="DK9" s="832"/>
      <c r="DL9" s="832"/>
      <c r="DM9" s="832"/>
      <c r="DN9" s="832"/>
      <c r="DO9" s="832"/>
      <c r="DP9" s="832"/>
      <c r="DQ9" s="832"/>
      <c r="DR9" s="832"/>
      <c r="DS9" s="832"/>
      <c r="DT9" s="832"/>
      <c r="DU9" s="832"/>
      <c r="DV9" s="832"/>
      <c r="DW9" s="832"/>
      <c r="DX9" s="832"/>
      <c r="DY9" s="832"/>
      <c r="DZ9" s="832"/>
      <c r="EA9" s="832"/>
      <c r="EB9" s="832"/>
      <c r="EC9" s="832"/>
      <c r="ED9" s="832"/>
      <c r="EE9" s="832"/>
      <c r="EF9" s="832"/>
      <c r="EG9" s="832"/>
      <c r="EH9" s="832"/>
      <c r="EI9" s="832"/>
      <c r="EJ9" s="832"/>
      <c r="EK9" s="832"/>
      <c r="EL9" s="832"/>
      <c r="EM9" s="832"/>
      <c r="EN9" s="832"/>
      <c r="EO9" s="832"/>
      <c r="EP9" s="832"/>
      <c r="EQ9" s="832"/>
      <c r="ER9" s="832"/>
      <c r="ES9" s="832"/>
      <c r="ET9" s="832"/>
      <c r="EU9" s="832"/>
      <c r="EV9" s="832"/>
      <c r="EW9" s="832"/>
      <c r="EX9" s="832"/>
      <c r="EY9" s="832"/>
      <c r="EZ9" s="832"/>
      <c r="FA9" s="832"/>
      <c r="FB9" s="832"/>
      <c r="FC9" s="832"/>
      <c r="FD9" s="832"/>
      <c r="FE9" s="832"/>
      <c r="FF9" s="832"/>
      <c r="FG9" s="832"/>
      <c r="FH9" s="832"/>
      <c r="FI9" s="832"/>
      <c r="FJ9" s="832"/>
      <c r="FK9" s="832"/>
      <c r="FL9" s="832"/>
      <c r="FM9" s="832"/>
      <c r="FN9" s="832"/>
      <c r="FO9" s="832"/>
      <c r="FP9" s="832"/>
      <c r="FQ9" s="832"/>
      <c r="FR9" s="832"/>
      <c r="FS9" s="832"/>
      <c r="FT9" s="832"/>
      <c r="FU9" s="832"/>
      <c r="FV9" s="832"/>
      <c r="FW9" s="832"/>
      <c r="FX9" s="832"/>
      <c r="FY9" s="832"/>
      <c r="FZ9" s="832"/>
      <c r="GA9" s="832"/>
      <c r="GB9" s="832"/>
      <c r="GC9" s="832"/>
      <c r="GD9" s="832"/>
      <c r="GE9" s="832"/>
      <c r="GF9" s="832"/>
      <c r="GG9" s="832"/>
      <c r="GH9" s="832"/>
      <c r="GI9" s="832"/>
      <c r="GJ9" s="832"/>
      <c r="GK9" s="832"/>
      <c r="GL9" s="832"/>
      <c r="GM9" s="832"/>
      <c r="GN9" s="832"/>
      <c r="GO9" s="832"/>
      <c r="GP9" s="832"/>
      <c r="GQ9" s="832"/>
      <c r="GR9" s="832"/>
      <c r="GS9" s="832"/>
      <c r="GT9" s="832"/>
      <c r="GU9" s="832"/>
      <c r="GV9" s="832"/>
      <c r="GW9" s="832"/>
      <c r="GX9" s="832"/>
      <c r="GY9" s="832"/>
      <c r="GZ9" s="832"/>
      <c r="HA9" s="832"/>
      <c r="HB9" s="832"/>
      <c r="HC9" s="832"/>
      <c r="HD9" s="832"/>
      <c r="HE9" s="832"/>
      <c r="HF9" s="832"/>
      <c r="HG9" s="832"/>
      <c r="HH9" s="832"/>
      <c r="HI9" s="832"/>
      <c r="HJ9" s="832"/>
      <c r="HK9" s="832"/>
      <c r="HL9" s="832"/>
      <c r="HM9" s="832"/>
      <c r="HN9" s="832"/>
      <c r="HO9" s="832"/>
      <c r="HP9" s="832"/>
      <c r="HQ9" s="832"/>
      <c r="HR9" s="832"/>
      <c r="HS9" s="832"/>
      <c r="HT9" s="832"/>
      <c r="HU9" s="832"/>
      <c r="HV9" s="832"/>
      <c r="HW9" s="832"/>
      <c r="HX9" s="832"/>
      <c r="HY9" s="832"/>
      <c r="HZ9" s="832"/>
      <c r="IA9" s="832"/>
      <c r="IB9" s="832"/>
      <c r="IC9" s="832"/>
      <c r="ID9" s="832"/>
      <c r="IE9" s="832"/>
      <c r="IF9" s="832"/>
      <c r="IG9" s="832"/>
      <c r="IH9" s="832"/>
      <c r="II9" s="832"/>
      <c r="IJ9" s="832"/>
      <c r="IK9" s="832"/>
      <c r="IL9" s="832"/>
      <c r="IM9" s="832"/>
      <c r="IN9" s="832"/>
      <c r="IO9" s="832"/>
      <c r="IP9" s="832"/>
      <c r="IQ9" s="832"/>
      <c r="IR9" s="832"/>
      <c r="IS9" s="832"/>
      <c r="IT9" s="832"/>
      <c r="IU9" s="832"/>
      <c r="IV9" s="832"/>
      <c r="IW9" s="832"/>
    </row>
    <row r="10" customFormat="false" ht="11.25" hidden="false" customHeight="true" outlineLevel="0" collapsed="false">
      <c r="A10" s="410"/>
      <c r="B10" s="385"/>
      <c r="C10" s="385"/>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415"/>
      <c r="AC10" s="1"/>
      <c r="AD10" s="1"/>
      <c r="AE10" s="1"/>
      <c r="AF10" s="1"/>
      <c r="AG10" s="832"/>
      <c r="AH10" s="832"/>
      <c r="AI10" s="832"/>
      <c r="AJ10" s="832"/>
      <c r="AK10" s="832"/>
      <c r="AL10" s="832"/>
      <c r="AM10" s="832"/>
      <c r="AN10" s="832"/>
      <c r="AO10" s="832"/>
      <c r="AP10" s="832"/>
      <c r="AQ10" s="832"/>
      <c r="AR10" s="832"/>
      <c r="AS10" s="832"/>
      <c r="AT10" s="832"/>
      <c r="AU10" s="832"/>
      <c r="AV10" s="832"/>
      <c r="AW10" s="832"/>
      <c r="AX10" s="832"/>
      <c r="AY10" s="832"/>
      <c r="AZ10" s="832"/>
      <c r="BA10" s="832"/>
      <c r="BB10" s="832"/>
      <c r="BC10" s="832"/>
      <c r="BD10" s="832"/>
      <c r="BE10" s="832"/>
      <c r="BF10" s="832"/>
      <c r="BG10" s="832"/>
      <c r="BH10" s="832"/>
      <c r="BI10" s="832"/>
      <c r="BJ10" s="832"/>
      <c r="BK10" s="832"/>
      <c r="BL10" s="832"/>
      <c r="BM10" s="832"/>
      <c r="BN10" s="832"/>
      <c r="BO10" s="832"/>
      <c r="BP10" s="832"/>
      <c r="BQ10" s="832"/>
      <c r="BR10" s="832"/>
      <c r="BS10" s="832"/>
      <c r="BT10" s="832"/>
      <c r="BU10" s="832"/>
      <c r="BV10" s="832"/>
      <c r="BW10" s="832"/>
      <c r="BX10" s="832"/>
      <c r="BY10" s="832"/>
      <c r="BZ10" s="832"/>
      <c r="CA10" s="832"/>
      <c r="CB10" s="832"/>
      <c r="CC10" s="832"/>
      <c r="CD10" s="832"/>
      <c r="CE10" s="832"/>
      <c r="CF10" s="832"/>
      <c r="CG10" s="832"/>
      <c r="CH10" s="832"/>
      <c r="CI10" s="832"/>
      <c r="CJ10" s="832"/>
      <c r="CK10" s="832"/>
      <c r="CL10" s="832"/>
      <c r="CM10" s="832"/>
      <c r="CN10" s="832"/>
      <c r="CO10" s="832"/>
      <c r="CP10" s="832"/>
      <c r="CQ10" s="832"/>
      <c r="CR10" s="832"/>
      <c r="CS10" s="832"/>
      <c r="CT10" s="832"/>
      <c r="CU10" s="832"/>
      <c r="CV10" s="832"/>
      <c r="CW10" s="832"/>
      <c r="CX10" s="832"/>
      <c r="CY10" s="832"/>
      <c r="CZ10" s="832"/>
      <c r="DA10" s="832"/>
      <c r="DB10" s="832"/>
      <c r="DC10" s="832"/>
      <c r="DD10" s="832"/>
      <c r="DE10" s="832"/>
      <c r="DF10" s="832"/>
      <c r="DG10" s="832"/>
      <c r="DH10" s="832"/>
      <c r="DI10" s="832"/>
      <c r="DJ10" s="832"/>
      <c r="DK10" s="832"/>
      <c r="DL10" s="832"/>
      <c r="DM10" s="832"/>
      <c r="DN10" s="832"/>
      <c r="DO10" s="832"/>
      <c r="DP10" s="832"/>
      <c r="DQ10" s="832"/>
      <c r="DR10" s="832"/>
      <c r="DS10" s="832"/>
      <c r="DT10" s="832"/>
      <c r="DU10" s="832"/>
      <c r="DV10" s="832"/>
      <c r="DW10" s="832"/>
      <c r="DX10" s="832"/>
      <c r="DY10" s="832"/>
      <c r="DZ10" s="832"/>
      <c r="EA10" s="832"/>
      <c r="EB10" s="832"/>
      <c r="EC10" s="832"/>
      <c r="ED10" s="832"/>
      <c r="EE10" s="832"/>
      <c r="EF10" s="832"/>
      <c r="EG10" s="832"/>
      <c r="EH10" s="832"/>
      <c r="EI10" s="832"/>
      <c r="EJ10" s="832"/>
      <c r="EK10" s="832"/>
      <c r="EL10" s="832"/>
      <c r="EM10" s="832"/>
      <c r="EN10" s="832"/>
      <c r="EO10" s="832"/>
      <c r="EP10" s="832"/>
      <c r="EQ10" s="832"/>
      <c r="ER10" s="832"/>
      <c r="ES10" s="832"/>
      <c r="ET10" s="832"/>
      <c r="EU10" s="832"/>
      <c r="EV10" s="832"/>
      <c r="EW10" s="832"/>
      <c r="EX10" s="832"/>
      <c r="EY10" s="832"/>
      <c r="EZ10" s="832"/>
      <c r="FA10" s="832"/>
      <c r="FB10" s="832"/>
      <c r="FC10" s="832"/>
      <c r="FD10" s="832"/>
      <c r="FE10" s="832"/>
      <c r="FF10" s="832"/>
      <c r="FG10" s="832"/>
      <c r="FH10" s="832"/>
      <c r="FI10" s="832"/>
      <c r="FJ10" s="832"/>
      <c r="FK10" s="832"/>
      <c r="FL10" s="832"/>
      <c r="FM10" s="832"/>
      <c r="FN10" s="832"/>
      <c r="FO10" s="832"/>
      <c r="FP10" s="832"/>
      <c r="FQ10" s="832"/>
      <c r="FR10" s="832"/>
      <c r="FS10" s="832"/>
      <c r="FT10" s="832"/>
      <c r="FU10" s="832"/>
      <c r="FV10" s="832"/>
      <c r="FW10" s="832"/>
      <c r="FX10" s="832"/>
      <c r="FY10" s="832"/>
      <c r="FZ10" s="832"/>
      <c r="GA10" s="832"/>
      <c r="GB10" s="832"/>
      <c r="GC10" s="832"/>
      <c r="GD10" s="832"/>
      <c r="GE10" s="832"/>
      <c r="GF10" s="832"/>
      <c r="GG10" s="832"/>
      <c r="GH10" s="832"/>
      <c r="GI10" s="832"/>
      <c r="GJ10" s="832"/>
      <c r="GK10" s="832"/>
      <c r="GL10" s="832"/>
      <c r="GM10" s="832"/>
      <c r="GN10" s="832"/>
      <c r="GO10" s="832"/>
      <c r="GP10" s="832"/>
      <c r="GQ10" s="832"/>
      <c r="GR10" s="832"/>
      <c r="GS10" s="832"/>
      <c r="GT10" s="832"/>
      <c r="GU10" s="832"/>
      <c r="GV10" s="832"/>
      <c r="GW10" s="832"/>
      <c r="GX10" s="832"/>
      <c r="GY10" s="832"/>
      <c r="GZ10" s="832"/>
      <c r="HA10" s="832"/>
      <c r="HB10" s="832"/>
      <c r="HC10" s="832"/>
      <c r="HD10" s="832"/>
      <c r="HE10" s="832"/>
      <c r="HF10" s="832"/>
      <c r="HG10" s="832"/>
      <c r="HH10" s="832"/>
      <c r="HI10" s="832"/>
      <c r="HJ10" s="832"/>
      <c r="HK10" s="832"/>
      <c r="HL10" s="832"/>
      <c r="HM10" s="832"/>
      <c r="HN10" s="832"/>
      <c r="HO10" s="832"/>
      <c r="HP10" s="832"/>
      <c r="HQ10" s="832"/>
      <c r="HR10" s="832"/>
      <c r="HS10" s="832"/>
      <c r="HT10" s="832"/>
      <c r="HU10" s="832"/>
      <c r="HV10" s="832"/>
      <c r="HW10" s="832"/>
      <c r="HX10" s="832"/>
      <c r="HY10" s="832"/>
      <c r="HZ10" s="832"/>
      <c r="IA10" s="832"/>
      <c r="IB10" s="832"/>
      <c r="IC10" s="832"/>
      <c r="ID10" s="832"/>
      <c r="IE10" s="832"/>
      <c r="IF10" s="832"/>
      <c r="IG10" s="832"/>
      <c r="IH10" s="832"/>
      <c r="II10" s="832"/>
      <c r="IJ10" s="832"/>
      <c r="IK10" s="832"/>
      <c r="IL10" s="832"/>
      <c r="IM10" s="832"/>
      <c r="IN10" s="832"/>
      <c r="IO10" s="832"/>
      <c r="IP10" s="832"/>
      <c r="IQ10" s="832"/>
      <c r="IR10" s="832"/>
      <c r="IS10" s="832"/>
      <c r="IT10" s="832"/>
      <c r="IU10" s="832"/>
      <c r="IV10" s="832"/>
      <c r="IW10" s="832"/>
    </row>
    <row r="11" customFormat="false" ht="11.25" hidden="false" customHeight="true" outlineLevel="0" collapsed="false">
      <c r="A11" s="410" t="s">
        <v>678</v>
      </c>
      <c r="B11" s="385"/>
      <c r="C11" s="957"/>
      <c r="D11" s="746" t="n">
        <f aca="false">'Book Income Statement'!D33</f>
        <v>2365.3332</v>
      </c>
      <c r="E11" s="746" t="n">
        <f aca="false">'Book Income Statement'!E33</f>
        <v>2436.293196</v>
      </c>
      <c r="F11" s="746" t="n">
        <f aca="false">'Book Income Statement'!F33</f>
        <v>2509.38199188</v>
      </c>
      <c r="G11" s="746" t="n">
        <f aca="false">'Book Income Statement'!G33</f>
        <v>2584.6634516364</v>
      </c>
      <c r="H11" s="746" t="n">
        <f aca="false">'Book Income Statement'!H33</f>
        <v>2662.20335518549</v>
      </c>
      <c r="I11" s="746" t="n">
        <f aca="false">'Book Income Statement'!I33</f>
        <v>2742.06945584106</v>
      </c>
      <c r="J11" s="746" t="n">
        <f aca="false">'Book Income Statement'!J33</f>
        <v>2824.33153951629</v>
      </c>
      <c r="K11" s="746" t="n">
        <f aca="false">'Book Income Statement'!K33</f>
        <v>2909.06148570178</v>
      </c>
      <c r="L11" s="746" t="n">
        <f aca="false">'Book Income Statement'!L33</f>
        <v>2996.33333027283</v>
      </c>
      <c r="M11" s="746" t="n">
        <f aca="false">'Book Income Statement'!M33</f>
        <v>3086.22333018102</v>
      </c>
      <c r="N11" s="746" t="n">
        <f aca="false">'Book Income Statement'!N33</f>
        <v>3178.81003008645</v>
      </c>
      <c r="O11" s="746" t="n">
        <f aca="false">'Book Income Statement'!O33</f>
        <v>3274.17433098904</v>
      </c>
      <c r="P11" s="746" t="n">
        <f aca="false">'Book Income Statement'!P33</f>
        <v>3372.39956091871</v>
      </c>
      <c r="Q11" s="746" t="n">
        <f aca="false">'Book Income Statement'!Q33</f>
        <v>3473.57154774627</v>
      </c>
      <c r="R11" s="746" t="n">
        <f aca="false">'Book Income Statement'!R33</f>
        <v>3577.77869417866</v>
      </c>
      <c r="S11" s="746" t="n">
        <f aca="false">'Book Income Statement'!S33</f>
        <v>3685.11205500402</v>
      </c>
      <c r="T11" s="746" t="n">
        <f aca="false">'Book Income Statement'!T33</f>
        <v>3795.66541665414</v>
      </c>
      <c r="U11" s="746" t="n">
        <f aca="false">'Book Income Statement'!U33</f>
        <v>3909.53537915377</v>
      </c>
      <c r="V11" s="746" t="n">
        <f aca="false">'Book Income Statement'!V33</f>
        <v>4026.82144052838</v>
      </c>
      <c r="W11" s="746" t="n">
        <f aca="false">'Book Income Statement'!W33</f>
        <v>4147.62608374423</v>
      </c>
      <c r="X11" s="746" t="n">
        <f aca="false">'Book Income Statement'!X33</f>
        <v>4272.05486625656</v>
      </c>
      <c r="Y11" s="746" t="n">
        <f aca="false">'Book Income Statement'!Y33</f>
        <v>0</v>
      </c>
      <c r="Z11" s="746" t="n">
        <f aca="false">'Book Income Statement'!Z33</f>
        <v>0</v>
      </c>
      <c r="AA11" s="746" t="n">
        <f aca="false">'Book Income Statement'!AA33</f>
        <v>0</v>
      </c>
      <c r="AB11" s="805" t="n">
        <f aca="false">'Book Income Statement'!AB33</f>
        <v>0</v>
      </c>
      <c r="AC11" s="1"/>
      <c r="AD11" s="1"/>
      <c r="AE11" s="1"/>
      <c r="AF11" s="1"/>
      <c r="AG11" s="832"/>
      <c r="AH11" s="832"/>
      <c r="AI11" s="832"/>
      <c r="AJ11" s="832"/>
      <c r="AK11" s="832"/>
      <c r="AL11" s="832"/>
      <c r="AM11" s="832"/>
      <c r="AN11" s="832"/>
      <c r="AO11" s="832"/>
      <c r="AP11" s="832"/>
      <c r="AQ11" s="832"/>
      <c r="AR11" s="832"/>
      <c r="AS11" s="832"/>
      <c r="AT11" s="832"/>
      <c r="AU11" s="832"/>
      <c r="AV11" s="832"/>
      <c r="AW11" s="832"/>
      <c r="AX11" s="832"/>
      <c r="AY11" s="832"/>
      <c r="AZ11" s="832"/>
      <c r="BA11" s="832"/>
      <c r="BB11" s="832"/>
      <c r="BC11" s="832"/>
      <c r="BD11" s="832"/>
      <c r="BE11" s="832"/>
      <c r="BF11" s="832"/>
      <c r="BG11" s="832"/>
      <c r="BH11" s="832"/>
      <c r="BI11" s="832"/>
      <c r="BJ11" s="832"/>
      <c r="BK11" s="832"/>
      <c r="BL11" s="832"/>
      <c r="BM11" s="832"/>
      <c r="BN11" s="832"/>
      <c r="BO11" s="832"/>
      <c r="BP11" s="832"/>
      <c r="BQ11" s="832"/>
      <c r="BR11" s="832"/>
      <c r="BS11" s="832"/>
      <c r="BT11" s="832"/>
      <c r="BU11" s="832"/>
      <c r="BV11" s="832"/>
      <c r="BW11" s="832"/>
      <c r="BX11" s="832"/>
      <c r="BY11" s="832"/>
      <c r="BZ11" s="832"/>
      <c r="CA11" s="832"/>
      <c r="CB11" s="832"/>
      <c r="CC11" s="832"/>
      <c r="CD11" s="832"/>
      <c r="CE11" s="832"/>
      <c r="CF11" s="832"/>
      <c r="CG11" s="832"/>
      <c r="CH11" s="832"/>
      <c r="CI11" s="832"/>
      <c r="CJ11" s="832"/>
      <c r="CK11" s="832"/>
      <c r="CL11" s="832"/>
      <c r="CM11" s="832"/>
      <c r="CN11" s="832"/>
      <c r="CO11" s="832"/>
      <c r="CP11" s="832"/>
      <c r="CQ11" s="832"/>
      <c r="CR11" s="832"/>
      <c r="CS11" s="832"/>
      <c r="CT11" s="832"/>
      <c r="CU11" s="832"/>
      <c r="CV11" s="832"/>
      <c r="CW11" s="832"/>
      <c r="CX11" s="832"/>
      <c r="CY11" s="832"/>
      <c r="CZ11" s="832"/>
      <c r="DA11" s="832"/>
      <c r="DB11" s="832"/>
      <c r="DC11" s="832"/>
      <c r="DD11" s="832"/>
      <c r="DE11" s="832"/>
      <c r="DF11" s="832"/>
      <c r="DG11" s="832"/>
      <c r="DH11" s="832"/>
      <c r="DI11" s="832"/>
      <c r="DJ11" s="832"/>
      <c r="DK11" s="832"/>
      <c r="DL11" s="832"/>
      <c r="DM11" s="832"/>
      <c r="DN11" s="832"/>
      <c r="DO11" s="832"/>
      <c r="DP11" s="832"/>
      <c r="DQ11" s="832"/>
      <c r="DR11" s="832"/>
      <c r="DS11" s="832"/>
      <c r="DT11" s="832"/>
      <c r="DU11" s="832"/>
      <c r="DV11" s="832"/>
      <c r="DW11" s="832"/>
      <c r="DX11" s="832"/>
      <c r="DY11" s="832"/>
      <c r="DZ11" s="832"/>
      <c r="EA11" s="832"/>
      <c r="EB11" s="832"/>
      <c r="EC11" s="832"/>
      <c r="ED11" s="832"/>
      <c r="EE11" s="832"/>
      <c r="EF11" s="832"/>
      <c r="EG11" s="832"/>
      <c r="EH11" s="832"/>
      <c r="EI11" s="832"/>
      <c r="EJ11" s="832"/>
      <c r="EK11" s="832"/>
      <c r="EL11" s="832"/>
      <c r="EM11" s="832"/>
      <c r="EN11" s="832"/>
      <c r="EO11" s="832"/>
      <c r="EP11" s="832"/>
      <c r="EQ11" s="832"/>
      <c r="ER11" s="832"/>
      <c r="ES11" s="832"/>
      <c r="ET11" s="832"/>
      <c r="EU11" s="832"/>
      <c r="EV11" s="832"/>
      <c r="EW11" s="832"/>
      <c r="EX11" s="832"/>
      <c r="EY11" s="832"/>
      <c r="EZ11" s="832"/>
      <c r="FA11" s="832"/>
      <c r="FB11" s="832"/>
      <c r="FC11" s="832"/>
      <c r="FD11" s="832"/>
      <c r="FE11" s="832"/>
      <c r="FF11" s="832"/>
      <c r="FG11" s="832"/>
      <c r="FH11" s="832"/>
      <c r="FI11" s="832"/>
      <c r="FJ11" s="832"/>
      <c r="FK11" s="832"/>
      <c r="FL11" s="832"/>
      <c r="FM11" s="832"/>
      <c r="FN11" s="832"/>
      <c r="FO11" s="832"/>
      <c r="FP11" s="832"/>
      <c r="FQ11" s="832"/>
      <c r="FR11" s="832"/>
      <c r="FS11" s="832"/>
      <c r="FT11" s="832"/>
      <c r="FU11" s="832"/>
      <c r="FV11" s="832"/>
      <c r="FW11" s="832"/>
      <c r="FX11" s="832"/>
      <c r="FY11" s="832"/>
      <c r="FZ11" s="832"/>
      <c r="GA11" s="832"/>
      <c r="GB11" s="832"/>
      <c r="GC11" s="832"/>
      <c r="GD11" s="832"/>
      <c r="GE11" s="832"/>
      <c r="GF11" s="832"/>
      <c r="GG11" s="832"/>
      <c r="GH11" s="832"/>
      <c r="GI11" s="832"/>
      <c r="GJ11" s="832"/>
      <c r="GK11" s="832"/>
      <c r="GL11" s="832"/>
      <c r="GM11" s="832"/>
      <c r="GN11" s="832"/>
      <c r="GO11" s="832"/>
      <c r="GP11" s="832"/>
      <c r="GQ11" s="832"/>
      <c r="GR11" s="832"/>
      <c r="GS11" s="832"/>
      <c r="GT11" s="832"/>
      <c r="GU11" s="832"/>
      <c r="GV11" s="832"/>
      <c r="GW11" s="832"/>
      <c r="GX11" s="832"/>
      <c r="GY11" s="832"/>
      <c r="GZ11" s="832"/>
      <c r="HA11" s="832"/>
      <c r="HB11" s="832"/>
      <c r="HC11" s="832"/>
      <c r="HD11" s="832"/>
      <c r="HE11" s="832"/>
      <c r="HF11" s="832"/>
      <c r="HG11" s="832"/>
      <c r="HH11" s="832"/>
      <c r="HI11" s="832"/>
      <c r="HJ11" s="832"/>
      <c r="HK11" s="832"/>
      <c r="HL11" s="832"/>
      <c r="HM11" s="832"/>
      <c r="HN11" s="832"/>
      <c r="HO11" s="832"/>
      <c r="HP11" s="832"/>
      <c r="HQ11" s="832"/>
      <c r="HR11" s="832"/>
      <c r="HS11" s="832"/>
      <c r="HT11" s="832"/>
      <c r="HU11" s="832"/>
      <c r="HV11" s="832"/>
      <c r="HW11" s="832"/>
      <c r="HX11" s="832"/>
      <c r="HY11" s="832"/>
      <c r="HZ11" s="832"/>
      <c r="IA11" s="832"/>
      <c r="IB11" s="832"/>
      <c r="IC11" s="832"/>
      <c r="ID11" s="832"/>
      <c r="IE11" s="832"/>
      <c r="IF11" s="832"/>
      <c r="IG11" s="832"/>
      <c r="IH11" s="832"/>
      <c r="II11" s="832"/>
      <c r="IJ11" s="832"/>
      <c r="IK11" s="832"/>
      <c r="IL11" s="832"/>
      <c r="IM11" s="832"/>
      <c r="IN11" s="832"/>
      <c r="IO11" s="832"/>
      <c r="IP11" s="832"/>
      <c r="IQ11" s="832"/>
      <c r="IR11" s="832"/>
      <c r="IS11" s="832"/>
      <c r="IT11" s="832"/>
      <c r="IU11" s="832"/>
      <c r="IV11" s="832"/>
      <c r="IW11" s="832"/>
    </row>
    <row r="12" customFormat="false" ht="11.25" hidden="false" customHeight="true" outlineLevel="0" collapsed="false">
      <c r="A12" s="410" t="s">
        <v>679</v>
      </c>
      <c r="B12" s="385"/>
      <c r="C12" s="957"/>
      <c r="D12" s="746" t="n">
        <v>0</v>
      </c>
      <c r="E12" s="746" t="n">
        <v>0</v>
      </c>
      <c r="F12" s="746" t="n">
        <v>0</v>
      </c>
      <c r="G12" s="746" t="n">
        <f aca="false">786.69013987284*3</f>
        <v>2360.07041961852</v>
      </c>
      <c r="H12" s="746" t="n">
        <v>0</v>
      </c>
      <c r="I12" s="746" t="n">
        <v>0</v>
      </c>
      <c r="J12" s="746" t="n">
        <f aca="false">2640.60560225593*3</f>
        <v>7921.81680676779</v>
      </c>
      <c r="K12" s="746" t="n">
        <v>0</v>
      </c>
      <c r="L12" s="746" t="n">
        <v>0</v>
      </c>
      <c r="M12" s="746" t="n">
        <f aca="false">2389.54245479454*3</f>
        <v>7168.62736438362</v>
      </c>
      <c r="N12" s="746" t="n">
        <v>0</v>
      </c>
      <c r="O12" s="746" t="n">
        <v>0</v>
      </c>
      <c r="P12" s="746" t="n">
        <v>0</v>
      </c>
      <c r="Q12" s="746" t="n">
        <f aca="false">10173.3245433799*3</f>
        <v>30519.9736301397</v>
      </c>
      <c r="R12" s="746" t="n">
        <v>0</v>
      </c>
      <c r="S12" s="746" t="n">
        <v>0</v>
      </c>
      <c r="T12" s="746" t="n">
        <f aca="false">1155.28099244319*3</f>
        <v>3465.84297732957</v>
      </c>
      <c r="U12" s="746" t="n">
        <v>0</v>
      </c>
      <c r="V12" s="746" t="n">
        <v>0</v>
      </c>
      <c r="W12" s="746" t="n">
        <f aca="false">10953.7287015803*3</f>
        <v>32861.1861047409</v>
      </c>
      <c r="X12" s="746"/>
      <c r="Y12" s="746"/>
      <c r="Z12" s="746"/>
      <c r="AA12" s="746"/>
      <c r="AB12" s="805"/>
      <c r="AC12" s="1"/>
      <c r="AD12" s="1"/>
      <c r="AE12" s="1"/>
      <c r="AF12" s="1"/>
      <c r="AG12" s="832"/>
      <c r="AH12" s="832"/>
      <c r="AI12" s="832"/>
      <c r="AJ12" s="832"/>
      <c r="AK12" s="832"/>
      <c r="AL12" s="832"/>
      <c r="AM12" s="832"/>
      <c r="AN12" s="832"/>
      <c r="AO12" s="832"/>
      <c r="AP12" s="832"/>
      <c r="AQ12" s="832"/>
      <c r="AR12" s="832"/>
      <c r="AS12" s="832"/>
      <c r="AT12" s="832"/>
      <c r="AU12" s="832"/>
      <c r="AV12" s="832"/>
      <c r="AW12" s="832"/>
      <c r="AX12" s="832"/>
      <c r="AY12" s="832"/>
      <c r="AZ12" s="832"/>
      <c r="BA12" s="832"/>
      <c r="BB12" s="832"/>
      <c r="BC12" s="832"/>
      <c r="BD12" s="832"/>
      <c r="BE12" s="832"/>
      <c r="BF12" s="832"/>
      <c r="BG12" s="832"/>
      <c r="BH12" s="832"/>
      <c r="BI12" s="832"/>
      <c r="BJ12" s="832"/>
      <c r="BK12" s="832"/>
      <c r="BL12" s="832"/>
      <c r="BM12" s="832"/>
      <c r="BN12" s="832"/>
      <c r="BO12" s="832"/>
      <c r="BP12" s="832"/>
      <c r="BQ12" s="832"/>
      <c r="BR12" s="832"/>
      <c r="BS12" s="832"/>
      <c r="BT12" s="832"/>
      <c r="BU12" s="832"/>
      <c r="BV12" s="832"/>
      <c r="BW12" s="832"/>
      <c r="BX12" s="832"/>
      <c r="BY12" s="832"/>
      <c r="BZ12" s="832"/>
      <c r="CA12" s="832"/>
      <c r="CB12" s="832"/>
      <c r="CC12" s="832"/>
      <c r="CD12" s="832"/>
      <c r="CE12" s="832"/>
      <c r="CF12" s="832"/>
      <c r="CG12" s="832"/>
      <c r="CH12" s="832"/>
      <c r="CI12" s="832"/>
      <c r="CJ12" s="832"/>
      <c r="CK12" s="832"/>
      <c r="CL12" s="832"/>
      <c r="CM12" s="832"/>
      <c r="CN12" s="832"/>
      <c r="CO12" s="832"/>
      <c r="CP12" s="832"/>
      <c r="CQ12" s="832"/>
      <c r="CR12" s="832"/>
      <c r="CS12" s="832"/>
      <c r="CT12" s="832"/>
      <c r="CU12" s="832"/>
      <c r="CV12" s="832"/>
      <c r="CW12" s="832"/>
      <c r="CX12" s="832"/>
      <c r="CY12" s="832"/>
      <c r="CZ12" s="832"/>
      <c r="DA12" s="832"/>
      <c r="DB12" s="832"/>
      <c r="DC12" s="832"/>
      <c r="DD12" s="832"/>
      <c r="DE12" s="832"/>
      <c r="DF12" s="832"/>
      <c r="DG12" s="832"/>
      <c r="DH12" s="832"/>
      <c r="DI12" s="832"/>
      <c r="DJ12" s="832"/>
      <c r="DK12" s="832"/>
      <c r="DL12" s="832"/>
      <c r="DM12" s="832"/>
      <c r="DN12" s="832"/>
      <c r="DO12" s="832"/>
      <c r="DP12" s="832"/>
      <c r="DQ12" s="832"/>
      <c r="DR12" s="832"/>
      <c r="DS12" s="832"/>
      <c r="DT12" s="832"/>
      <c r="DU12" s="832"/>
      <c r="DV12" s="832"/>
      <c r="DW12" s="832"/>
      <c r="DX12" s="832"/>
      <c r="DY12" s="832"/>
      <c r="DZ12" s="832"/>
      <c r="EA12" s="832"/>
      <c r="EB12" s="832"/>
      <c r="EC12" s="832"/>
      <c r="ED12" s="832"/>
      <c r="EE12" s="832"/>
      <c r="EF12" s="832"/>
      <c r="EG12" s="832"/>
      <c r="EH12" s="832"/>
      <c r="EI12" s="832"/>
      <c r="EJ12" s="832"/>
      <c r="EK12" s="832"/>
      <c r="EL12" s="832"/>
      <c r="EM12" s="832"/>
      <c r="EN12" s="832"/>
      <c r="EO12" s="832"/>
      <c r="EP12" s="832"/>
      <c r="EQ12" s="832"/>
      <c r="ER12" s="832"/>
      <c r="ES12" s="832"/>
      <c r="ET12" s="832"/>
      <c r="EU12" s="832"/>
      <c r="EV12" s="832"/>
      <c r="EW12" s="832"/>
      <c r="EX12" s="832"/>
      <c r="EY12" s="832"/>
      <c r="EZ12" s="832"/>
      <c r="FA12" s="832"/>
      <c r="FB12" s="832"/>
      <c r="FC12" s="832"/>
      <c r="FD12" s="832"/>
      <c r="FE12" s="832"/>
      <c r="FF12" s="832"/>
      <c r="FG12" s="832"/>
      <c r="FH12" s="832"/>
      <c r="FI12" s="832"/>
      <c r="FJ12" s="832"/>
      <c r="FK12" s="832"/>
      <c r="FL12" s="832"/>
      <c r="FM12" s="832"/>
      <c r="FN12" s="832"/>
      <c r="FO12" s="832"/>
      <c r="FP12" s="832"/>
      <c r="FQ12" s="832"/>
      <c r="FR12" s="832"/>
      <c r="FS12" s="832"/>
      <c r="FT12" s="832"/>
      <c r="FU12" s="832"/>
      <c r="FV12" s="832"/>
      <c r="FW12" s="832"/>
      <c r="FX12" s="832"/>
      <c r="FY12" s="832"/>
      <c r="FZ12" s="832"/>
      <c r="GA12" s="832"/>
      <c r="GB12" s="832"/>
      <c r="GC12" s="832"/>
      <c r="GD12" s="832"/>
      <c r="GE12" s="832"/>
      <c r="GF12" s="832"/>
      <c r="GG12" s="832"/>
      <c r="GH12" s="832"/>
      <c r="GI12" s="832"/>
      <c r="GJ12" s="832"/>
      <c r="GK12" s="832"/>
      <c r="GL12" s="832"/>
      <c r="GM12" s="832"/>
      <c r="GN12" s="832"/>
      <c r="GO12" s="832"/>
      <c r="GP12" s="832"/>
      <c r="GQ12" s="832"/>
      <c r="GR12" s="832"/>
      <c r="GS12" s="832"/>
      <c r="GT12" s="832"/>
      <c r="GU12" s="832"/>
      <c r="GV12" s="832"/>
      <c r="GW12" s="832"/>
      <c r="GX12" s="832"/>
      <c r="GY12" s="832"/>
      <c r="GZ12" s="832"/>
      <c r="HA12" s="832"/>
      <c r="HB12" s="832"/>
      <c r="HC12" s="832"/>
      <c r="HD12" s="832"/>
      <c r="HE12" s="832"/>
      <c r="HF12" s="832"/>
      <c r="HG12" s="832"/>
      <c r="HH12" s="832"/>
      <c r="HI12" s="832"/>
      <c r="HJ12" s="832"/>
      <c r="HK12" s="832"/>
      <c r="HL12" s="832"/>
      <c r="HM12" s="832"/>
      <c r="HN12" s="832"/>
      <c r="HO12" s="832"/>
      <c r="HP12" s="832"/>
      <c r="HQ12" s="832"/>
      <c r="HR12" s="832"/>
      <c r="HS12" s="832"/>
      <c r="HT12" s="832"/>
      <c r="HU12" s="832"/>
      <c r="HV12" s="832"/>
      <c r="HW12" s="832"/>
      <c r="HX12" s="832"/>
      <c r="HY12" s="832"/>
      <c r="HZ12" s="832"/>
      <c r="IA12" s="832"/>
      <c r="IB12" s="832"/>
      <c r="IC12" s="832"/>
      <c r="ID12" s="832"/>
      <c r="IE12" s="832"/>
      <c r="IF12" s="832"/>
      <c r="IG12" s="832"/>
      <c r="IH12" s="832"/>
      <c r="II12" s="832"/>
      <c r="IJ12" s="832"/>
      <c r="IK12" s="832"/>
      <c r="IL12" s="832"/>
      <c r="IM12" s="832"/>
      <c r="IN12" s="832"/>
      <c r="IO12" s="832"/>
      <c r="IP12" s="832"/>
      <c r="IQ12" s="832"/>
      <c r="IR12" s="832"/>
      <c r="IS12" s="832"/>
      <c r="IT12" s="832"/>
      <c r="IU12" s="832"/>
      <c r="IV12" s="832"/>
      <c r="IW12" s="832"/>
    </row>
    <row r="13" customFormat="false" ht="11.25" hidden="false" customHeight="true" outlineLevel="0" collapsed="false">
      <c r="A13" s="410" t="s">
        <v>680</v>
      </c>
      <c r="B13" s="385"/>
      <c r="C13" s="957"/>
      <c r="D13" s="746" t="n">
        <f aca="false">D11</f>
        <v>2365.3332</v>
      </c>
      <c r="E13" s="746" t="n">
        <f aca="false">D13+E11-E12</f>
        <v>4801.626396</v>
      </c>
      <c r="F13" s="746" t="n">
        <f aca="false">E13+F11-F12</f>
        <v>7311.00838788</v>
      </c>
      <c r="G13" s="746" t="n">
        <f aca="false">F13+G11-G12</f>
        <v>7535.60141989788</v>
      </c>
      <c r="H13" s="746" t="n">
        <f aca="false">G13+H11-H12</f>
        <v>10197.8047750834</v>
      </c>
      <c r="I13" s="746" t="n">
        <f aca="false">H13+I11-I12</f>
        <v>12939.8742309244</v>
      </c>
      <c r="J13" s="746" t="n">
        <f aca="false">I13+J11-J12</f>
        <v>7842.38896367293</v>
      </c>
      <c r="K13" s="746" t="n">
        <f aca="false">J13+K11-K12</f>
        <v>10751.4504493747</v>
      </c>
      <c r="L13" s="746" t="n">
        <f aca="false">K13+L11-L12</f>
        <v>13747.7837796475</v>
      </c>
      <c r="M13" s="746" t="n">
        <f aca="false">L13+M11-M12</f>
        <v>9665.37974544494</v>
      </c>
      <c r="N13" s="746" t="n">
        <f aca="false">M13+N11-N12</f>
        <v>12844.1897755314</v>
      </c>
      <c r="O13" s="746" t="n">
        <f aca="false">N13+O11-O12</f>
        <v>16118.3641065204</v>
      </c>
      <c r="P13" s="746" t="n">
        <f aca="false">O13+P11-P12</f>
        <v>19490.7636674391</v>
      </c>
      <c r="Q13" s="746" t="n">
        <f aca="false">P13+Q11-Q12</f>
        <v>-7555.63841495429</v>
      </c>
      <c r="R13" s="746" t="n">
        <f aca="false">Q13+R11-R12</f>
        <v>-3977.85972077563</v>
      </c>
      <c r="S13" s="746" t="n">
        <f aca="false">R13+S11-S12</f>
        <v>-292.747665771612</v>
      </c>
      <c r="T13" s="746" t="n">
        <f aca="false">S13+T11-T12</f>
        <v>37.0747735529599</v>
      </c>
      <c r="U13" s="746" t="n">
        <f aca="false">T13+U11-U12</f>
        <v>3946.61015270673</v>
      </c>
      <c r="V13" s="746" t="n">
        <f aca="false">U13+V11-V12</f>
        <v>7973.43159323511</v>
      </c>
      <c r="W13" s="746" t="n">
        <f aca="false">V13+W11-W12</f>
        <v>-20740.1284277616</v>
      </c>
      <c r="X13" s="746" t="n">
        <f aca="false">W13+X11-X12</f>
        <v>-16468.073561505</v>
      </c>
      <c r="Y13" s="746" t="n">
        <f aca="false">X13+Y11-Y12</f>
        <v>-16468.073561505</v>
      </c>
      <c r="Z13" s="746" t="n">
        <f aca="false">Y13+Z11-Z12</f>
        <v>-16468.073561505</v>
      </c>
      <c r="AA13" s="746" t="n">
        <f aca="false">Z13+AA11-AA12</f>
        <v>-16468.073561505</v>
      </c>
      <c r="AB13" s="805" t="n">
        <f aca="false">AA13+AB11-AB12</f>
        <v>-16468.073561505</v>
      </c>
      <c r="AC13" s="1"/>
      <c r="AD13" s="1"/>
      <c r="AE13" s="1"/>
      <c r="AF13" s="1"/>
      <c r="AG13" s="832"/>
      <c r="AH13" s="832"/>
      <c r="AI13" s="832"/>
      <c r="AJ13" s="832"/>
      <c r="AK13" s="832"/>
      <c r="AL13" s="832"/>
      <c r="AM13" s="832"/>
      <c r="AN13" s="832"/>
      <c r="AO13" s="832"/>
      <c r="AP13" s="832"/>
      <c r="AQ13" s="832"/>
      <c r="AR13" s="832"/>
      <c r="AS13" s="832"/>
      <c r="AT13" s="832"/>
      <c r="AU13" s="832"/>
      <c r="AV13" s="832"/>
      <c r="AW13" s="832"/>
      <c r="AX13" s="832"/>
      <c r="AY13" s="832"/>
      <c r="AZ13" s="832"/>
      <c r="BA13" s="832"/>
      <c r="BB13" s="832"/>
      <c r="BC13" s="832"/>
      <c r="BD13" s="832"/>
      <c r="BE13" s="832"/>
      <c r="BF13" s="832"/>
      <c r="BG13" s="832"/>
      <c r="BH13" s="832"/>
      <c r="BI13" s="832"/>
      <c r="BJ13" s="832"/>
      <c r="BK13" s="832"/>
      <c r="BL13" s="832"/>
      <c r="BM13" s="832"/>
      <c r="BN13" s="832"/>
      <c r="BO13" s="832"/>
      <c r="BP13" s="832"/>
      <c r="BQ13" s="832"/>
      <c r="BR13" s="832"/>
      <c r="BS13" s="832"/>
      <c r="BT13" s="832"/>
      <c r="BU13" s="832"/>
      <c r="BV13" s="832"/>
      <c r="BW13" s="832"/>
      <c r="BX13" s="832"/>
      <c r="BY13" s="832"/>
      <c r="BZ13" s="832"/>
      <c r="CA13" s="832"/>
      <c r="CB13" s="832"/>
      <c r="CC13" s="832"/>
      <c r="CD13" s="832"/>
      <c r="CE13" s="832"/>
      <c r="CF13" s="832"/>
      <c r="CG13" s="832"/>
      <c r="CH13" s="832"/>
      <c r="CI13" s="832"/>
      <c r="CJ13" s="832"/>
      <c r="CK13" s="832"/>
      <c r="CL13" s="832"/>
      <c r="CM13" s="832"/>
      <c r="CN13" s="832"/>
      <c r="CO13" s="832"/>
      <c r="CP13" s="832"/>
      <c r="CQ13" s="832"/>
      <c r="CR13" s="832"/>
      <c r="CS13" s="832"/>
      <c r="CT13" s="832"/>
      <c r="CU13" s="832"/>
      <c r="CV13" s="832"/>
      <c r="CW13" s="832"/>
      <c r="CX13" s="832"/>
      <c r="CY13" s="832"/>
      <c r="CZ13" s="832"/>
      <c r="DA13" s="832"/>
      <c r="DB13" s="832"/>
      <c r="DC13" s="832"/>
      <c r="DD13" s="832"/>
      <c r="DE13" s="832"/>
      <c r="DF13" s="832"/>
      <c r="DG13" s="832"/>
      <c r="DH13" s="832"/>
      <c r="DI13" s="832"/>
      <c r="DJ13" s="832"/>
      <c r="DK13" s="832"/>
      <c r="DL13" s="832"/>
      <c r="DM13" s="832"/>
      <c r="DN13" s="832"/>
      <c r="DO13" s="832"/>
      <c r="DP13" s="832"/>
      <c r="DQ13" s="832"/>
      <c r="DR13" s="832"/>
      <c r="DS13" s="832"/>
      <c r="DT13" s="832"/>
      <c r="DU13" s="832"/>
      <c r="DV13" s="832"/>
      <c r="DW13" s="832"/>
      <c r="DX13" s="832"/>
      <c r="DY13" s="832"/>
      <c r="DZ13" s="832"/>
      <c r="EA13" s="832"/>
      <c r="EB13" s="832"/>
      <c r="EC13" s="832"/>
      <c r="ED13" s="832"/>
      <c r="EE13" s="832"/>
      <c r="EF13" s="832"/>
      <c r="EG13" s="832"/>
      <c r="EH13" s="832"/>
      <c r="EI13" s="832"/>
      <c r="EJ13" s="832"/>
      <c r="EK13" s="832"/>
      <c r="EL13" s="832"/>
      <c r="EM13" s="832"/>
      <c r="EN13" s="832"/>
      <c r="EO13" s="832"/>
      <c r="EP13" s="832"/>
      <c r="EQ13" s="832"/>
      <c r="ER13" s="832"/>
      <c r="ES13" s="832"/>
      <c r="ET13" s="832"/>
      <c r="EU13" s="832"/>
      <c r="EV13" s="832"/>
      <c r="EW13" s="832"/>
      <c r="EX13" s="832"/>
      <c r="EY13" s="832"/>
      <c r="EZ13" s="832"/>
      <c r="FA13" s="832"/>
      <c r="FB13" s="832"/>
      <c r="FC13" s="832"/>
      <c r="FD13" s="832"/>
      <c r="FE13" s="832"/>
      <c r="FF13" s="832"/>
      <c r="FG13" s="832"/>
      <c r="FH13" s="832"/>
      <c r="FI13" s="832"/>
      <c r="FJ13" s="832"/>
      <c r="FK13" s="832"/>
      <c r="FL13" s="832"/>
      <c r="FM13" s="832"/>
      <c r="FN13" s="832"/>
      <c r="FO13" s="832"/>
      <c r="FP13" s="832"/>
      <c r="FQ13" s="832"/>
      <c r="FR13" s="832"/>
      <c r="FS13" s="832"/>
      <c r="FT13" s="832"/>
      <c r="FU13" s="832"/>
      <c r="FV13" s="832"/>
      <c r="FW13" s="832"/>
      <c r="FX13" s="832"/>
      <c r="FY13" s="832"/>
      <c r="FZ13" s="832"/>
      <c r="GA13" s="832"/>
      <c r="GB13" s="832"/>
      <c r="GC13" s="832"/>
      <c r="GD13" s="832"/>
      <c r="GE13" s="832"/>
      <c r="GF13" s="832"/>
      <c r="GG13" s="832"/>
      <c r="GH13" s="832"/>
      <c r="GI13" s="832"/>
      <c r="GJ13" s="832"/>
      <c r="GK13" s="832"/>
      <c r="GL13" s="832"/>
      <c r="GM13" s="832"/>
      <c r="GN13" s="832"/>
      <c r="GO13" s="832"/>
      <c r="GP13" s="832"/>
      <c r="GQ13" s="832"/>
      <c r="GR13" s="832"/>
      <c r="GS13" s="832"/>
      <c r="GT13" s="832"/>
      <c r="GU13" s="832"/>
      <c r="GV13" s="832"/>
      <c r="GW13" s="832"/>
      <c r="GX13" s="832"/>
      <c r="GY13" s="832"/>
      <c r="GZ13" s="832"/>
      <c r="HA13" s="832"/>
      <c r="HB13" s="832"/>
      <c r="HC13" s="832"/>
      <c r="HD13" s="832"/>
      <c r="HE13" s="832"/>
      <c r="HF13" s="832"/>
      <c r="HG13" s="832"/>
      <c r="HH13" s="832"/>
      <c r="HI13" s="832"/>
      <c r="HJ13" s="832"/>
      <c r="HK13" s="832"/>
      <c r="HL13" s="832"/>
      <c r="HM13" s="832"/>
      <c r="HN13" s="832"/>
      <c r="HO13" s="832"/>
      <c r="HP13" s="832"/>
      <c r="HQ13" s="832"/>
      <c r="HR13" s="832"/>
      <c r="HS13" s="832"/>
      <c r="HT13" s="832"/>
      <c r="HU13" s="832"/>
      <c r="HV13" s="832"/>
      <c r="HW13" s="832"/>
      <c r="HX13" s="832"/>
      <c r="HY13" s="832"/>
      <c r="HZ13" s="832"/>
      <c r="IA13" s="832"/>
      <c r="IB13" s="832"/>
      <c r="IC13" s="832"/>
      <c r="ID13" s="832"/>
      <c r="IE13" s="832"/>
      <c r="IF13" s="832"/>
      <c r="IG13" s="832"/>
      <c r="IH13" s="832"/>
      <c r="II13" s="832"/>
      <c r="IJ13" s="832"/>
      <c r="IK13" s="832"/>
      <c r="IL13" s="832"/>
      <c r="IM13" s="832"/>
      <c r="IN13" s="832"/>
      <c r="IO13" s="832"/>
      <c r="IP13" s="832"/>
      <c r="IQ13" s="832"/>
      <c r="IR13" s="832"/>
      <c r="IS13" s="832"/>
      <c r="IT13" s="832"/>
      <c r="IU13" s="832"/>
      <c r="IV13" s="832"/>
      <c r="IW13" s="832"/>
    </row>
    <row r="14" customFormat="false" ht="11.25" hidden="false" customHeight="false" outlineLevel="0" collapsed="false">
      <c r="A14" s="453" t="s">
        <v>681</v>
      </c>
      <c r="B14" s="474"/>
      <c r="C14" s="474"/>
      <c r="D14" s="749" t="n">
        <f aca="false">D13*'Project Assumptions'!$U$19*'PPA Assumptions &amp;Summary'!C5/12</f>
        <v>18.6145173967441</v>
      </c>
      <c r="E14" s="749" t="n">
        <f aca="false">E13*'Project Assumptions'!$U$19*'PPA Assumptions &amp;Summary'!D5/12</f>
        <v>64.7785205406696</v>
      </c>
      <c r="F14" s="749" t="n">
        <f aca="false">F13*'Project Assumptions'!$U$19*'PPA Assumptions &amp;Summary'!E5/12</f>
        <v>98.632477408451</v>
      </c>
      <c r="G14" s="749" t="n">
        <f aca="false">G13*'Project Assumptions'!$U$19*'PPA Assumptions &amp;Summary'!F5/12</f>
        <v>101.662451658422</v>
      </c>
      <c r="H14" s="749" t="n">
        <f aca="false">H13*'Project Assumptions'!$U$19*'PPA Assumptions &amp;Summary'!G5/12</f>
        <v>137.578114499452</v>
      </c>
      <c r="I14" s="749" t="n">
        <f aca="false">I13*'Project Assumptions'!$U$19*'PPA Assumptions &amp;Summary'!H5/12</f>
        <v>174.571247225712</v>
      </c>
      <c r="J14" s="749" t="n">
        <f aca="false">J13*'Project Assumptions'!$U$19*'PPA Assumptions &amp;Summary'!I5/12</f>
        <v>105.801308280547</v>
      </c>
      <c r="K14" s="749" t="n">
        <f aca="false">K13*'Project Assumptions'!$U$19*'PPA Assumptions &amp;Summary'!J5/12</f>
        <v>145.047322789836</v>
      </c>
      <c r="L14" s="749" t="n">
        <f aca="false">L13*'Project Assumptions'!$U$19*'PPA Assumptions &amp;Summary'!K5/12</f>
        <v>185.470717734405</v>
      </c>
      <c r="M14" s="749" t="n">
        <f aca="false">M13*'Project Assumptions'!$U$19*'PPA Assumptions &amp;Summary'!L5/12</f>
        <v>130.395192948635</v>
      </c>
      <c r="N14" s="749" t="n">
        <f aca="false">N13*'Project Assumptions'!$U$19*'PPA Assumptions &amp;Summary'!M5/12</f>
        <v>173.280372645327</v>
      </c>
      <c r="O14" s="749" t="n">
        <f aca="false">O13*'Project Assumptions'!$U$19*'PPA Assumptions &amp;Summary'!N5/12</f>
        <v>217.45210773292</v>
      </c>
      <c r="P14" s="749" t="n">
        <f aca="false">P13*'Project Assumptions'!$U$19*'PPA Assumptions &amp;Summary'!O5/12</f>
        <v>262.948994873141</v>
      </c>
      <c r="Q14" s="749" t="n">
        <f aca="false">Q13*'Project Assumptions'!$U$19*'PPA Assumptions &amp;Summary'!P5/12</f>
        <v>-101.932769835804</v>
      </c>
      <c r="R14" s="749" t="n">
        <f aca="false">R13*'Project Assumptions'!$U$19*'PPA Assumptions &amp;Summary'!Q5/12</f>
        <v>-53.6651222687436</v>
      </c>
      <c r="S14" s="749" t="n">
        <f aca="false">S13*'Project Assumptions'!$U$19*'PPA Assumptions &amp;Summary'!R5/12</f>
        <v>-3.94944527467135</v>
      </c>
      <c r="T14" s="749" t="n">
        <f aca="false">T13*'Project Assumptions'!$U$19*'PPA Assumptions &amp;Summary'!S5/12</f>
        <v>0.500174062301428</v>
      </c>
      <c r="U14" s="749" t="n">
        <f aca="false">U13*'Project Assumptions'!$U$19*'PPA Assumptions &amp;Summary'!T5/12</f>
        <v>53.2435357853126</v>
      </c>
      <c r="V14" s="749" t="n">
        <f aca="false">V13*'Project Assumptions'!$U$19*'PPA Assumptions &amp;Summary'!U5/12</f>
        <v>107.569198360014</v>
      </c>
      <c r="W14" s="749" t="n">
        <f aca="false">W13*'Project Assumptions'!$U$19*'PPA Assumptions &amp;Summary'!V5/12</f>
        <v>-279.804117307647</v>
      </c>
      <c r="X14" s="749" t="n">
        <f aca="false">X13*'Project Assumptions'!$U$19*'PPA Assumptions &amp;Summary'!W5/12</f>
        <v>-92.5708424508941</v>
      </c>
      <c r="Y14" s="749" t="n">
        <f aca="false">Y13*'Project Assumptions'!$U$19*'PPA Assumptions &amp;Summary'!X5/12</f>
        <v>-0</v>
      </c>
      <c r="Z14" s="749" t="n">
        <f aca="false">Z13*'Project Assumptions'!$U$19*'PPA Assumptions &amp;Summary'!Y5/12</f>
        <v>-0</v>
      </c>
      <c r="AA14" s="749" t="n">
        <f aca="false">AA13*'Project Assumptions'!$U$19*'PPA Assumptions &amp;Summary'!Z5/12</f>
        <v>-0</v>
      </c>
      <c r="AB14" s="750" t="n">
        <f aca="false">AB13*'Project Assumptions'!$U$19*'PPA Assumptions &amp;Summary'!AA5/12</f>
        <v>-0</v>
      </c>
      <c r="AC14" s="1"/>
      <c r="AD14" s="1"/>
      <c r="AE14" s="1"/>
      <c r="AF14" s="1"/>
      <c r="AG14" s="832"/>
      <c r="AH14" s="832"/>
      <c r="AI14" s="832"/>
      <c r="AJ14" s="832"/>
      <c r="AK14" s="832"/>
      <c r="AL14" s="832"/>
      <c r="AM14" s="832"/>
      <c r="AN14" s="832"/>
      <c r="AO14" s="832"/>
      <c r="AP14" s="832"/>
      <c r="AQ14" s="832"/>
      <c r="AR14" s="832"/>
      <c r="AS14" s="832"/>
      <c r="AT14" s="832"/>
      <c r="AU14" s="832"/>
      <c r="AV14" s="832"/>
      <c r="AW14" s="832"/>
      <c r="AX14" s="832"/>
      <c r="AY14" s="832"/>
      <c r="AZ14" s="832"/>
      <c r="BA14" s="832"/>
      <c r="BB14" s="832"/>
      <c r="BC14" s="832"/>
      <c r="BD14" s="832"/>
      <c r="BE14" s="832"/>
      <c r="BF14" s="832"/>
      <c r="BG14" s="832"/>
      <c r="BH14" s="832"/>
      <c r="BI14" s="832"/>
      <c r="BJ14" s="832"/>
      <c r="BK14" s="832"/>
      <c r="BL14" s="832"/>
      <c r="BM14" s="832"/>
      <c r="BN14" s="832"/>
      <c r="BO14" s="832"/>
      <c r="BP14" s="832"/>
      <c r="BQ14" s="832"/>
      <c r="BR14" s="832"/>
      <c r="BS14" s="832"/>
      <c r="BT14" s="832"/>
      <c r="BU14" s="832"/>
      <c r="BV14" s="832"/>
      <c r="BW14" s="832"/>
      <c r="BX14" s="832"/>
      <c r="BY14" s="832"/>
      <c r="BZ14" s="832"/>
      <c r="CA14" s="832"/>
      <c r="CB14" s="832"/>
      <c r="CC14" s="832"/>
      <c r="CD14" s="832"/>
      <c r="CE14" s="832"/>
      <c r="CF14" s="832"/>
      <c r="CG14" s="832"/>
      <c r="CH14" s="832"/>
      <c r="CI14" s="832"/>
      <c r="CJ14" s="832"/>
      <c r="CK14" s="832"/>
      <c r="CL14" s="832"/>
      <c r="CM14" s="832"/>
      <c r="CN14" s="832"/>
      <c r="CO14" s="832"/>
      <c r="CP14" s="832"/>
      <c r="CQ14" s="832"/>
      <c r="CR14" s="832"/>
      <c r="CS14" s="832"/>
      <c r="CT14" s="832"/>
      <c r="CU14" s="832"/>
      <c r="CV14" s="832"/>
      <c r="CW14" s="832"/>
      <c r="CX14" s="832"/>
      <c r="CY14" s="832"/>
      <c r="CZ14" s="832"/>
      <c r="DA14" s="832"/>
      <c r="DB14" s="832"/>
      <c r="DC14" s="832"/>
      <c r="DD14" s="832"/>
      <c r="DE14" s="832"/>
      <c r="DF14" s="832"/>
      <c r="DG14" s="832"/>
      <c r="DH14" s="832"/>
      <c r="DI14" s="832"/>
      <c r="DJ14" s="832"/>
      <c r="DK14" s="832"/>
      <c r="DL14" s="832"/>
      <c r="DM14" s="832"/>
      <c r="DN14" s="832"/>
      <c r="DO14" s="832"/>
      <c r="DP14" s="832"/>
      <c r="DQ14" s="832"/>
      <c r="DR14" s="832"/>
      <c r="DS14" s="832"/>
      <c r="DT14" s="832"/>
      <c r="DU14" s="832"/>
      <c r="DV14" s="832"/>
      <c r="DW14" s="832"/>
      <c r="DX14" s="832"/>
      <c r="DY14" s="832"/>
      <c r="DZ14" s="832"/>
      <c r="EA14" s="832"/>
      <c r="EB14" s="832"/>
      <c r="EC14" s="832"/>
      <c r="ED14" s="832"/>
      <c r="EE14" s="832"/>
      <c r="EF14" s="832"/>
      <c r="EG14" s="832"/>
      <c r="EH14" s="832"/>
      <c r="EI14" s="832"/>
      <c r="EJ14" s="832"/>
      <c r="EK14" s="832"/>
      <c r="EL14" s="832"/>
      <c r="EM14" s="832"/>
      <c r="EN14" s="832"/>
      <c r="EO14" s="832"/>
      <c r="EP14" s="832"/>
      <c r="EQ14" s="832"/>
      <c r="ER14" s="832"/>
      <c r="ES14" s="832"/>
      <c r="ET14" s="832"/>
      <c r="EU14" s="832"/>
      <c r="EV14" s="832"/>
      <c r="EW14" s="832"/>
      <c r="EX14" s="832"/>
      <c r="EY14" s="832"/>
      <c r="EZ14" s="832"/>
      <c r="FA14" s="832"/>
      <c r="FB14" s="832"/>
      <c r="FC14" s="832"/>
      <c r="FD14" s="832"/>
      <c r="FE14" s="832"/>
      <c r="FF14" s="832"/>
      <c r="FG14" s="832"/>
      <c r="FH14" s="832"/>
      <c r="FI14" s="832"/>
      <c r="FJ14" s="832"/>
      <c r="FK14" s="832"/>
      <c r="FL14" s="832"/>
      <c r="FM14" s="832"/>
      <c r="FN14" s="832"/>
      <c r="FO14" s="832"/>
      <c r="FP14" s="832"/>
      <c r="FQ14" s="832"/>
      <c r="FR14" s="832"/>
      <c r="FS14" s="832"/>
      <c r="FT14" s="832"/>
      <c r="FU14" s="832"/>
      <c r="FV14" s="832"/>
      <c r="FW14" s="832"/>
      <c r="FX14" s="832"/>
      <c r="FY14" s="832"/>
      <c r="FZ14" s="832"/>
      <c r="GA14" s="832"/>
      <c r="GB14" s="832"/>
      <c r="GC14" s="832"/>
      <c r="GD14" s="832"/>
      <c r="GE14" s="832"/>
      <c r="GF14" s="832"/>
      <c r="GG14" s="832"/>
      <c r="GH14" s="832"/>
      <c r="GI14" s="832"/>
      <c r="GJ14" s="832"/>
      <c r="GK14" s="832"/>
      <c r="GL14" s="832"/>
      <c r="GM14" s="832"/>
      <c r="GN14" s="832"/>
      <c r="GO14" s="832"/>
      <c r="GP14" s="832"/>
      <c r="GQ14" s="832"/>
      <c r="GR14" s="832"/>
      <c r="GS14" s="832"/>
      <c r="GT14" s="832"/>
      <c r="GU14" s="832"/>
      <c r="GV14" s="832"/>
      <c r="GW14" s="832"/>
      <c r="GX14" s="832"/>
      <c r="GY14" s="832"/>
      <c r="GZ14" s="832"/>
      <c r="HA14" s="832"/>
      <c r="HB14" s="832"/>
      <c r="HC14" s="832"/>
      <c r="HD14" s="832"/>
      <c r="HE14" s="832"/>
      <c r="HF14" s="832"/>
      <c r="HG14" s="832"/>
      <c r="HH14" s="832"/>
      <c r="HI14" s="832"/>
      <c r="HJ14" s="832"/>
      <c r="HK14" s="832"/>
      <c r="HL14" s="832"/>
      <c r="HM14" s="832"/>
      <c r="HN14" s="832"/>
      <c r="HO14" s="832"/>
      <c r="HP14" s="832"/>
      <c r="HQ14" s="832"/>
      <c r="HR14" s="832"/>
      <c r="HS14" s="832"/>
      <c r="HT14" s="832"/>
      <c r="HU14" s="832"/>
      <c r="HV14" s="832"/>
      <c r="HW14" s="832"/>
      <c r="HX14" s="832"/>
      <c r="HY14" s="832"/>
      <c r="HZ14" s="832"/>
      <c r="IA14" s="832"/>
      <c r="IB14" s="832"/>
      <c r="IC14" s="832"/>
      <c r="ID14" s="832"/>
      <c r="IE14" s="832"/>
      <c r="IF14" s="832"/>
      <c r="IG14" s="832"/>
      <c r="IH14" s="832"/>
      <c r="II14" s="832"/>
      <c r="IJ14" s="832"/>
      <c r="IK14" s="832"/>
      <c r="IL14" s="832"/>
      <c r="IM14" s="832"/>
      <c r="IN14" s="832"/>
      <c r="IO14" s="832"/>
      <c r="IP14" s="832"/>
      <c r="IQ14" s="832"/>
      <c r="IR14" s="832"/>
      <c r="IS14" s="832"/>
      <c r="IT14" s="832"/>
      <c r="IU14" s="832"/>
      <c r="IV14" s="832"/>
      <c r="IW14" s="832"/>
    </row>
    <row r="15" customFormat="false" ht="11.25" hidden="true" customHeight="false" outlineLevel="0" collapsed="false">
      <c r="A15" s="1" t="s">
        <v>682</v>
      </c>
      <c r="B15" s="1"/>
      <c r="C15" s="1"/>
      <c r="D15" s="958" t="n">
        <f aca="false">D14</f>
        <v>18.6145173967441</v>
      </c>
      <c r="E15" s="958" t="n">
        <f aca="false">D15+E14</f>
        <v>83.3930379374137</v>
      </c>
      <c r="F15" s="958" t="n">
        <f aca="false">E15+F14</f>
        <v>182.025515345865</v>
      </c>
      <c r="G15" s="958" t="n">
        <f aca="false">F15+G14</f>
        <v>283.687967004287</v>
      </c>
      <c r="H15" s="958" t="n">
        <f aca="false">G15+H14</f>
        <v>421.266081503738</v>
      </c>
      <c r="I15" s="958" t="n">
        <f aca="false">H15+I14</f>
        <v>595.83732872945</v>
      </c>
      <c r="J15" s="958" t="n">
        <f aca="false">I15+J14</f>
        <v>701.638637009997</v>
      </c>
      <c r="K15" s="958" t="n">
        <f aca="false">J15+K14</f>
        <v>846.685959799833</v>
      </c>
      <c r="L15" s="958" t="n">
        <f aca="false">K15+L14</f>
        <v>1032.15667753424</v>
      </c>
      <c r="M15" s="958" t="n">
        <f aca="false">L15+M14</f>
        <v>1162.55187048287</v>
      </c>
      <c r="N15" s="958" t="n">
        <f aca="false">M15+N14</f>
        <v>1335.8322431282</v>
      </c>
      <c r="O15" s="958" t="n">
        <f aca="false">N15+O14</f>
        <v>1553.28435086112</v>
      </c>
      <c r="P15" s="958" t="n">
        <f aca="false">O15+P14</f>
        <v>1816.23334573426</v>
      </c>
      <c r="Q15" s="958" t="n">
        <f aca="false">P15+Q14</f>
        <v>1714.30057589846</v>
      </c>
      <c r="R15" s="958" t="n">
        <f aca="false">Q15+R14</f>
        <v>1660.63545362971</v>
      </c>
      <c r="S15" s="958" t="n">
        <f aca="false">R15+S14</f>
        <v>1656.68600835504</v>
      </c>
      <c r="T15" s="958" t="n">
        <f aca="false">S15+T14</f>
        <v>1657.18618241734</v>
      </c>
      <c r="U15" s="958" t="n">
        <f aca="false">T15+U14</f>
        <v>1710.42971820266</v>
      </c>
      <c r="V15" s="958" t="n">
        <f aca="false">U15+V14</f>
        <v>1817.99891656267</v>
      </c>
      <c r="W15" s="958" t="n">
        <f aca="false">V15+W14</f>
        <v>1538.19479925502</v>
      </c>
      <c r="X15" s="958" t="n">
        <f aca="false">W15+X14</f>
        <v>1445.62395680413</v>
      </c>
      <c r="Y15" s="958" t="n">
        <f aca="false">X15+Y14</f>
        <v>1445.62395680413</v>
      </c>
      <c r="Z15" s="958" t="n">
        <f aca="false">Y15+Z14</f>
        <v>1445.62395680413</v>
      </c>
      <c r="AA15" s="958" t="n">
        <f aca="false">Z15+AA14</f>
        <v>1445.62395680413</v>
      </c>
      <c r="AB15" s="958" t="n">
        <f aca="false">AA15+AB14</f>
        <v>1445.62395680413</v>
      </c>
      <c r="AC15" s="1"/>
      <c r="AD15" s="1"/>
      <c r="AE15" s="1"/>
      <c r="AF15" s="1"/>
      <c r="AG15" s="832"/>
      <c r="AH15" s="832"/>
      <c r="AI15" s="832"/>
      <c r="AJ15" s="832"/>
      <c r="AK15" s="832"/>
      <c r="AL15" s="832"/>
      <c r="AM15" s="832"/>
      <c r="AN15" s="832"/>
      <c r="AO15" s="832"/>
      <c r="AP15" s="832"/>
      <c r="AQ15" s="832"/>
      <c r="AR15" s="832"/>
      <c r="AS15" s="832"/>
      <c r="AT15" s="832"/>
      <c r="AU15" s="832"/>
      <c r="AV15" s="832"/>
      <c r="AW15" s="832"/>
      <c r="AX15" s="832"/>
      <c r="AY15" s="832"/>
      <c r="AZ15" s="832"/>
      <c r="BA15" s="832"/>
      <c r="BB15" s="832"/>
      <c r="BC15" s="832"/>
      <c r="BD15" s="832"/>
      <c r="BE15" s="832"/>
      <c r="BF15" s="832"/>
      <c r="BG15" s="832"/>
      <c r="BH15" s="832"/>
      <c r="BI15" s="832"/>
      <c r="BJ15" s="832"/>
      <c r="BK15" s="832"/>
      <c r="BL15" s="832"/>
      <c r="BM15" s="832"/>
      <c r="BN15" s="832"/>
      <c r="BO15" s="832"/>
      <c r="BP15" s="832"/>
      <c r="BQ15" s="832"/>
      <c r="BR15" s="832"/>
      <c r="BS15" s="832"/>
      <c r="BT15" s="832"/>
      <c r="BU15" s="832"/>
      <c r="BV15" s="832"/>
      <c r="BW15" s="832"/>
      <c r="BX15" s="832"/>
      <c r="BY15" s="832"/>
      <c r="BZ15" s="832"/>
      <c r="CA15" s="832"/>
      <c r="CB15" s="832"/>
      <c r="CC15" s="832"/>
      <c r="CD15" s="832"/>
      <c r="CE15" s="832"/>
      <c r="CF15" s="832"/>
      <c r="CG15" s="832"/>
      <c r="CH15" s="832"/>
      <c r="CI15" s="832"/>
      <c r="CJ15" s="832"/>
      <c r="CK15" s="832"/>
      <c r="CL15" s="832"/>
      <c r="CM15" s="832"/>
      <c r="CN15" s="832"/>
      <c r="CO15" s="832"/>
      <c r="CP15" s="832"/>
      <c r="CQ15" s="832"/>
      <c r="CR15" s="832"/>
      <c r="CS15" s="832"/>
      <c r="CT15" s="832"/>
      <c r="CU15" s="832"/>
      <c r="CV15" s="832"/>
      <c r="CW15" s="832"/>
      <c r="CX15" s="832"/>
      <c r="CY15" s="832"/>
      <c r="CZ15" s="832"/>
      <c r="DA15" s="832"/>
      <c r="DB15" s="832"/>
      <c r="DC15" s="832"/>
      <c r="DD15" s="832"/>
      <c r="DE15" s="832"/>
      <c r="DF15" s="832"/>
      <c r="DG15" s="832"/>
      <c r="DH15" s="832"/>
      <c r="DI15" s="832"/>
      <c r="DJ15" s="832"/>
      <c r="DK15" s="832"/>
      <c r="DL15" s="832"/>
      <c r="DM15" s="832"/>
      <c r="DN15" s="832"/>
      <c r="DO15" s="832"/>
      <c r="DP15" s="832"/>
      <c r="DQ15" s="832"/>
      <c r="DR15" s="832"/>
      <c r="DS15" s="832"/>
      <c r="DT15" s="832"/>
      <c r="DU15" s="832"/>
      <c r="DV15" s="832"/>
      <c r="DW15" s="832"/>
      <c r="DX15" s="832"/>
      <c r="DY15" s="832"/>
      <c r="DZ15" s="832"/>
      <c r="EA15" s="832"/>
      <c r="EB15" s="832"/>
      <c r="EC15" s="832"/>
      <c r="ED15" s="832"/>
      <c r="EE15" s="832"/>
      <c r="EF15" s="832"/>
      <c r="EG15" s="832"/>
      <c r="EH15" s="832"/>
      <c r="EI15" s="832"/>
      <c r="EJ15" s="832"/>
      <c r="EK15" s="832"/>
      <c r="EL15" s="832"/>
      <c r="EM15" s="832"/>
      <c r="EN15" s="832"/>
      <c r="EO15" s="832"/>
      <c r="EP15" s="832"/>
      <c r="EQ15" s="832"/>
      <c r="ER15" s="832"/>
      <c r="ES15" s="832"/>
      <c r="ET15" s="832"/>
      <c r="EU15" s="832"/>
      <c r="EV15" s="832"/>
      <c r="EW15" s="832"/>
      <c r="EX15" s="832"/>
      <c r="EY15" s="832"/>
      <c r="EZ15" s="832"/>
      <c r="FA15" s="832"/>
      <c r="FB15" s="832"/>
      <c r="FC15" s="832"/>
      <c r="FD15" s="832"/>
      <c r="FE15" s="832"/>
      <c r="FF15" s="832"/>
      <c r="FG15" s="832"/>
      <c r="FH15" s="832"/>
      <c r="FI15" s="832"/>
      <c r="FJ15" s="832"/>
      <c r="FK15" s="832"/>
      <c r="FL15" s="832"/>
      <c r="FM15" s="832"/>
      <c r="FN15" s="832"/>
      <c r="FO15" s="832"/>
      <c r="FP15" s="832"/>
      <c r="FQ15" s="832"/>
      <c r="FR15" s="832"/>
      <c r="FS15" s="832"/>
      <c r="FT15" s="832"/>
      <c r="FU15" s="832"/>
      <c r="FV15" s="832"/>
      <c r="FW15" s="832"/>
      <c r="FX15" s="832"/>
      <c r="FY15" s="832"/>
      <c r="FZ15" s="832"/>
      <c r="GA15" s="832"/>
      <c r="GB15" s="832"/>
      <c r="GC15" s="832"/>
      <c r="GD15" s="832"/>
      <c r="GE15" s="832"/>
      <c r="GF15" s="832"/>
      <c r="GG15" s="832"/>
      <c r="GH15" s="832"/>
      <c r="GI15" s="832"/>
      <c r="GJ15" s="832"/>
      <c r="GK15" s="832"/>
      <c r="GL15" s="832"/>
      <c r="GM15" s="832"/>
      <c r="GN15" s="832"/>
      <c r="GO15" s="832"/>
      <c r="GP15" s="832"/>
      <c r="GQ15" s="832"/>
      <c r="GR15" s="832"/>
      <c r="GS15" s="832"/>
      <c r="GT15" s="832"/>
      <c r="GU15" s="832"/>
      <c r="GV15" s="832"/>
      <c r="GW15" s="832"/>
      <c r="GX15" s="832"/>
      <c r="GY15" s="832"/>
      <c r="GZ15" s="832"/>
      <c r="HA15" s="832"/>
      <c r="HB15" s="832"/>
      <c r="HC15" s="832"/>
      <c r="HD15" s="832"/>
      <c r="HE15" s="832"/>
      <c r="HF15" s="832"/>
      <c r="HG15" s="832"/>
      <c r="HH15" s="832"/>
      <c r="HI15" s="832"/>
      <c r="HJ15" s="832"/>
      <c r="HK15" s="832"/>
      <c r="HL15" s="832"/>
      <c r="HM15" s="832"/>
      <c r="HN15" s="832"/>
      <c r="HO15" s="832"/>
      <c r="HP15" s="832"/>
      <c r="HQ15" s="832"/>
      <c r="HR15" s="832"/>
      <c r="HS15" s="832"/>
      <c r="HT15" s="832"/>
      <c r="HU15" s="832"/>
      <c r="HV15" s="832"/>
      <c r="HW15" s="832"/>
      <c r="HX15" s="832"/>
      <c r="HY15" s="832"/>
      <c r="HZ15" s="832"/>
      <c r="IA15" s="832"/>
      <c r="IB15" s="832"/>
      <c r="IC15" s="832"/>
      <c r="ID15" s="832"/>
      <c r="IE15" s="832"/>
      <c r="IF15" s="832"/>
      <c r="IG15" s="832"/>
      <c r="IH15" s="832"/>
      <c r="II15" s="832"/>
      <c r="IJ15" s="832"/>
      <c r="IK15" s="832"/>
      <c r="IL15" s="832"/>
      <c r="IM15" s="832"/>
      <c r="IN15" s="832"/>
      <c r="IO15" s="832"/>
      <c r="IP15" s="832"/>
      <c r="IQ15" s="832"/>
      <c r="IR15" s="832"/>
      <c r="IS15" s="832"/>
      <c r="IT15" s="832"/>
      <c r="IU15" s="832"/>
      <c r="IV15" s="832"/>
      <c r="IW15" s="832"/>
    </row>
    <row r="16" customFormat="false" ht="11.25" hidden="false" customHeight="false" outlineLevel="0" collapsed="false">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832"/>
      <c r="AH16" s="832"/>
      <c r="AI16" s="832"/>
      <c r="AJ16" s="832"/>
      <c r="AK16" s="832"/>
      <c r="AL16" s="832"/>
      <c r="AM16" s="832"/>
      <c r="AN16" s="832"/>
      <c r="AO16" s="832"/>
      <c r="AP16" s="832"/>
      <c r="AQ16" s="832"/>
      <c r="AR16" s="832"/>
      <c r="AS16" s="832"/>
      <c r="AT16" s="832"/>
      <c r="AU16" s="832"/>
      <c r="AV16" s="832"/>
      <c r="AW16" s="832"/>
      <c r="AX16" s="832"/>
      <c r="AY16" s="832"/>
      <c r="AZ16" s="832"/>
      <c r="BA16" s="832"/>
      <c r="BB16" s="832"/>
      <c r="BC16" s="832"/>
      <c r="BD16" s="832"/>
      <c r="BE16" s="832"/>
      <c r="BF16" s="832"/>
      <c r="BG16" s="832"/>
      <c r="BH16" s="832"/>
      <c r="BI16" s="832"/>
      <c r="BJ16" s="832"/>
      <c r="BK16" s="832"/>
      <c r="BL16" s="832"/>
      <c r="BM16" s="832"/>
      <c r="BN16" s="832"/>
      <c r="BO16" s="832"/>
      <c r="BP16" s="832"/>
      <c r="BQ16" s="832"/>
      <c r="BR16" s="832"/>
      <c r="BS16" s="832"/>
      <c r="BT16" s="832"/>
      <c r="BU16" s="832"/>
      <c r="BV16" s="832"/>
      <c r="BW16" s="832"/>
      <c r="BX16" s="832"/>
      <c r="BY16" s="832"/>
      <c r="BZ16" s="832"/>
      <c r="CA16" s="832"/>
      <c r="CB16" s="832"/>
      <c r="CC16" s="832"/>
      <c r="CD16" s="832"/>
      <c r="CE16" s="832"/>
      <c r="CF16" s="832"/>
      <c r="CG16" s="832"/>
      <c r="CH16" s="832"/>
      <c r="CI16" s="832"/>
      <c r="CJ16" s="832"/>
      <c r="CK16" s="832"/>
      <c r="CL16" s="832"/>
      <c r="CM16" s="832"/>
      <c r="CN16" s="832"/>
      <c r="CO16" s="832"/>
      <c r="CP16" s="832"/>
      <c r="CQ16" s="832"/>
      <c r="CR16" s="832"/>
      <c r="CS16" s="832"/>
      <c r="CT16" s="832"/>
      <c r="CU16" s="832"/>
      <c r="CV16" s="832"/>
      <c r="CW16" s="832"/>
      <c r="CX16" s="832"/>
      <c r="CY16" s="832"/>
      <c r="CZ16" s="832"/>
      <c r="DA16" s="832"/>
      <c r="DB16" s="832"/>
      <c r="DC16" s="832"/>
      <c r="DD16" s="832"/>
      <c r="DE16" s="832"/>
      <c r="DF16" s="832"/>
      <c r="DG16" s="832"/>
      <c r="DH16" s="832"/>
      <c r="DI16" s="832"/>
      <c r="DJ16" s="832"/>
      <c r="DK16" s="832"/>
      <c r="DL16" s="832"/>
      <c r="DM16" s="832"/>
      <c r="DN16" s="832"/>
      <c r="DO16" s="832"/>
      <c r="DP16" s="832"/>
      <c r="DQ16" s="832"/>
      <c r="DR16" s="832"/>
      <c r="DS16" s="832"/>
      <c r="DT16" s="832"/>
      <c r="DU16" s="832"/>
      <c r="DV16" s="832"/>
      <c r="DW16" s="832"/>
      <c r="DX16" s="832"/>
      <c r="DY16" s="832"/>
      <c r="DZ16" s="832"/>
      <c r="EA16" s="832"/>
      <c r="EB16" s="832"/>
      <c r="EC16" s="832"/>
      <c r="ED16" s="832"/>
      <c r="EE16" s="832"/>
      <c r="EF16" s="832"/>
      <c r="EG16" s="832"/>
      <c r="EH16" s="832"/>
      <c r="EI16" s="832"/>
      <c r="EJ16" s="832"/>
      <c r="EK16" s="832"/>
      <c r="EL16" s="832"/>
      <c r="EM16" s="832"/>
      <c r="EN16" s="832"/>
      <c r="EO16" s="832"/>
      <c r="EP16" s="832"/>
      <c r="EQ16" s="832"/>
      <c r="ER16" s="832"/>
      <c r="ES16" s="832"/>
      <c r="ET16" s="832"/>
      <c r="EU16" s="832"/>
      <c r="EV16" s="832"/>
      <c r="EW16" s="832"/>
      <c r="EX16" s="832"/>
      <c r="EY16" s="832"/>
      <c r="EZ16" s="832"/>
      <c r="FA16" s="832"/>
      <c r="FB16" s="832"/>
      <c r="FC16" s="832"/>
      <c r="FD16" s="832"/>
      <c r="FE16" s="832"/>
      <c r="FF16" s="832"/>
      <c r="FG16" s="832"/>
      <c r="FH16" s="832"/>
      <c r="FI16" s="832"/>
      <c r="FJ16" s="832"/>
      <c r="FK16" s="832"/>
      <c r="FL16" s="832"/>
      <c r="FM16" s="832"/>
      <c r="FN16" s="832"/>
      <c r="FO16" s="832"/>
      <c r="FP16" s="832"/>
      <c r="FQ16" s="832"/>
      <c r="FR16" s="832"/>
      <c r="FS16" s="832"/>
      <c r="FT16" s="832"/>
      <c r="FU16" s="832"/>
      <c r="FV16" s="832"/>
      <c r="FW16" s="832"/>
      <c r="FX16" s="832"/>
      <c r="FY16" s="832"/>
      <c r="FZ16" s="832"/>
      <c r="GA16" s="832"/>
      <c r="GB16" s="832"/>
      <c r="GC16" s="832"/>
      <c r="GD16" s="832"/>
      <c r="GE16" s="832"/>
      <c r="GF16" s="832"/>
      <c r="GG16" s="832"/>
      <c r="GH16" s="832"/>
      <c r="GI16" s="832"/>
      <c r="GJ16" s="832"/>
      <c r="GK16" s="832"/>
      <c r="GL16" s="832"/>
      <c r="GM16" s="832"/>
      <c r="GN16" s="832"/>
      <c r="GO16" s="832"/>
      <c r="GP16" s="832"/>
      <c r="GQ16" s="832"/>
      <c r="GR16" s="832"/>
      <c r="GS16" s="832"/>
      <c r="GT16" s="832"/>
      <c r="GU16" s="832"/>
      <c r="GV16" s="832"/>
      <c r="GW16" s="832"/>
      <c r="GX16" s="832"/>
      <c r="GY16" s="832"/>
      <c r="GZ16" s="832"/>
      <c r="HA16" s="832"/>
      <c r="HB16" s="832"/>
      <c r="HC16" s="832"/>
      <c r="HD16" s="832"/>
      <c r="HE16" s="832"/>
      <c r="HF16" s="832"/>
      <c r="HG16" s="832"/>
      <c r="HH16" s="832"/>
      <c r="HI16" s="832"/>
      <c r="HJ16" s="832"/>
      <c r="HK16" s="832"/>
      <c r="HL16" s="832"/>
      <c r="HM16" s="832"/>
      <c r="HN16" s="832"/>
      <c r="HO16" s="832"/>
      <c r="HP16" s="832"/>
      <c r="HQ16" s="832"/>
      <c r="HR16" s="832"/>
      <c r="HS16" s="832"/>
      <c r="HT16" s="832"/>
      <c r="HU16" s="832"/>
      <c r="HV16" s="832"/>
      <c r="HW16" s="832"/>
      <c r="HX16" s="832"/>
      <c r="HY16" s="832"/>
      <c r="HZ16" s="832"/>
      <c r="IA16" s="832"/>
      <c r="IB16" s="832"/>
      <c r="IC16" s="832"/>
      <c r="ID16" s="832"/>
      <c r="IE16" s="832"/>
      <c r="IF16" s="832"/>
      <c r="IG16" s="832"/>
      <c r="IH16" s="832"/>
      <c r="II16" s="832"/>
      <c r="IJ16" s="832"/>
      <c r="IK16" s="832"/>
      <c r="IL16" s="832"/>
      <c r="IM16" s="832"/>
      <c r="IN16" s="832"/>
      <c r="IO16" s="832"/>
      <c r="IP16" s="832"/>
      <c r="IQ16" s="832"/>
      <c r="IR16" s="832"/>
      <c r="IS16" s="832"/>
      <c r="IT16" s="832"/>
      <c r="IU16" s="832"/>
      <c r="IV16" s="832"/>
      <c r="IW16" s="832"/>
    </row>
    <row r="17" customFormat="false" ht="11.25" hidden="false" customHeight="false" outlineLevel="0" collapsed="false">
      <c r="A17" s="1"/>
      <c r="B17" s="1"/>
      <c r="C17" s="1"/>
      <c r="D17" s="959"/>
      <c r="E17" s="960"/>
      <c r="F17" s="960"/>
      <c r="G17" s="960"/>
      <c r="H17" s="960"/>
      <c r="I17" s="960"/>
      <c r="J17" s="960"/>
      <c r="K17" s="960"/>
      <c r="L17" s="1"/>
      <c r="M17" s="1"/>
      <c r="N17" s="1"/>
      <c r="O17" s="1"/>
      <c r="P17" s="1"/>
      <c r="Q17" s="1"/>
      <c r="R17" s="1"/>
      <c r="S17" s="1"/>
      <c r="T17" s="1"/>
      <c r="U17" s="1"/>
      <c r="V17" s="1"/>
      <c r="W17" s="1"/>
      <c r="X17" s="1"/>
      <c r="Y17" s="1"/>
      <c r="Z17" s="1"/>
      <c r="AA17" s="1"/>
      <c r="AB17" s="1"/>
      <c r="AC17" s="1"/>
      <c r="AD17" s="1"/>
      <c r="AE17" s="1"/>
      <c r="AF17" s="1"/>
      <c r="AG17" s="832"/>
      <c r="AH17" s="832"/>
      <c r="AI17" s="832"/>
      <c r="AJ17" s="832"/>
      <c r="AK17" s="832"/>
      <c r="AL17" s="832"/>
      <c r="AM17" s="832"/>
      <c r="AN17" s="832"/>
      <c r="AO17" s="832"/>
      <c r="AP17" s="832"/>
      <c r="AQ17" s="832"/>
      <c r="AR17" s="832"/>
      <c r="AS17" s="832"/>
      <c r="AT17" s="832"/>
      <c r="AU17" s="832"/>
      <c r="AV17" s="832"/>
      <c r="AW17" s="832"/>
      <c r="AX17" s="832"/>
      <c r="AY17" s="832"/>
      <c r="AZ17" s="832"/>
      <c r="BA17" s="832"/>
      <c r="BB17" s="832"/>
      <c r="BC17" s="832"/>
      <c r="BD17" s="832"/>
      <c r="BE17" s="832"/>
      <c r="BF17" s="832"/>
      <c r="BG17" s="832"/>
      <c r="BH17" s="832"/>
      <c r="BI17" s="832"/>
      <c r="BJ17" s="832"/>
      <c r="BK17" s="832"/>
      <c r="BL17" s="832"/>
      <c r="BM17" s="832"/>
      <c r="BN17" s="832"/>
      <c r="BO17" s="832"/>
      <c r="BP17" s="832"/>
      <c r="BQ17" s="832"/>
      <c r="BR17" s="832"/>
      <c r="BS17" s="832"/>
      <c r="BT17" s="832"/>
      <c r="BU17" s="832"/>
      <c r="BV17" s="832"/>
      <c r="BW17" s="832"/>
      <c r="BX17" s="832"/>
      <c r="BY17" s="832"/>
      <c r="BZ17" s="832"/>
      <c r="CA17" s="832"/>
      <c r="CB17" s="832"/>
      <c r="CC17" s="832"/>
      <c r="CD17" s="832"/>
      <c r="CE17" s="832"/>
      <c r="CF17" s="832"/>
      <c r="CG17" s="832"/>
      <c r="CH17" s="832"/>
      <c r="CI17" s="832"/>
      <c r="CJ17" s="832"/>
      <c r="CK17" s="832"/>
      <c r="CL17" s="832"/>
      <c r="CM17" s="832"/>
      <c r="CN17" s="832"/>
      <c r="CO17" s="832"/>
      <c r="CP17" s="832"/>
      <c r="CQ17" s="832"/>
      <c r="CR17" s="832"/>
      <c r="CS17" s="832"/>
      <c r="CT17" s="832"/>
      <c r="CU17" s="832"/>
      <c r="CV17" s="832"/>
      <c r="CW17" s="832"/>
      <c r="CX17" s="832"/>
      <c r="CY17" s="832"/>
      <c r="CZ17" s="832"/>
      <c r="DA17" s="832"/>
      <c r="DB17" s="832"/>
      <c r="DC17" s="832"/>
      <c r="DD17" s="832"/>
      <c r="DE17" s="832"/>
      <c r="DF17" s="832"/>
      <c r="DG17" s="832"/>
      <c r="DH17" s="832"/>
      <c r="DI17" s="832"/>
      <c r="DJ17" s="832"/>
      <c r="DK17" s="832"/>
      <c r="DL17" s="832"/>
      <c r="DM17" s="832"/>
      <c r="DN17" s="832"/>
      <c r="DO17" s="832"/>
      <c r="DP17" s="832"/>
      <c r="DQ17" s="832"/>
      <c r="DR17" s="832"/>
      <c r="DS17" s="832"/>
      <c r="DT17" s="832"/>
      <c r="DU17" s="832"/>
      <c r="DV17" s="832"/>
      <c r="DW17" s="832"/>
      <c r="DX17" s="832"/>
      <c r="DY17" s="832"/>
      <c r="DZ17" s="832"/>
      <c r="EA17" s="832"/>
      <c r="EB17" s="832"/>
      <c r="EC17" s="832"/>
      <c r="ED17" s="832"/>
      <c r="EE17" s="832"/>
      <c r="EF17" s="832"/>
      <c r="EG17" s="832"/>
      <c r="EH17" s="832"/>
      <c r="EI17" s="832"/>
      <c r="EJ17" s="832"/>
      <c r="EK17" s="832"/>
      <c r="EL17" s="832"/>
      <c r="EM17" s="832"/>
      <c r="EN17" s="832"/>
      <c r="EO17" s="832"/>
      <c r="EP17" s="832"/>
      <c r="EQ17" s="832"/>
      <c r="ER17" s="832"/>
      <c r="ES17" s="832"/>
      <c r="ET17" s="832"/>
      <c r="EU17" s="832"/>
      <c r="EV17" s="832"/>
      <c r="EW17" s="832"/>
      <c r="EX17" s="832"/>
      <c r="EY17" s="832"/>
      <c r="EZ17" s="832"/>
      <c r="FA17" s="832"/>
      <c r="FB17" s="832"/>
      <c r="FC17" s="832"/>
      <c r="FD17" s="832"/>
      <c r="FE17" s="832"/>
      <c r="FF17" s="832"/>
      <c r="FG17" s="832"/>
      <c r="FH17" s="832"/>
      <c r="FI17" s="832"/>
      <c r="FJ17" s="832"/>
      <c r="FK17" s="832"/>
      <c r="FL17" s="832"/>
      <c r="FM17" s="832"/>
      <c r="FN17" s="832"/>
      <c r="FO17" s="832"/>
      <c r="FP17" s="832"/>
      <c r="FQ17" s="832"/>
      <c r="FR17" s="832"/>
      <c r="FS17" s="832"/>
      <c r="FT17" s="832"/>
      <c r="FU17" s="832"/>
      <c r="FV17" s="832"/>
      <c r="FW17" s="832"/>
      <c r="FX17" s="832"/>
      <c r="FY17" s="832"/>
      <c r="FZ17" s="832"/>
      <c r="GA17" s="832"/>
      <c r="GB17" s="832"/>
      <c r="GC17" s="832"/>
      <c r="GD17" s="832"/>
      <c r="GE17" s="832"/>
      <c r="GF17" s="832"/>
      <c r="GG17" s="832"/>
      <c r="GH17" s="832"/>
      <c r="GI17" s="832"/>
      <c r="GJ17" s="832"/>
      <c r="GK17" s="832"/>
      <c r="GL17" s="832"/>
      <c r="GM17" s="832"/>
      <c r="GN17" s="832"/>
      <c r="GO17" s="832"/>
      <c r="GP17" s="832"/>
      <c r="GQ17" s="832"/>
      <c r="GR17" s="832"/>
      <c r="GS17" s="832"/>
      <c r="GT17" s="832"/>
      <c r="GU17" s="832"/>
      <c r="GV17" s="832"/>
      <c r="GW17" s="832"/>
      <c r="GX17" s="832"/>
      <c r="GY17" s="832"/>
      <c r="GZ17" s="832"/>
      <c r="HA17" s="832"/>
      <c r="HB17" s="832"/>
      <c r="HC17" s="832"/>
      <c r="HD17" s="832"/>
      <c r="HE17" s="832"/>
      <c r="HF17" s="832"/>
      <c r="HG17" s="832"/>
      <c r="HH17" s="832"/>
      <c r="HI17" s="832"/>
      <c r="HJ17" s="832"/>
      <c r="HK17" s="832"/>
      <c r="HL17" s="832"/>
      <c r="HM17" s="832"/>
      <c r="HN17" s="832"/>
      <c r="HO17" s="832"/>
      <c r="HP17" s="832"/>
      <c r="HQ17" s="832"/>
      <c r="HR17" s="832"/>
      <c r="HS17" s="832"/>
      <c r="HT17" s="832"/>
      <c r="HU17" s="832"/>
      <c r="HV17" s="832"/>
      <c r="HW17" s="832"/>
      <c r="HX17" s="832"/>
      <c r="HY17" s="832"/>
      <c r="HZ17" s="832"/>
      <c r="IA17" s="832"/>
      <c r="IB17" s="832"/>
      <c r="IC17" s="832"/>
      <c r="ID17" s="832"/>
      <c r="IE17" s="832"/>
      <c r="IF17" s="832"/>
      <c r="IG17" s="832"/>
      <c r="IH17" s="832"/>
      <c r="II17" s="832"/>
      <c r="IJ17" s="832"/>
      <c r="IK17" s="832"/>
      <c r="IL17" s="832"/>
      <c r="IM17" s="832"/>
      <c r="IN17" s="832"/>
      <c r="IO17" s="832"/>
      <c r="IP17" s="832"/>
      <c r="IQ17" s="832"/>
      <c r="IR17" s="832"/>
      <c r="IS17" s="832"/>
      <c r="IT17" s="832"/>
      <c r="IU17" s="832"/>
      <c r="IV17" s="832"/>
      <c r="IW17" s="832"/>
    </row>
    <row r="18" customFormat="false" ht="12.75" hidden="false" customHeight="false" outlineLevel="0" collapsed="false">
      <c r="A18" s="0" t="s">
        <v>683</v>
      </c>
      <c r="B18" s="0"/>
      <c r="C18" s="961" t="n">
        <v>0.065</v>
      </c>
      <c r="D18" s="0"/>
      <c r="E18" s="0"/>
      <c r="F18" s="1"/>
      <c r="G18" s="960"/>
      <c r="H18" s="1"/>
      <c r="I18" s="1"/>
      <c r="J18" s="1"/>
      <c r="K18" s="1"/>
      <c r="L18" s="1"/>
      <c r="M18" s="1"/>
      <c r="N18" s="1"/>
      <c r="O18" s="1"/>
      <c r="P18" s="1"/>
      <c r="Q18" s="1"/>
      <c r="R18" s="1"/>
      <c r="S18" s="1"/>
      <c r="T18" s="1"/>
      <c r="U18" s="1"/>
      <c r="V18" s="1"/>
      <c r="W18" s="1"/>
      <c r="X18" s="1"/>
      <c r="Y18" s="1"/>
      <c r="Z18" s="1"/>
      <c r="AA18" s="1"/>
      <c r="AB18" s="1"/>
      <c r="AC18" s="1"/>
      <c r="AD18" s="1"/>
      <c r="AE18" s="1"/>
      <c r="AF18" s="1"/>
      <c r="AG18" s="832"/>
      <c r="AH18" s="832"/>
      <c r="AI18" s="832"/>
      <c r="AJ18" s="832"/>
      <c r="AK18" s="832"/>
      <c r="AL18" s="832"/>
      <c r="AM18" s="832"/>
      <c r="AN18" s="832"/>
      <c r="AO18" s="832"/>
      <c r="AP18" s="832"/>
      <c r="AQ18" s="832"/>
      <c r="AR18" s="832"/>
      <c r="AS18" s="832"/>
      <c r="AT18" s="832"/>
      <c r="AU18" s="832"/>
      <c r="AV18" s="832"/>
      <c r="AW18" s="832"/>
      <c r="AX18" s="832"/>
      <c r="AY18" s="832"/>
      <c r="AZ18" s="832"/>
      <c r="BA18" s="832"/>
      <c r="BB18" s="832"/>
      <c r="BC18" s="832"/>
      <c r="BD18" s="832"/>
      <c r="BE18" s="832"/>
      <c r="BF18" s="832"/>
      <c r="BG18" s="832"/>
      <c r="BH18" s="832"/>
      <c r="BI18" s="832"/>
      <c r="BJ18" s="832"/>
      <c r="BK18" s="832"/>
      <c r="BL18" s="832"/>
      <c r="BM18" s="832"/>
      <c r="BN18" s="832"/>
      <c r="BO18" s="832"/>
      <c r="BP18" s="832"/>
      <c r="BQ18" s="832"/>
      <c r="BR18" s="832"/>
      <c r="BS18" s="832"/>
      <c r="BT18" s="832"/>
      <c r="BU18" s="832"/>
      <c r="BV18" s="832"/>
      <c r="BW18" s="832"/>
      <c r="BX18" s="832"/>
      <c r="BY18" s="832"/>
      <c r="BZ18" s="832"/>
      <c r="CA18" s="832"/>
      <c r="CB18" s="832"/>
      <c r="CC18" s="832"/>
      <c r="CD18" s="832"/>
      <c r="CE18" s="832"/>
      <c r="CF18" s="832"/>
      <c r="CG18" s="832"/>
      <c r="CH18" s="832"/>
      <c r="CI18" s="832"/>
      <c r="CJ18" s="832"/>
      <c r="CK18" s="832"/>
      <c r="CL18" s="832"/>
      <c r="CM18" s="832"/>
      <c r="CN18" s="832"/>
      <c r="CO18" s="832"/>
      <c r="CP18" s="832"/>
      <c r="CQ18" s="832"/>
      <c r="CR18" s="832"/>
      <c r="CS18" s="832"/>
      <c r="CT18" s="832"/>
      <c r="CU18" s="832"/>
      <c r="CV18" s="832"/>
      <c r="CW18" s="832"/>
      <c r="CX18" s="832"/>
      <c r="CY18" s="832"/>
      <c r="CZ18" s="832"/>
      <c r="DA18" s="832"/>
      <c r="DB18" s="832"/>
      <c r="DC18" s="832"/>
      <c r="DD18" s="832"/>
      <c r="DE18" s="832"/>
      <c r="DF18" s="832"/>
      <c r="DG18" s="832"/>
      <c r="DH18" s="832"/>
      <c r="DI18" s="832"/>
      <c r="DJ18" s="832"/>
      <c r="DK18" s="832"/>
      <c r="DL18" s="832"/>
      <c r="DM18" s="832"/>
      <c r="DN18" s="832"/>
      <c r="DO18" s="832"/>
      <c r="DP18" s="832"/>
      <c r="DQ18" s="832"/>
      <c r="DR18" s="832"/>
      <c r="DS18" s="832"/>
      <c r="DT18" s="832"/>
      <c r="DU18" s="832"/>
      <c r="DV18" s="832"/>
      <c r="DW18" s="832"/>
      <c r="DX18" s="832"/>
      <c r="DY18" s="832"/>
      <c r="DZ18" s="832"/>
      <c r="EA18" s="832"/>
      <c r="EB18" s="832"/>
      <c r="EC18" s="832"/>
      <c r="ED18" s="832"/>
      <c r="EE18" s="832"/>
      <c r="EF18" s="832"/>
      <c r="EG18" s="832"/>
      <c r="EH18" s="832"/>
      <c r="EI18" s="832"/>
      <c r="EJ18" s="832"/>
      <c r="EK18" s="832"/>
      <c r="EL18" s="832"/>
      <c r="EM18" s="832"/>
      <c r="EN18" s="832"/>
      <c r="EO18" s="832"/>
      <c r="EP18" s="832"/>
      <c r="EQ18" s="832"/>
      <c r="ER18" s="832"/>
      <c r="ES18" s="832"/>
      <c r="ET18" s="832"/>
      <c r="EU18" s="832"/>
      <c r="EV18" s="832"/>
      <c r="EW18" s="832"/>
      <c r="EX18" s="832"/>
      <c r="EY18" s="832"/>
      <c r="EZ18" s="832"/>
      <c r="FA18" s="832"/>
      <c r="FB18" s="832"/>
      <c r="FC18" s="832"/>
      <c r="FD18" s="832"/>
      <c r="FE18" s="832"/>
      <c r="FF18" s="832"/>
      <c r="FG18" s="832"/>
      <c r="FH18" s="832"/>
      <c r="FI18" s="832"/>
      <c r="FJ18" s="832"/>
      <c r="FK18" s="832"/>
      <c r="FL18" s="832"/>
      <c r="FM18" s="832"/>
      <c r="FN18" s="832"/>
      <c r="FO18" s="832"/>
      <c r="FP18" s="832"/>
      <c r="FQ18" s="832"/>
      <c r="FR18" s="832"/>
      <c r="FS18" s="832"/>
      <c r="FT18" s="832"/>
      <c r="FU18" s="832"/>
      <c r="FV18" s="832"/>
      <c r="FW18" s="832"/>
      <c r="FX18" s="832"/>
      <c r="FY18" s="832"/>
      <c r="FZ18" s="832"/>
      <c r="GA18" s="832"/>
      <c r="GB18" s="832"/>
      <c r="GC18" s="832"/>
      <c r="GD18" s="832"/>
      <c r="GE18" s="832"/>
      <c r="GF18" s="832"/>
      <c r="GG18" s="832"/>
      <c r="GH18" s="832"/>
      <c r="GI18" s="832"/>
      <c r="GJ18" s="832"/>
      <c r="GK18" s="832"/>
      <c r="GL18" s="832"/>
      <c r="GM18" s="832"/>
      <c r="GN18" s="832"/>
      <c r="GO18" s="832"/>
      <c r="GP18" s="832"/>
      <c r="GQ18" s="832"/>
      <c r="GR18" s="832"/>
      <c r="GS18" s="832"/>
      <c r="GT18" s="832"/>
      <c r="GU18" s="832"/>
      <c r="GV18" s="832"/>
      <c r="GW18" s="832"/>
      <c r="GX18" s="832"/>
      <c r="GY18" s="832"/>
      <c r="GZ18" s="832"/>
      <c r="HA18" s="832"/>
      <c r="HB18" s="832"/>
      <c r="HC18" s="832"/>
      <c r="HD18" s="832"/>
      <c r="HE18" s="832"/>
      <c r="HF18" s="832"/>
      <c r="HG18" s="832"/>
      <c r="HH18" s="832"/>
      <c r="HI18" s="832"/>
      <c r="HJ18" s="832"/>
      <c r="HK18" s="832"/>
      <c r="HL18" s="832"/>
      <c r="HM18" s="832"/>
      <c r="HN18" s="832"/>
      <c r="HO18" s="832"/>
      <c r="HP18" s="832"/>
      <c r="HQ18" s="832"/>
      <c r="HR18" s="832"/>
      <c r="HS18" s="832"/>
      <c r="HT18" s="832"/>
      <c r="HU18" s="832"/>
      <c r="HV18" s="832"/>
      <c r="HW18" s="832"/>
      <c r="HX18" s="832"/>
      <c r="HY18" s="832"/>
      <c r="HZ18" s="832"/>
      <c r="IA18" s="832"/>
      <c r="IB18" s="832"/>
      <c r="IC18" s="832"/>
      <c r="ID18" s="832"/>
      <c r="IE18" s="832"/>
      <c r="IF18" s="832"/>
      <c r="IG18" s="832"/>
      <c r="IH18" s="832"/>
      <c r="II18" s="832"/>
      <c r="IJ18" s="832"/>
      <c r="IK18" s="832"/>
      <c r="IL18" s="832"/>
      <c r="IM18" s="832"/>
      <c r="IN18" s="832"/>
      <c r="IO18" s="832"/>
      <c r="IP18" s="832"/>
      <c r="IQ18" s="832"/>
      <c r="IR18" s="832"/>
      <c r="IS18" s="832"/>
      <c r="IT18" s="832"/>
      <c r="IU18" s="832"/>
      <c r="IV18" s="832"/>
      <c r="IW18" s="832"/>
    </row>
    <row r="19" customFormat="false" ht="38.25" hidden="false" customHeight="false" outlineLevel="0" collapsed="false">
      <c r="A19" s="962" t="s">
        <v>684</v>
      </c>
      <c r="B19" s="963" t="n">
        <v>0.05</v>
      </c>
      <c r="C19" s="964"/>
      <c r="D19" s="964"/>
      <c r="E19" s="962" t="s">
        <v>685</v>
      </c>
      <c r="F19" s="965" t="s">
        <v>686</v>
      </c>
      <c r="G19" s="966" t="s">
        <v>687</v>
      </c>
      <c r="H19" s="965" t="s">
        <v>688</v>
      </c>
      <c r="I19" s="966" t="s">
        <v>689</v>
      </c>
      <c r="J19" s="967" t="s">
        <v>690</v>
      </c>
      <c r="K19" s="1"/>
      <c r="L19" s="1"/>
      <c r="M19" s="1"/>
      <c r="N19" s="1"/>
      <c r="O19" s="1"/>
      <c r="P19" s="1"/>
      <c r="Q19" s="1"/>
      <c r="R19" s="1"/>
      <c r="S19" s="1"/>
      <c r="T19" s="1"/>
      <c r="U19" s="1"/>
      <c r="V19" s="1"/>
      <c r="W19" s="1"/>
      <c r="X19" s="1"/>
      <c r="Y19" s="1"/>
      <c r="Z19" s="1"/>
      <c r="AA19" s="1"/>
      <c r="AB19" s="1"/>
      <c r="AC19" s="1"/>
      <c r="AD19" s="1"/>
      <c r="AE19" s="1"/>
      <c r="AF19" s="1"/>
      <c r="AG19" s="832"/>
      <c r="AH19" s="832"/>
      <c r="AI19" s="832"/>
      <c r="AJ19" s="832"/>
      <c r="AK19" s="832"/>
      <c r="AL19" s="832"/>
      <c r="AM19" s="832"/>
      <c r="AN19" s="832"/>
      <c r="AO19" s="832"/>
      <c r="AP19" s="832"/>
      <c r="AQ19" s="832"/>
      <c r="AR19" s="832"/>
      <c r="AS19" s="832"/>
      <c r="AT19" s="832"/>
      <c r="AU19" s="832"/>
      <c r="AV19" s="832"/>
      <c r="AW19" s="832"/>
      <c r="AX19" s="832"/>
      <c r="AY19" s="832"/>
      <c r="AZ19" s="832"/>
      <c r="BA19" s="832"/>
      <c r="BB19" s="832"/>
      <c r="BC19" s="832"/>
      <c r="BD19" s="832"/>
      <c r="BE19" s="832"/>
      <c r="BF19" s="832"/>
      <c r="BG19" s="832"/>
      <c r="BH19" s="832"/>
      <c r="BI19" s="832"/>
      <c r="BJ19" s="832"/>
      <c r="BK19" s="832"/>
      <c r="BL19" s="832"/>
      <c r="BM19" s="832"/>
      <c r="BN19" s="832"/>
      <c r="BO19" s="832"/>
      <c r="BP19" s="832"/>
      <c r="BQ19" s="832"/>
      <c r="BR19" s="832"/>
      <c r="BS19" s="832"/>
      <c r="BT19" s="832"/>
      <c r="BU19" s="832"/>
      <c r="BV19" s="832"/>
      <c r="BW19" s="832"/>
      <c r="BX19" s="832"/>
      <c r="BY19" s="832"/>
      <c r="BZ19" s="832"/>
      <c r="CA19" s="832"/>
      <c r="CB19" s="832"/>
      <c r="CC19" s="832"/>
      <c r="CD19" s="832"/>
      <c r="CE19" s="832"/>
      <c r="CF19" s="832"/>
      <c r="CG19" s="832"/>
      <c r="CH19" s="832"/>
      <c r="CI19" s="832"/>
      <c r="CJ19" s="832"/>
      <c r="CK19" s="832"/>
      <c r="CL19" s="832"/>
      <c r="CM19" s="832"/>
      <c r="CN19" s="832"/>
      <c r="CO19" s="832"/>
      <c r="CP19" s="832"/>
      <c r="CQ19" s="832"/>
      <c r="CR19" s="832"/>
      <c r="CS19" s="832"/>
      <c r="CT19" s="832"/>
      <c r="CU19" s="832"/>
      <c r="CV19" s="832"/>
      <c r="CW19" s="832"/>
      <c r="CX19" s="832"/>
      <c r="CY19" s="832"/>
      <c r="CZ19" s="832"/>
      <c r="DA19" s="832"/>
      <c r="DB19" s="832"/>
      <c r="DC19" s="832"/>
      <c r="DD19" s="832"/>
      <c r="DE19" s="832"/>
      <c r="DF19" s="832"/>
      <c r="DG19" s="832"/>
      <c r="DH19" s="832"/>
      <c r="DI19" s="832"/>
      <c r="DJ19" s="832"/>
      <c r="DK19" s="832"/>
      <c r="DL19" s="832"/>
      <c r="DM19" s="832"/>
      <c r="DN19" s="832"/>
      <c r="DO19" s="832"/>
      <c r="DP19" s="832"/>
      <c r="DQ19" s="832"/>
      <c r="DR19" s="832"/>
      <c r="DS19" s="832"/>
      <c r="DT19" s="832"/>
      <c r="DU19" s="832"/>
      <c r="DV19" s="832"/>
      <c r="DW19" s="832"/>
      <c r="DX19" s="832"/>
      <c r="DY19" s="832"/>
      <c r="DZ19" s="832"/>
      <c r="EA19" s="832"/>
      <c r="EB19" s="832"/>
      <c r="EC19" s="832"/>
      <c r="ED19" s="832"/>
      <c r="EE19" s="832"/>
      <c r="EF19" s="832"/>
      <c r="EG19" s="832"/>
      <c r="EH19" s="832"/>
      <c r="EI19" s="832"/>
      <c r="EJ19" s="832"/>
      <c r="EK19" s="832"/>
      <c r="EL19" s="832"/>
      <c r="EM19" s="832"/>
      <c r="EN19" s="832"/>
      <c r="EO19" s="832"/>
      <c r="EP19" s="832"/>
      <c r="EQ19" s="832"/>
      <c r="ER19" s="832"/>
      <c r="ES19" s="832"/>
      <c r="ET19" s="832"/>
      <c r="EU19" s="832"/>
      <c r="EV19" s="832"/>
      <c r="EW19" s="832"/>
      <c r="EX19" s="832"/>
      <c r="EY19" s="832"/>
      <c r="EZ19" s="832"/>
      <c r="FA19" s="832"/>
      <c r="FB19" s="832"/>
      <c r="FC19" s="832"/>
      <c r="FD19" s="832"/>
      <c r="FE19" s="832"/>
      <c r="FF19" s="832"/>
      <c r="FG19" s="832"/>
      <c r="FH19" s="832"/>
      <c r="FI19" s="832"/>
      <c r="FJ19" s="832"/>
      <c r="FK19" s="832"/>
      <c r="FL19" s="832"/>
      <c r="FM19" s="832"/>
      <c r="FN19" s="832"/>
      <c r="FO19" s="832"/>
      <c r="FP19" s="832"/>
      <c r="FQ19" s="832"/>
      <c r="FR19" s="832"/>
      <c r="FS19" s="832"/>
      <c r="FT19" s="832"/>
      <c r="FU19" s="832"/>
      <c r="FV19" s="832"/>
      <c r="FW19" s="832"/>
      <c r="FX19" s="832"/>
      <c r="FY19" s="832"/>
      <c r="FZ19" s="832"/>
      <c r="GA19" s="832"/>
      <c r="GB19" s="832"/>
      <c r="GC19" s="832"/>
      <c r="GD19" s="832"/>
      <c r="GE19" s="832"/>
      <c r="GF19" s="832"/>
      <c r="GG19" s="832"/>
      <c r="GH19" s="832"/>
      <c r="GI19" s="832"/>
      <c r="GJ19" s="832"/>
      <c r="GK19" s="832"/>
      <c r="GL19" s="832"/>
      <c r="GM19" s="832"/>
      <c r="GN19" s="832"/>
      <c r="GO19" s="832"/>
      <c r="GP19" s="832"/>
      <c r="GQ19" s="832"/>
      <c r="GR19" s="832"/>
      <c r="GS19" s="832"/>
      <c r="GT19" s="832"/>
      <c r="GU19" s="832"/>
      <c r="GV19" s="832"/>
      <c r="GW19" s="832"/>
      <c r="GX19" s="832"/>
      <c r="GY19" s="832"/>
      <c r="GZ19" s="832"/>
      <c r="HA19" s="832"/>
      <c r="HB19" s="832"/>
      <c r="HC19" s="832"/>
      <c r="HD19" s="832"/>
      <c r="HE19" s="832"/>
      <c r="HF19" s="832"/>
      <c r="HG19" s="832"/>
      <c r="HH19" s="832"/>
      <c r="HI19" s="832"/>
      <c r="HJ19" s="832"/>
      <c r="HK19" s="832"/>
      <c r="HL19" s="832"/>
      <c r="HM19" s="832"/>
      <c r="HN19" s="832"/>
      <c r="HO19" s="832"/>
      <c r="HP19" s="832"/>
      <c r="HQ19" s="832"/>
      <c r="HR19" s="832"/>
      <c r="HS19" s="832"/>
      <c r="HT19" s="832"/>
      <c r="HU19" s="832"/>
      <c r="HV19" s="832"/>
      <c r="HW19" s="832"/>
      <c r="HX19" s="832"/>
      <c r="HY19" s="832"/>
      <c r="HZ19" s="832"/>
      <c r="IA19" s="832"/>
      <c r="IB19" s="832"/>
      <c r="IC19" s="832"/>
      <c r="ID19" s="832"/>
      <c r="IE19" s="832"/>
      <c r="IF19" s="832"/>
      <c r="IG19" s="832"/>
      <c r="IH19" s="832"/>
      <c r="II19" s="832"/>
      <c r="IJ19" s="832"/>
      <c r="IK19" s="832"/>
      <c r="IL19" s="832"/>
      <c r="IM19" s="832"/>
      <c r="IN19" s="832"/>
      <c r="IO19" s="832"/>
      <c r="IP19" s="832"/>
      <c r="IQ19" s="832"/>
      <c r="IR19" s="832"/>
      <c r="IS19" s="832"/>
      <c r="IT19" s="832"/>
      <c r="IU19" s="832"/>
      <c r="IV19" s="832"/>
      <c r="IW19" s="832"/>
    </row>
    <row r="20" customFormat="false" ht="12.75" hidden="false" customHeight="false" outlineLevel="0" collapsed="false">
      <c r="A20" s="968" t="s">
        <v>691</v>
      </c>
      <c r="B20" s="969" t="n">
        <v>2.5</v>
      </c>
      <c r="C20" s="970"/>
      <c r="D20" s="970"/>
      <c r="E20" s="51"/>
      <c r="F20" s="52"/>
      <c r="G20" s="52"/>
      <c r="H20" s="52"/>
      <c r="I20" s="52"/>
      <c r="J20" s="56"/>
      <c r="K20" s="1"/>
      <c r="L20" s="1"/>
      <c r="M20" s="1"/>
      <c r="N20" s="1"/>
      <c r="O20" s="1"/>
      <c r="P20" s="1"/>
      <c r="Q20" s="1"/>
      <c r="R20" s="1"/>
      <c r="S20" s="1"/>
      <c r="T20" s="1"/>
      <c r="U20" s="1"/>
      <c r="V20" s="1"/>
      <c r="W20" s="1"/>
      <c r="X20" s="1"/>
      <c r="Y20" s="1"/>
      <c r="Z20" s="1"/>
      <c r="AA20" s="1"/>
      <c r="AB20" s="1"/>
      <c r="AC20" s="1"/>
      <c r="AD20" s="1"/>
      <c r="AE20" s="1"/>
      <c r="AF20" s="1"/>
      <c r="AG20" s="832"/>
      <c r="AH20" s="832"/>
      <c r="AI20" s="832"/>
      <c r="AJ20" s="832"/>
      <c r="AK20" s="832"/>
      <c r="AL20" s="832"/>
      <c r="AM20" s="832"/>
      <c r="AN20" s="832"/>
      <c r="AO20" s="832"/>
      <c r="AP20" s="832"/>
      <c r="AQ20" s="832"/>
      <c r="AR20" s="832"/>
      <c r="AS20" s="832"/>
      <c r="AT20" s="832"/>
      <c r="AU20" s="832"/>
      <c r="AV20" s="832"/>
      <c r="AW20" s="832"/>
      <c r="AX20" s="832"/>
      <c r="AY20" s="832"/>
      <c r="AZ20" s="832"/>
      <c r="BA20" s="832"/>
      <c r="BB20" s="832"/>
      <c r="BC20" s="832"/>
      <c r="BD20" s="832"/>
      <c r="BE20" s="832"/>
      <c r="BF20" s="832"/>
      <c r="BG20" s="832"/>
      <c r="BH20" s="832"/>
      <c r="BI20" s="832"/>
      <c r="BJ20" s="832"/>
      <c r="BK20" s="832"/>
      <c r="BL20" s="832"/>
      <c r="BM20" s="832"/>
      <c r="BN20" s="832"/>
      <c r="BO20" s="832"/>
      <c r="BP20" s="832"/>
      <c r="BQ20" s="832"/>
      <c r="BR20" s="832"/>
      <c r="BS20" s="832"/>
      <c r="BT20" s="832"/>
      <c r="BU20" s="832"/>
      <c r="BV20" s="832"/>
      <c r="BW20" s="832"/>
      <c r="BX20" s="832"/>
      <c r="BY20" s="832"/>
      <c r="BZ20" s="832"/>
      <c r="CA20" s="832"/>
      <c r="CB20" s="832"/>
      <c r="CC20" s="832"/>
      <c r="CD20" s="832"/>
      <c r="CE20" s="832"/>
      <c r="CF20" s="832"/>
      <c r="CG20" s="832"/>
      <c r="CH20" s="832"/>
      <c r="CI20" s="832"/>
      <c r="CJ20" s="832"/>
      <c r="CK20" s="832"/>
      <c r="CL20" s="832"/>
      <c r="CM20" s="832"/>
      <c r="CN20" s="832"/>
      <c r="CO20" s="832"/>
      <c r="CP20" s="832"/>
      <c r="CQ20" s="832"/>
      <c r="CR20" s="832"/>
      <c r="CS20" s="832"/>
      <c r="CT20" s="832"/>
      <c r="CU20" s="832"/>
      <c r="CV20" s="832"/>
      <c r="CW20" s="832"/>
      <c r="CX20" s="832"/>
      <c r="CY20" s="832"/>
      <c r="CZ20" s="832"/>
      <c r="DA20" s="832"/>
      <c r="DB20" s="832"/>
      <c r="DC20" s="832"/>
      <c r="DD20" s="832"/>
      <c r="DE20" s="832"/>
      <c r="DF20" s="832"/>
      <c r="DG20" s="832"/>
      <c r="DH20" s="832"/>
      <c r="DI20" s="832"/>
      <c r="DJ20" s="832"/>
      <c r="DK20" s="832"/>
      <c r="DL20" s="832"/>
      <c r="DM20" s="832"/>
      <c r="DN20" s="832"/>
      <c r="DO20" s="832"/>
      <c r="DP20" s="832"/>
      <c r="DQ20" s="832"/>
      <c r="DR20" s="832"/>
      <c r="DS20" s="832"/>
      <c r="DT20" s="832"/>
      <c r="DU20" s="832"/>
      <c r="DV20" s="832"/>
      <c r="DW20" s="832"/>
      <c r="DX20" s="832"/>
      <c r="DY20" s="832"/>
      <c r="DZ20" s="832"/>
      <c r="EA20" s="832"/>
      <c r="EB20" s="832"/>
      <c r="EC20" s="832"/>
      <c r="ED20" s="832"/>
      <c r="EE20" s="832"/>
      <c r="EF20" s="832"/>
      <c r="EG20" s="832"/>
      <c r="EH20" s="832"/>
      <c r="EI20" s="832"/>
      <c r="EJ20" s="832"/>
      <c r="EK20" s="832"/>
      <c r="EL20" s="832"/>
      <c r="EM20" s="832"/>
      <c r="EN20" s="832"/>
      <c r="EO20" s="832"/>
      <c r="EP20" s="832"/>
      <c r="EQ20" s="832"/>
      <c r="ER20" s="832"/>
      <c r="ES20" s="832"/>
      <c r="ET20" s="832"/>
      <c r="EU20" s="832"/>
      <c r="EV20" s="832"/>
      <c r="EW20" s="832"/>
      <c r="EX20" s="832"/>
      <c r="EY20" s="832"/>
      <c r="EZ20" s="832"/>
      <c r="FA20" s="832"/>
      <c r="FB20" s="832"/>
      <c r="FC20" s="832"/>
      <c r="FD20" s="832"/>
      <c r="FE20" s="832"/>
      <c r="FF20" s="832"/>
      <c r="FG20" s="832"/>
      <c r="FH20" s="832"/>
      <c r="FI20" s="832"/>
      <c r="FJ20" s="832"/>
      <c r="FK20" s="832"/>
      <c r="FL20" s="832"/>
      <c r="FM20" s="832"/>
      <c r="FN20" s="832"/>
      <c r="FO20" s="832"/>
      <c r="FP20" s="832"/>
      <c r="FQ20" s="832"/>
      <c r="FR20" s="832"/>
      <c r="FS20" s="832"/>
      <c r="FT20" s="832"/>
      <c r="FU20" s="832"/>
      <c r="FV20" s="832"/>
      <c r="FW20" s="832"/>
      <c r="FX20" s="832"/>
      <c r="FY20" s="832"/>
      <c r="FZ20" s="832"/>
      <c r="GA20" s="832"/>
      <c r="GB20" s="832"/>
      <c r="GC20" s="832"/>
      <c r="GD20" s="832"/>
      <c r="GE20" s="832"/>
      <c r="GF20" s="832"/>
      <c r="GG20" s="832"/>
      <c r="GH20" s="832"/>
      <c r="GI20" s="832"/>
      <c r="GJ20" s="832"/>
      <c r="GK20" s="832"/>
      <c r="GL20" s="832"/>
      <c r="GM20" s="832"/>
      <c r="GN20" s="832"/>
      <c r="GO20" s="832"/>
      <c r="GP20" s="832"/>
      <c r="GQ20" s="832"/>
      <c r="GR20" s="832"/>
      <c r="GS20" s="832"/>
      <c r="GT20" s="832"/>
      <c r="GU20" s="832"/>
      <c r="GV20" s="832"/>
      <c r="GW20" s="832"/>
      <c r="GX20" s="832"/>
      <c r="GY20" s="832"/>
      <c r="GZ20" s="832"/>
      <c r="HA20" s="832"/>
      <c r="HB20" s="832"/>
      <c r="HC20" s="832"/>
      <c r="HD20" s="832"/>
      <c r="HE20" s="832"/>
      <c r="HF20" s="832"/>
      <c r="HG20" s="832"/>
      <c r="HH20" s="832"/>
      <c r="HI20" s="832"/>
      <c r="HJ20" s="832"/>
      <c r="HK20" s="832"/>
      <c r="HL20" s="832"/>
      <c r="HM20" s="832"/>
      <c r="HN20" s="832"/>
      <c r="HO20" s="832"/>
      <c r="HP20" s="832"/>
      <c r="HQ20" s="832"/>
      <c r="HR20" s="832"/>
      <c r="HS20" s="832"/>
      <c r="HT20" s="832"/>
      <c r="HU20" s="832"/>
      <c r="HV20" s="832"/>
      <c r="HW20" s="832"/>
      <c r="HX20" s="832"/>
      <c r="HY20" s="832"/>
      <c r="HZ20" s="832"/>
      <c r="IA20" s="832"/>
      <c r="IB20" s="832"/>
      <c r="IC20" s="832"/>
      <c r="ID20" s="832"/>
      <c r="IE20" s="832"/>
      <c r="IF20" s="832"/>
      <c r="IG20" s="832"/>
      <c r="IH20" s="832"/>
      <c r="II20" s="832"/>
      <c r="IJ20" s="832"/>
      <c r="IK20" s="832"/>
      <c r="IL20" s="832"/>
      <c r="IM20" s="832"/>
      <c r="IN20" s="832"/>
      <c r="IO20" s="832"/>
      <c r="IP20" s="832"/>
      <c r="IQ20" s="832"/>
      <c r="IR20" s="832"/>
      <c r="IS20" s="832"/>
      <c r="IT20" s="832"/>
      <c r="IU20" s="832"/>
      <c r="IV20" s="832"/>
      <c r="IW20" s="832"/>
    </row>
    <row r="21" customFormat="false" ht="12.75" hidden="false" customHeight="false" outlineLevel="0" collapsed="false">
      <c r="A21" s="968" t="s">
        <v>692</v>
      </c>
      <c r="B21" s="969" t="n">
        <f aca="false">'Project Assumptions'!N59</f>
        <v>0</v>
      </c>
      <c r="C21" s="970"/>
      <c r="D21" s="970"/>
      <c r="E21" s="51" t="n">
        <v>20</v>
      </c>
      <c r="F21" s="55" t="n">
        <f aca="false">1374*3</f>
        <v>4122</v>
      </c>
      <c r="G21" s="55" t="n">
        <f aca="false">$B$21*($B$23+$B$24)*$B$20*(1+$B$19)</f>
        <v>0</v>
      </c>
      <c r="H21" s="55" t="n">
        <f aca="false">G21+F21</f>
        <v>4122</v>
      </c>
      <c r="I21" s="964" t="n">
        <f aca="false">G21/H21</f>
        <v>0</v>
      </c>
      <c r="J21" s="971" t="n">
        <f aca="false">1-I21</f>
        <v>1</v>
      </c>
      <c r="K21" s="1"/>
      <c r="L21" s="1"/>
      <c r="M21" s="1"/>
      <c r="N21" s="1"/>
      <c r="O21" s="1"/>
      <c r="P21" s="1"/>
      <c r="Q21" s="1"/>
      <c r="R21" s="1"/>
      <c r="S21" s="1"/>
      <c r="T21" s="1"/>
      <c r="U21" s="1"/>
      <c r="V21" s="1"/>
      <c r="W21" s="1"/>
      <c r="X21" s="1"/>
      <c r="Y21" s="1"/>
      <c r="Z21" s="1"/>
      <c r="AA21" s="1"/>
      <c r="AB21" s="1"/>
      <c r="AC21" s="1"/>
      <c r="AD21" s="1"/>
      <c r="AE21" s="1"/>
      <c r="AF21" s="1"/>
      <c r="AG21" s="832"/>
      <c r="AH21" s="832"/>
      <c r="AI21" s="832"/>
      <c r="AJ21" s="832"/>
      <c r="AK21" s="832"/>
      <c r="AL21" s="832"/>
      <c r="AM21" s="832"/>
      <c r="AN21" s="832"/>
      <c r="AO21" s="832"/>
      <c r="AP21" s="832"/>
      <c r="AQ21" s="832"/>
      <c r="AR21" s="832"/>
      <c r="AS21" s="832"/>
      <c r="AT21" s="832"/>
      <c r="AU21" s="832"/>
      <c r="AV21" s="832"/>
      <c r="AW21" s="832"/>
      <c r="AX21" s="832"/>
      <c r="AY21" s="832"/>
      <c r="AZ21" s="832"/>
      <c r="BA21" s="832"/>
      <c r="BB21" s="832"/>
      <c r="BC21" s="832"/>
      <c r="BD21" s="832"/>
      <c r="BE21" s="832"/>
      <c r="BF21" s="832"/>
      <c r="BG21" s="832"/>
      <c r="BH21" s="832"/>
      <c r="BI21" s="832"/>
      <c r="BJ21" s="832"/>
      <c r="BK21" s="832"/>
      <c r="BL21" s="832"/>
      <c r="BM21" s="832"/>
      <c r="BN21" s="832"/>
      <c r="BO21" s="832"/>
      <c r="BP21" s="832"/>
      <c r="BQ21" s="832"/>
      <c r="BR21" s="832"/>
      <c r="BS21" s="832"/>
      <c r="BT21" s="832"/>
      <c r="BU21" s="832"/>
      <c r="BV21" s="832"/>
      <c r="BW21" s="832"/>
      <c r="BX21" s="832"/>
      <c r="BY21" s="832"/>
      <c r="BZ21" s="832"/>
      <c r="CA21" s="832"/>
      <c r="CB21" s="832"/>
      <c r="CC21" s="832"/>
      <c r="CD21" s="832"/>
      <c r="CE21" s="832"/>
      <c r="CF21" s="832"/>
      <c r="CG21" s="832"/>
      <c r="CH21" s="832"/>
      <c r="CI21" s="832"/>
      <c r="CJ21" s="832"/>
      <c r="CK21" s="832"/>
      <c r="CL21" s="832"/>
      <c r="CM21" s="832"/>
      <c r="CN21" s="832"/>
      <c r="CO21" s="832"/>
      <c r="CP21" s="832"/>
      <c r="CQ21" s="832"/>
      <c r="CR21" s="832"/>
      <c r="CS21" s="832"/>
      <c r="CT21" s="832"/>
      <c r="CU21" s="832"/>
      <c r="CV21" s="832"/>
      <c r="CW21" s="832"/>
      <c r="CX21" s="832"/>
      <c r="CY21" s="832"/>
      <c r="CZ21" s="832"/>
      <c r="DA21" s="832"/>
      <c r="DB21" s="832"/>
      <c r="DC21" s="832"/>
      <c r="DD21" s="832"/>
      <c r="DE21" s="832"/>
      <c r="DF21" s="832"/>
      <c r="DG21" s="832"/>
      <c r="DH21" s="832"/>
      <c r="DI21" s="832"/>
      <c r="DJ21" s="832"/>
      <c r="DK21" s="832"/>
      <c r="DL21" s="832"/>
      <c r="DM21" s="832"/>
      <c r="DN21" s="832"/>
      <c r="DO21" s="832"/>
      <c r="DP21" s="832"/>
      <c r="DQ21" s="832"/>
      <c r="DR21" s="832"/>
      <c r="DS21" s="832"/>
      <c r="DT21" s="832"/>
      <c r="DU21" s="832"/>
      <c r="DV21" s="832"/>
      <c r="DW21" s="832"/>
      <c r="DX21" s="832"/>
      <c r="DY21" s="832"/>
      <c r="DZ21" s="832"/>
      <c r="EA21" s="832"/>
      <c r="EB21" s="832"/>
      <c r="EC21" s="832"/>
      <c r="ED21" s="832"/>
      <c r="EE21" s="832"/>
      <c r="EF21" s="832"/>
      <c r="EG21" s="832"/>
      <c r="EH21" s="832"/>
      <c r="EI21" s="832"/>
      <c r="EJ21" s="832"/>
      <c r="EK21" s="832"/>
      <c r="EL21" s="832"/>
      <c r="EM21" s="832"/>
      <c r="EN21" s="832"/>
      <c r="EO21" s="832"/>
      <c r="EP21" s="832"/>
      <c r="EQ21" s="832"/>
      <c r="ER21" s="832"/>
      <c r="ES21" s="832"/>
      <c r="ET21" s="832"/>
      <c r="EU21" s="832"/>
      <c r="EV21" s="832"/>
      <c r="EW21" s="832"/>
      <c r="EX21" s="832"/>
      <c r="EY21" s="832"/>
      <c r="EZ21" s="832"/>
      <c r="FA21" s="832"/>
      <c r="FB21" s="832"/>
      <c r="FC21" s="832"/>
      <c r="FD21" s="832"/>
      <c r="FE21" s="832"/>
      <c r="FF21" s="832"/>
      <c r="FG21" s="832"/>
      <c r="FH21" s="832"/>
      <c r="FI21" s="832"/>
      <c r="FJ21" s="832"/>
      <c r="FK21" s="832"/>
      <c r="FL21" s="832"/>
      <c r="FM21" s="832"/>
      <c r="FN21" s="832"/>
      <c r="FO21" s="832"/>
      <c r="FP21" s="832"/>
      <c r="FQ21" s="832"/>
      <c r="FR21" s="832"/>
      <c r="FS21" s="832"/>
      <c r="FT21" s="832"/>
      <c r="FU21" s="832"/>
      <c r="FV21" s="832"/>
      <c r="FW21" s="832"/>
      <c r="FX21" s="832"/>
      <c r="FY21" s="832"/>
      <c r="FZ21" s="832"/>
      <c r="GA21" s="832"/>
      <c r="GB21" s="832"/>
      <c r="GC21" s="832"/>
      <c r="GD21" s="832"/>
      <c r="GE21" s="832"/>
      <c r="GF21" s="832"/>
      <c r="GG21" s="832"/>
      <c r="GH21" s="832"/>
      <c r="GI21" s="832"/>
      <c r="GJ21" s="832"/>
      <c r="GK21" s="832"/>
      <c r="GL21" s="832"/>
      <c r="GM21" s="832"/>
      <c r="GN21" s="832"/>
      <c r="GO21" s="832"/>
      <c r="GP21" s="832"/>
      <c r="GQ21" s="832"/>
      <c r="GR21" s="832"/>
      <c r="GS21" s="832"/>
      <c r="GT21" s="832"/>
      <c r="GU21" s="832"/>
      <c r="GV21" s="832"/>
      <c r="GW21" s="832"/>
      <c r="GX21" s="832"/>
      <c r="GY21" s="832"/>
      <c r="GZ21" s="832"/>
      <c r="HA21" s="832"/>
      <c r="HB21" s="832"/>
      <c r="HC21" s="832"/>
      <c r="HD21" s="832"/>
      <c r="HE21" s="832"/>
      <c r="HF21" s="832"/>
      <c r="HG21" s="832"/>
      <c r="HH21" s="832"/>
      <c r="HI21" s="832"/>
      <c r="HJ21" s="832"/>
      <c r="HK21" s="832"/>
      <c r="HL21" s="832"/>
      <c r="HM21" s="832"/>
      <c r="HN21" s="832"/>
      <c r="HO21" s="832"/>
      <c r="HP21" s="832"/>
      <c r="HQ21" s="832"/>
      <c r="HR21" s="832"/>
      <c r="HS21" s="832"/>
      <c r="HT21" s="832"/>
      <c r="HU21" s="832"/>
      <c r="HV21" s="832"/>
      <c r="HW21" s="832"/>
      <c r="HX21" s="832"/>
      <c r="HY21" s="832"/>
      <c r="HZ21" s="832"/>
      <c r="IA21" s="832"/>
      <c r="IB21" s="832"/>
      <c r="IC21" s="832"/>
      <c r="ID21" s="832"/>
      <c r="IE21" s="832"/>
      <c r="IF21" s="832"/>
      <c r="IG21" s="832"/>
      <c r="IH21" s="832"/>
      <c r="II21" s="832"/>
      <c r="IJ21" s="832"/>
      <c r="IK21" s="832"/>
      <c r="IL21" s="832"/>
      <c r="IM21" s="832"/>
      <c r="IN21" s="832"/>
      <c r="IO21" s="832"/>
      <c r="IP21" s="832"/>
      <c r="IQ21" s="832"/>
      <c r="IR21" s="832"/>
      <c r="IS21" s="832"/>
      <c r="IT21" s="832"/>
      <c r="IU21" s="832"/>
      <c r="IV21" s="832"/>
      <c r="IW21" s="832"/>
    </row>
    <row r="22" customFormat="false" ht="12.75" hidden="false" customHeight="false" outlineLevel="0" collapsed="false">
      <c r="A22" s="972"/>
      <c r="B22" s="56"/>
      <c r="C22" s="52"/>
      <c r="D22" s="52"/>
      <c r="E22" s="51" t="n">
        <v>30</v>
      </c>
      <c r="F22" s="55" t="n">
        <f aca="false">1374*3</f>
        <v>4122</v>
      </c>
      <c r="G22" s="55" t="n">
        <f aca="false">$B$21*($B$23+$B$24)*$B$20*(1+$B$19)</f>
        <v>0</v>
      </c>
      <c r="H22" s="55" t="n">
        <f aca="false">G22+F22</f>
        <v>4122</v>
      </c>
      <c r="I22" s="964" t="n">
        <f aca="false">G22/H22</f>
        <v>0</v>
      </c>
      <c r="J22" s="971" t="n">
        <f aca="false">1-I22</f>
        <v>1</v>
      </c>
      <c r="K22" s="1"/>
      <c r="L22" s="1"/>
      <c r="M22" s="1"/>
      <c r="N22" s="1"/>
      <c r="O22" s="1"/>
      <c r="P22" s="1"/>
      <c r="Q22" s="1"/>
      <c r="R22" s="1"/>
      <c r="S22" s="1"/>
      <c r="T22" s="1"/>
      <c r="U22" s="1"/>
      <c r="V22" s="1"/>
      <c r="W22" s="1"/>
      <c r="X22" s="1"/>
      <c r="Y22" s="1"/>
      <c r="Z22" s="1"/>
      <c r="AA22" s="1"/>
      <c r="AB22" s="1"/>
      <c r="AC22" s="1"/>
      <c r="AD22" s="1"/>
      <c r="AE22" s="1"/>
      <c r="AF22" s="1"/>
      <c r="AG22" s="832"/>
      <c r="AH22" s="832"/>
      <c r="AI22" s="832"/>
      <c r="AJ22" s="832"/>
      <c r="AK22" s="832"/>
      <c r="AL22" s="832"/>
      <c r="AM22" s="832"/>
      <c r="AN22" s="832"/>
      <c r="AO22" s="832"/>
      <c r="AP22" s="832"/>
      <c r="AQ22" s="832"/>
      <c r="AR22" s="832"/>
      <c r="AS22" s="832"/>
      <c r="AT22" s="832"/>
      <c r="AU22" s="832"/>
      <c r="AV22" s="832"/>
      <c r="AW22" s="832"/>
      <c r="AX22" s="832"/>
      <c r="AY22" s="832"/>
      <c r="AZ22" s="832"/>
      <c r="BA22" s="832"/>
      <c r="BB22" s="832"/>
      <c r="BC22" s="832"/>
      <c r="BD22" s="832"/>
      <c r="BE22" s="832"/>
      <c r="BF22" s="832"/>
      <c r="BG22" s="832"/>
      <c r="BH22" s="832"/>
      <c r="BI22" s="832"/>
      <c r="BJ22" s="832"/>
      <c r="BK22" s="832"/>
      <c r="BL22" s="832"/>
      <c r="BM22" s="832"/>
      <c r="BN22" s="832"/>
      <c r="BO22" s="832"/>
      <c r="BP22" s="832"/>
      <c r="BQ22" s="832"/>
      <c r="BR22" s="832"/>
      <c r="BS22" s="832"/>
      <c r="BT22" s="832"/>
      <c r="BU22" s="832"/>
      <c r="BV22" s="832"/>
      <c r="BW22" s="832"/>
      <c r="BX22" s="832"/>
      <c r="BY22" s="832"/>
      <c r="BZ22" s="832"/>
      <c r="CA22" s="832"/>
      <c r="CB22" s="832"/>
      <c r="CC22" s="832"/>
      <c r="CD22" s="832"/>
      <c r="CE22" s="832"/>
      <c r="CF22" s="832"/>
      <c r="CG22" s="832"/>
      <c r="CH22" s="832"/>
      <c r="CI22" s="832"/>
      <c r="CJ22" s="832"/>
      <c r="CK22" s="832"/>
      <c r="CL22" s="832"/>
      <c r="CM22" s="832"/>
      <c r="CN22" s="832"/>
      <c r="CO22" s="832"/>
      <c r="CP22" s="832"/>
      <c r="CQ22" s="832"/>
      <c r="CR22" s="832"/>
      <c r="CS22" s="832"/>
      <c r="CT22" s="832"/>
      <c r="CU22" s="832"/>
      <c r="CV22" s="832"/>
      <c r="CW22" s="832"/>
      <c r="CX22" s="832"/>
      <c r="CY22" s="832"/>
      <c r="CZ22" s="832"/>
      <c r="DA22" s="832"/>
      <c r="DB22" s="832"/>
      <c r="DC22" s="832"/>
      <c r="DD22" s="832"/>
      <c r="DE22" s="832"/>
      <c r="DF22" s="832"/>
      <c r="DG22" s="832"/>
      <c r="DH22" s="832"/>
      <c r="DI22" s="832"/>
      <c r="DJ22" s="832"/>
      <c r="DK22" s="832"/>
      <c r="DL22" s="832"/>
      <c r="DM22" s="832"/>
      <c r="DN22" s="832"/>
      <c r="DO22" s="832"/>
      <c r="DP22" s="832"/>
      <c r="DQ22" s="832"/>
      <c r="DR22" s="832"/>
      <c r="DS22" s="832"/>
      <c r="DT22" s="832"/>
      <c r="DU22" s="832"/>
      <c r="DV22" s="832"/>
      <c r="DW22" s="832"/>
      <c r="DX22" s="832"/>
      <c r="DY22" s="832"/>
      <c r="DZ22" s="832"/>
      <c r="EA22" s="832"/>
      <c r="EB22" s="832"/>
      <c r="EC22" s="832"/>
      <c r="ED22" s="832"/>
      <c r="EE22" s="832"/>
      <c r="EF22" s="832"/>
      <c r="EG22" s="832"/>
      <c r="EH22" s="832"/>
      <c r="EI22" s="832"/>
      <c r="EJ22" s="832"/>
      <c r="EK22" s="832"/>
      <c r="EL22" s="832"/>
      <c r="EM22" s="832"/>
      <c r="EN22" s="832"/>
      <c r="EO22" s="832"/>
      <c r="EP22" s="832"/>
      <c r="EQ22" s="832"/>
      <c r="ER22" s="832"/>
      <c r="ES22" s="832"/>
      <c r="ET22" s="832"/>
      <c r="EU22" s="832"/>
      <c r="EV22" s="832"/>
      <c r="EW22" s="832"/>
      <c r="EX22" s="832"/>
      <c r="EY22" s="832"/>
      <c r="EZ22" s="832"/>
      <c r="FA22" s="832"/>
      <c r="FB22" s="832"/>
      <c r="FC22" s="832"/>
      <c r="FD22" s="832"/>
      <c r="FE22" s="832"/>
      <c r="FF22" s="832"/>
      <c r="FG22" s="832"/>
      <c r="FH22" s="832"/>
      <c r="FI22" s="832"/>
      <c r="FJ22" s="832"/>
      <c r="FK22" s="832"/>
      <c r="FL22" s="832"/>
      <c r="FM22" s="832"/>
      <c r="FN22" s="832"/>
      <c r="FO22" s="832"/>
      <c r="FP22" s="832"/>
      <c r="FQ22" s="832"/>
      <c r="FR22" s="832"/>
      <c r="FS22" s="832"/>
      <c r="FT22" s="832"/>
      <c r="FU22" s="832"/>
      <c r="FV22" s="832"/>
      <c r="FW22" s="832"/>
      <c r="FX22" s="832"/>
      <c r="FY22" s="832"/>
      <c r="FZ22" s="832"/>
      <c r="GA22" s="832"/>
      <c r="GB22" s="832"/>
      <c r="GC22" s="832"/>
      <c r="GD22" s="832"/>
      <c r="GE22" s="832"/>
      <c r="GF22" s="832"/>
      <c r="GG22" s="832"/>
      <c r="GH22" s="832"/>
      <c r="GI22" s="832"/>
      <c r="GJ22" s="832"/>
      <c r="GK22" s="832"/>
      <c r="GL22" s="832"/>
      <c r="GM22" s="832"/>
      <c r="GN22" s="832"/>
      <c r="GO22" s="832"/>
      <c r="GP22" s="832"/>
      <c r="GQ22" s="832"/>
      <c r="GR22" s="832"/>
      <c r="GS22" s="832"/>
      <c r="GT22" s="832"/>
      <c r="GU22" s="832"/>
      <c r="GV22" s="832"/>
      <c r="GW22" s="832"/>
      <c r="GX22" s="832"/>
      <c r="GY22" s="832"/>
      <c r="GZ22" s="832"/>
      <c r="HA22" s="832"/>
      <c r="HB22" s="832"/>
      <c r="HC22" s="832"/>
      <c r="HD22" s="832"/>
      <c r="HE22" s="832"/>
      <c r="HF22" s="832"/>
      <c r="HG22" s="832"/>
      <c r="HH22" s="832"/>
      <c r="HI22" s="832"/>
      <c r="HJ22" s="832"/>
      <c r="HK22" s="832"/>
      <c r="HL22" s="832"/>
      <c r="HM22" s="832"/>
      <c r="HN22" s="832"/>
      <c r="HO22" s="832"/>
      <c r="HP22" s="832"/>
      <c r="HQ22" s="832"/>
      <c r="HR22" s="832"/>
      <c r="HS22" s="832"/>
      <c r="HT22" s="832"/>
      <c r="HU22" s="832"/>
      <c r="HV22" s="832"/>
      <c r="HW22" s="832"/>
      <c r="HX22" s="832"/>
      <c r="HY22" s="832"/>
      <c r="HZ22" s="832"/>
      <c r="IA22" s="832"/>
      <c r="IB22" s="832"/>
      <c r="IC22" s="832"/>
      <c r="ID22" s="832"/>
      <c r="IE22" s="832"/>
      <c r="IF22" s="832"/>
      <c r="IG22" s="832"/>
      <c r="IH22" s="832"/>
      <c r="II22" s="832"/>
      <c r="IJ22" s="832"/>
      <c r="IK22" s="832"/>
      <c r="IL22" s="832"/>
      <c r="IM22" s="832"/>
      <c r="IN22" s="832"/>
      <c r="IO22" s="832"/>
      <c r="IP22" s="832"/>
      <c r="IQ22" s="832"/>
      <c r="IR22" s="832"/>
      <c r="IS22" s="832"/>
      <c r="IT22" s="832"/>
      <c r="IU22" s="832"/>
      <c r="IV22" s="832"/>
      <c r="IW22" s="832"/>
    </row>
    <row r="23" customFormat="false" ht="12.75" hidden="false" customHeight="false" outlineLevel="0" collapsed="false">
      <c r="A23" s="972" t="s">
        <v>118</v>
      </c>
      <c r="B23" s="56" t="n">
        <v>1</v>
      </c>
      <c r="C23" s="52"/>
      <c r="D23" s="52"/>
      <c r="E23" s="51" t="n">
        <v>40</v>
      </c>
      <c r="F23" s="55" t="n">
        <f aca="false">3334*3</f>
        <v>10002</v>
      </c>
      <c r="G23" s="55" t="n">
        <f aca="false">$B$21*($B$23+$B$24)*$B$20*(1+$B$19)</f>
        <v>0</v>
      </c>
      <c r="H23" s="55" t="n">
        <f aca="false">G23+F23</f>
        <v>10002</v>
      </c>
      <c r="I23" s="964" t="n">
        <f aca="false">G23/H23</f>
        <v>0</v>
      </c>
      <c r="J23" s="971" t="n">
        <f aca="false">1-I23</f>
        <v>1</v>
      </c>
      <c r="K23" s="1"/>
      <c r="L23" s="1"/>
      <c r="M23" s="1"/>
      <c r="N23" s="1"/>
      <c r="O23" s="1"/>
      <c r="P23" s="1"/>
      <c r="Q23" s="1"/>
      <c r="R23" s="1"/>
      <c r="S23" s="1"/>
      <c r="T23" s="1"/>
      <c r="U23" s="1"/>
      <c r="V23" s="1"/>
      <c r="W23" s="1"/>
      <c r="X23" s="1"/>
      <c r="Y23" s="1"/>
      <c r="Z23" s="1"/>
      <c r="AA23" s="1"/>
      <c r="AB23" s="1"/>
      <c r="AC23" s="1"/>
      <c r="AD23" s="1"/>
      <c r="AE23" s="1"/>
      <c r="AF23" s="1"/>
      <c r="AG23" s="832"/>
      <c r="AH23" s="832"/>
      <c r="AI23" s="832"/>
      <c r="AJ23" s="832"/>
      <c r="AK23" s="832"/>
      <c r="AL23" s="832"/>
      <c r="AM23" s="832"/>
      <c r="AN23" s="832"/>
      <c r="AO23" s="832"/>
      <c r="AP23" s="832"/>
      <c r="AQ23" s="832"/>
      <c r="AR23" s="832"/>
      <c r="AS23" s="832"/>
      <c r="AT23" s="832"/>
      <c r="AU23" s="832"/>
      <c r="AV23" s="832"/>
      <c r="AW23" s="832"/>
      <c r="AX23" s="832"/>
      <c r="AY23" s="832"/>
      <c r="AZ23" s="832"/>
      <c r="BA23" s="832"/>
      <c r="BB23" s="832"/>
      <c r="BC23" s="832"/>
      <c r="BD23" s="832"/>
      <c r="BE23" s="832"/>
      <c r="BF23" s="832"/>
      <c r="BG23" s="832"/>
      <c r="BH23" s="832"/>
      <c r="BI23" s="832"/>
      <c r="BJ23" s="832"/>
      <c r="BK23" s="832"/>
      <c r="BL23" s="832"/>
      <c r="BM23" s="832"/>
      <c r="BN23" s="832"/>
      <c r="BO23" s="832"/>
      <c r="BP23" s="832"/>
      <c r="BQ23" s="832"/>
      <c r="BR23" s="832"/>
      <c r="BS23" s="832"/>
      <c r="BT23" s="832"/>
      <c r="BU23" s="832"/>
      <c r="BV23" s="832"/>
      <c r="BW23" s="832"/>
      <c r="BX23" s="832"/>
      <c r="BY23" s="832"/>
      <c r="BZ23" s="832"/>
      <c r="CA23" s="832"/>
      <c r="CB23" s="832"/>
      <c r="CC23" s="832"/>
      <c r="CD23" s="832"/>
      <c r="CE23" s="832"/>
      <c r="CF23" s="832"/>
      <c r="CG23" s="832"/>
      <c r="CH23" s="832"/>
      <c r="CI23" s="832"/>
      <c r="CJ23" s="832"/>
      <c r="CK23" s="832"/>
      <c r="CL23" s="832"/>
      <c r="CM23" s="832"/>
      <c r="CN23" s="832"/>
      <c r="CO23" s="832"/>
      <c r="CP23" s="832"/>
      <c r="CQ23" s="832"/>
      <c r="CR23" s="832"/>
      <c r="CS23" s="832"/>
      <c r="CT23" s="832"/>
      <c r="CU23" s="832"/>
      <c r="CV23" s="832"/>
      <c r="CW23" s="832"/>
      <c r="CX23" s="832"/>
      <c r="CY23" s="832"/>
      <c r="CZ23" s="832"/>
      <c r="DA23" s="832"/>
      <c r="DB23" s="832"/>
      <c r="DC23" s="832"/>
      <c r="DD23" s="832"/>
      <c r="DE23" s="832"/>
      <c r="DF23" s="832"/>
      <c r="DG23" s="832"/>
      <c r="DH23" s="832"/>
      <c r="DI23" s="832"/>
      <c r="DJ23" s="832"/>
      <c r="DK23" s="832"/>
      <c r="DL23" s="832"/>
      <c r="DM23" s="832"/>
      <c r="DN23" s="832"/>
      <c r="DO23" s="832"/>
      <c r="DP23" s="832"/>
      <c r="DQ23" s="832"/>
      <c r="DR23" s="832"/>
      <c r="DS23" s="832"/>
      <c r="DT23" s="832"/>
      <c r="DU23" s="832"/>
      <c r="DV23" s="832"/>
      <c r="DW23" s="832"/>
      <c r="DX23" s="832"/>
      <c r="DY23" s="832"/>
      <c r="DZ23" s="832"/>
      <c r="EA23" s="832"/>
      <c r="EB23" s="832"/>
      <c r="EC23" s="832"/>
      <c r="ED23" s="832"/>
      <c r="EE23" s="832"/>
      <c r="EF23" s="832"/>
      <c r="EG23" s="832"/>
      <c r="EH23" s="832"/>
      <c r="EI23" s="832"/>
      <c r="EJ23" s="832"/>
      <c r="EK23" s="832"/>
      <c r="EL23" s="832"/>
      <c r="EM23" s="832"/>
      <c r="EN23" s="832"/>
      <c r="EO23" s="832"/>
      <c r="EP23" s="832"/>
      <c r="EQ23" s="832"/>
      <c r="ER23" s="832"/>
      <c r="ES23" s="832"/>
      <c r="ET23" s="832"/>
      <c r="EU23" s="832"/>
      <c r="EV23" s="832"/>
      <c r="EW23" s="832"/>
      <c r="EX23" s="832"/>
      <c r="EY23" s="832"/>
      <c r="EZ23" s="832"/>
      <c r="FA23" s="832"/>
      <c r="FB23" s="832"/>
      <c r="FC23" s="832"/>
      <c r="FD23" s="832"/>
      <c r="FE23" s="832"/>
      <c r="FF23" s="832"/>
      <c r="FG23" s="832"/>
      <c r="FH23" s="832"/>
      <c r="FI23" s="832"/>
      <c r="FJ23" s="832"/>
      <c r="FK23" s="832"/>
      <c r="FL23" s="832"/>
      <c r="FM23" s="832"/>
      <c r="FN23" s="832"/>
      <c r="FO23" s="832"/>
      <c r="FP23" s="832"/>
      <c r="FQ23" s="832"/>
      <c r="FR23" s="832"/>
      <c r="FS23" s="832"/>
      <c r="FT23" s="832"/>
      <c r="FU23" s="832"/>
      <c r="FV23" s="832"/>
      <c r="FW23" s="832"/>
      <c r="FX23" s="832"/>
      <c r="FY23" s="832"/>
      <c r="FZ23" s="832"/>
      <c r="GA23" s="832"/>
      <c r="GB23" s="832"/>
      <c r="GC23" s="832"/>
      <c r="GD23" s="832"/>
      <c r="GE23" s="832"/>
      <c r="GF23" s="832"/>
      <c r="GG23" s="832"/>
      <c r="GH23" s="832"/>
      <c r="GI23" s="832"/>
      <c r="GJ23" s="832"/>
      <c r="GK23" s="832"/>
      <c r="GL23" s="832"/>
      <c r="GM23" s="832"/>
      <c r="GN23" s="832"/>
      <c r="GO23" s="832"/>
      <c r="GP23" s="832"/>
      <c r="GQ23" s="832"/>
      <c r="GR23" s="832"/>
      <c r="GS23" s="832"/>
      <c r="GT23" s="832"/>
      <c r="GU23" s="832"/>
      <c r="GV23" s="832"/>
      <c r="GW23" s="832"/>
      <c r="GX23" s="832"/>
      <c r="GY23" s="832"/>
      <c r="GZ23" s="832"/>
      <c r="HA23" s="832"/>
      <c r="HB23" s="832"/>
      <c r="HC23" s="832"/>
      <c r="HD23" s="832"/>
      <c r="HE23" s="832"/>
      <c r="HF23" s="832"/>
      <c r="HG23" s="832"/>
      <c r="HH23" s="832"/>
      <c r="HI23" s="832"/>
      <c r="HJ23" s="832"/>
      <c r="HK23" s="832"/>
      <c r="HL23" s="832"/>
      <c r="HM23" s="832"/>
      <c r="HN23" s="832"/>
      <c r="HO23" s="832"/>
      <c r="HP23" s="832"/>
      <c r="HQ23" s="832"/>
      <c r="HR23" s="832"/>
      <c r="HS23" s="832"/>
      <c r="HT23" s="832"/>
      <c r="HU23" s="832"/>
      <c r="HV23" s="832"/>
      <c r="HW23" s="832"/>
      <c r="HX23" s="832"/>
      <c r="HY23" s="832"/>
      <c r="HZ23" s="832"/>
      <c r="IA23" s="832"/>
      <c r="IB23" s="832"/>
      <c r="IC23" s="832"/>
      <c r="ID23" s="832"/>
      <c r="IE23" s="832"/>
      <c r="IF23" s="832"/>
      <c r="IG23" s="832"/>
      <c r="IH23" s="832"/>
      <c r="II23" s="832"/>
      <c r="IJ23" s="832"/>
      <c r="IK23" s="832"/>
      <c r="IL23" s="832"/>
      <c r="IM23" s="832"/>
      <c r="IN23" s="832"/>
      <c r="IO23" s="832"/>
      <c r="IP23" s="832"/>
      <c r="IQ23" s="832"/>
      <c r="IR23" s="832"/>
      <c r="IS23" s="832"/>
      <c r="IT23" s="832"/>
      <c r="IU23" s="832"/>
      <c r="IV23" s="832"/>
      <c r="IW23" s="832"/>
    </row>
    <row r="24" customFormat="false" ht="12.75" hidden="false" customHeight="false" outlineLevel="0" collapsed="false">
      <c r="A24" s="59" t="s">
        <v>119</v>
      </c>
      <c r="B24" s="973" t="n">
        <v>2</v>
      </c>
      <c r="C24" s="52"/>
      <c r="D24" s="52"/>
      <c r="E24" s="51" t="n">
        <v>50</v>
      </c>
      <c r="F24" s="55" t="n">
        <f aca="false">3334*3</f>
        <v>10002</v>
      </c>
      <c r="G24" s="55" t="n">
        <f aca="false">$B$21*($B$23+$B$24)*$B$20*(1+$B$19)</f>
        <v>0</v>
      </c>
      <c r="H24" s="55" t="n">
        <f aca="false">G24+F24</f>
        <v>10002</v>
      </c>
      <c r="I24" s="964" t="n">
        <f aca="false">G24/H24</f>
        <v>0</v>
      </c>
      <c r="J24" s="971" t="n">
        <f aca="false">1-I24</f>
        <v>1</v>
      </c>
      <c r="K24" s="1"/>
      <c r="L24" s="1"/>
      <c r="M24" s="1"/>
      <c r="N24" s="1"/>
      <c r="O24" s="1"/>
      <c r="P24" s="1"/>
      <c r="Q24" s="1"/>
      <c r="R24" s="1"/>
      <c r="S24" s="1"/>
      <c r="T24" s="1"/>
      <c r="U24" s="1"/>
      <c r="V24" s="1"/>
      <c r="W24" s="1"/>
      <c r="X24" s="1"/>
      <c r="Y24" s="1"/>
      <c r="Z24" s="1"/>
      <c r="AA24" s="1"/>
      <c r="AB24" s="1"/>
      <c r="AC24" s="1"/>
      <c r="AD24" s="1"/>
      <c r="AE24" s="1"/>
      <c r="AF24" s="1"/>
      <c r="AG24" s="832"/>
      <c r="AH24" s="832"/>
      <c r="AI24" s="832"/>
      <c r="AJ24" s="832"/>
      <c r="AK24" s="832"/>
      <c r="AL24" s="832"/>
      <c r="AM24" s="832"/>
      <c r="AN24" s="832"/>
      <c r="AO24" s="832"/>
      <c r="AP24" s="832"/>
      <c r="AQ24" s="832"/>
      <c r="AR24" s="832"/>
      <c r="AS24" s="832"/>
      <c r="AT24" s="832"/>
      <c r="AU24" s="832"/>
      <c r="AV24" s="832"/>
      <c r="AW24" s="832"/>
      <c r="AX24" s="832"/>
      <c r="AY24" s="832"/>
      <c r="AZ24" s="832"/>
      <c r="BA24" s="832"/>
      <c r="BB24" s="832"/>
      <c r="BC24" s="832"/>
      <c r="BD24" s="832"/>
      <c r="BE24" s="832"/>
      <c r="BF24" s="832"/>
      <c r="BG24" s="832"/>
      <c r="BH24" s="832"/>
      <c r="BI24" s="832"/>
      <c r="BJ24" s="832"/>
      <c r="BK24" s="832"/>
      <c r="BL24" s="832"/>
      <c r="BM24" s="832"/>
      <c r="BN24" s="832"/>
      <c r="BO24" s="832"/>
      <c r="BP24" s="832"/>
      <c r="BQ24" s="832"/>
      <c r="BR24" s="832"/>
      <c r="BS24" s="832"/>
      <c r="BT24" s="832"/>
      <c r="BU24" s="832"/>
      <c r="BV24" s="832"/>
      <c r="BW24" s="832"/>
      <c r="BX24" s="832"/>
      <c r="BY24" s="832"/>
      <c r="BZ24" s="832"/>
      <c r="CA24" s="832"/>
      <c r="CB24" s="832"/>
      <c r="CC24" s="832"/>
      <c r="CD24" s="832"/>
      <c r="CE24" s="832"/>
      <c r="CF24" s="832"/>
      <c r="CG24" s="832"/>
      <c r="CH24" s="832"/>
      <c r="CI24" s="832"/>
      <c r="CJ24" s="832"/>
      <c r="CK24" s="832"/>
      <c r="CL24" s="832"/>
      <c r="CM24" s="832"/>
      <c r="CN24" s="832"/>
      <c r="CO24" s="832"/>
      <c r="CP24" s="832"/>
      <c r="CQ24" s="832"/>
      <c r="CR24" s="832"/>
      <c r="CS24" s="832"/>
      <c r="CT24" s="832"/>
      <c r="CU24" s="832"/>
      <c r="CV24" s="832"/>
      <c r="CW24" s="832"/>
      <c r="CX24" s="832"/>
      <c r="CY24" s="832"/>
      <c r="CZ24" s="832"/>
      <c r="DA24" s="832"/>
      <c r="DB24" s="832"/>
      <c r="DC24" s="832"/>
      <c r="DD24" s="832"/>
      <c r="DE24" s="832"/>
      <c r="DF24" s="832"/>
      <c r="DG24" s="832"/>
      <c r="DH24" s="832"/>
      <c r="DI24" s="832"/>
      <c r="DJ24" s="832"/>
      <c r="DK24" s="832"/>
      <c r="DL24" s="832"/>
      <c r="DM24" s="832"/>
      <c r="DN24" s="832"/>
      <c r="DO24" s="832"/>
      <c r="DP24" s="832"/>
      <c r="DQ24" s="832"/>
      <c r="DR24" s="832"/>
      <c r="DS24" s="832"/>
      <c r="DT24" s="832"/>
      <c r="DU24" s="832"/>
      <c r="DV24" s="832"/>
      <c r="DW24" s="832"/>
      <c r="DX24" s="832"/>
      <c r="DY24" s="832"/>
      <c r="DZ24" s="832"/>
      <c r="EA24" s="832"/>
      <c r="EB24" s="832"/>
      <c r="EC24" s="832"/>
      <c r="ED24" s="832"/>
      <c r="EE24" s="832"/>
      <c r="EF24" s="832"/>
      <c r="EG24" s="832"/>
      <c r="EH24" s="832"/>
      <c r="EI24" s="832"/>
      <c r="EJ24" s="832"/>
      <c r="EK24" s="832"/>
      <c r="EL24" s="832"/>
      <c r="EM24" s="832"/>
      <c r="EN24" s="832"/>
      <c r="EO24" s="832"/>
      <c r="EP24" s="832"/>
      <c r="EQ24" s="832"/>
      <c r="ER24" s="832"/>
      <c r="ES24" s="832"/>
      <c r="ET24" s="832"/>
      <c r="EU24" s="832"/>
      <c r="EV24" s="832"/>
      <c r="EW24" s="832"/>
      <c r="EX24" s="832"/>
      <c r="EY24" s="832"/>
      <c r="EZ24" s="832"/>
      <c r="FA24" s="832"/>
      <c r="FB24" s="832"/>
      <c r="FC24" s="832"/>
      <c r="FD24" s="832"/>
      <c r="FE24" s="832"/>
      <c r="FF24" s="832"/>
      <c r="FG24" s="832"/>
      <c r="FH24" s="832"/>
      <c r="FI24" s="832"/>
      <c r="FJ24" s="832"/>
      <c r="FK24" s="832"/>
      <c r="FL24" s="832"/>
      <c r="FM24" s="832"/>
      <c r="FN24" s="832"/>
      <c r="FO24" s="832"/>
      <c r="FP24" s="832"/>
      <c r="FQ24" s="832"/>
      <c r="FR24" s="832"/>
      <c r="FS24" s="832"/>
      <c r="FT24" s="832"/>
      <c r="FU24" s="832"/>
      <c r="FV24" s="832"/>
      <c r="FW24" s="832"/>
      <c r="FX24" s="832"/>
      <c r="FY24" s="832"/>
      <c r="FZ24" s="832"/>
      <c r="GA24" s="832"/>
      <c r="GB24" s="832"/>
      <c r="GC24" s="832"/>
      <c r="GD24" s="832"/>
      <c r="GE24" s="832"/>
      <c r="GF24" s="832"/>
      <c r="GG24" s="832"/>
      <c r="GH24" s="832"/>
      <c r="GI24" s="832"/>
      <c r="GJ24" s="832"/>
      <c r="GK24" s="832"/>
      <c r="GL24" s="832"/>
      <c r="GM24" s="832"/>
      <c r="GN24" s="832"/>
      <c r="GO24" s="832"/>
      <c r="GP24" s="832"/>
      <c r="GQ24" s="832"/>
      <c r="GR24" s="832"/>
      <c r="GS24" s="832"/>
      <c r="GT24" s="832"/>
      <c r="GU24" s="832"/>
      <c r="GV24" s="832"/>
      <c r="GW24" s="832"/>
      <c r="GX24" s="832"/>
      <c r="GY24" s="832"/>
      <c r="GZ24" s="832"/>
      <c r="HA24" s="832"/>
      <c r="HB24" s="832"/>
      <c r="HC24" s="832"/>
      <c r="HD24" s="832"/>
      <c r="HE24" s="832"/>
      <c r="HF24" s="832"/>
      <c r="HG24" s="832"/>
      <c r="HH24" s="832"/>
      <c r="HI24" s="832"/>
      <c r="HJ24" s="832"/>
      <c r="HK24" s="832"/>
      <c r="HL24" s="832"/>
      <c r="HM24" s="832"/>
      <c r="HN24" s="832"/>
      <c r="HO24" s="832"/>
      <c r="HP24" s="832"/>
      <c r="HQ24" s="832"/>
      <c r="HR24" s="832"/>
      <c r="HS24" s="832"/>
      <c r="HT24" s="832"/>
      <c r="HU24" s="832"/>
      <c r="HV24" s="832"/>
      <c r="HW24" s="832"/>
      <c r="HX24" s="832"/>
      <c r="HY24" s="832"/>
      <c r="HZ24" s="832"/>
      <c r="IA24" s="832"/>
      <c r="IB24" s="832"/>
      <c r="IC24" s="832"/>
      <c r="ID24" s="832"/>
      <c r="IE24" s="832"/>
      <c r="IF24" s="832"/>
      <c r="IG24" s="832"/>
      <c r="IH24" s="832"/>
      <c r="II24" s="832"/>
      <c r="IJ24" s="832"/>
      <c r="IK24" s="832"/>
      <c r="IL24" s="832"/>
      <c r="IM24" s="832"/>
      <c r="IN24" s="832"/>
      <c r="IO24" s="832"/>
      <c r="IP24" s="832"/>
      <c r="IQ24" s="832"/>
      <c r="IR24" s="832"/>
      <c r="IS24" s="832"/>
      <c r="IT24" s="832"/>
      <c r="IU24" s="832"/>
      <c r="IV24" s="832"/>
      <c r="IW24" s="832"/>
    </row>
    <row r="25" customFormat="false" ht="12.75" hidden="false" customHeight="false" outlineLevel="0" collapsed="false">
      <c r="A25" s="0"/>
      <c r="B25" s="0"/>
      <c r="C25" s="0"/>
      <c r="D25" s="0"/>
      <c r="E25" s="51" t="n">
        <v>60</v>
      </c>
      <c r="F25" s="55" t="n">
        <f aca="false">3334*3</f>
        <v>10002</v>
      </c>
      <c r="G25" s="55" t="n">
        <f aca="false">$B$21*($B$23+$B$24)*$B$20*(1+$B$19)</f>
        <v>0</v>
      </c>
      <c r="H25" s="55" t="n">
        <f aca="false">G25+F25</f>
        <v>10002</v>
      </c>
      <c r="I25" s="964" t="n">
        <f aca="false">G25/H25</f>
        <v>0</v>
      </c>
      <c r="J25" s="971" t="n">
        <f aca="false">1-I25</f>
        <v>1</v>
      </c>
      <c r="K25" s="1"/>
      <c r="L25" s="1"/>
      <c r="M25" s="1"/>
      <c r="N25" s="1"/>
      <c r="O25" s="1"/>
      <c r="P25" s="1"/>
      <c r="Q25" s="1"/>
      <c r="R25" s="1"/>
      <c r="S25" s="1"/>
      <c r="T25" s="1"/>
      <c r="U25" s="1"/>
      <c r="V25" s="1"/>
      <c r="W25" s="1"/>
      <c r="X25" s="1"/>
      <c r="Y25" s="1"/>
      <c r="Z25" s="1"/>
      <c r="AA25" s="1"/>
      <c r="AB25" s="1"/>
      <c r="AC25" s="1"/>
      <c r="AD25" s="1"/>
      <c r="AE25" s="1"/>
      <c r="AF25" s="1"/>
      <c r="AG25" s="832"/>
      <c r="AH25" s="832"/>
      <c r="AI25" s="832"/>
      <c r="AJ25" s="832"/>
      <c r="AK25" s="832"/>
      <c r="AL25" s="832"/>
      <c r="AM25" s="832"/>
      <c r="AN25" s="832"/>
      <c r="AO25" s="832"/>
      <c r="AP25" s="832"/>
      <c r="AQ25" s="832"/>
      <c r="AR25" s="832"/>
      <c r="AS25" s="832"/>
      <c r="AT25" s="832"/>
      <c r="AU25" s="832"/>
      <c r="AV25" s="832"/>
      <c r="AW25" s="832"/>
      <c r="AX25" s="832"/>
      <c r="AY25" s="832"/>
      <c r="AZ25" s="832"/>
      <c r="BA25" s="832"/>
      <c r="BB25" s="832"/>
      <c r="BC25" s="832"/>
      <c r="BD25" s="832"/>
      <c r="BE25" s="832"/>
      <c r="BF25" s="832"/>
      <c r="BG25" s="832"/>
      <c r="BH25" s="832"/>
      <c r="BI25" s="832"/>
      <c r="BJ25" s="832"/>
      <c r="BK25" s="832"/>
      <c r="BL25" s="832"/>
      <c r="BM25" s="832"/>
      <c r="BN25" s="832"/>
      <c r="BO25" s="832"/>
      <c r="BP25" s="832"/>
      <c r="BQ25" s="832"/>
      <c r="BR25" s="832"/>
      <c r="BS25" s="832"/>
      <c r="BT25" s="832"/>
      <c r="BU25" s="832"/>
      <c r="BV25" s="832"/>
      <c r="BW25" s="832"/>
      <c r="BX25" s="832"/>
      <c r="BY25" s="832"/>
      <c r="BZ25" s="832"/>
      <c r="CA25" s="832"/>
      <c r="CB25" s="832"/>
      <c r="CC25" s="832"/>
      <c r="CD25" s="832"/>
      <c r="CE25" s="832"/>
      <c r="CF25" s="832"/>
      <c r="CG25" s="832"/>
      <c r="CH25" s="832"/>
      <c r="CI25" s="832"/>
      <c r="CJ25" s="832"/>
      <c r="CK25" s="832"/>
      <c r="CL25" s="832"/>
      <c r="CM25" s="832"/>
      <c r="CN25" s="832"/>
      <c r="CO25" s="832"/>
      <c r="CP25" s="832"/>
      <c r="CQ25" s="832"/>
      <c r="CR25" s="832"/>
      <c r="CS25" s="832"/>
      <c r="CT25" s="832"/>
      <c r="CU25" s="832"/>
      <c r="CV25" s="832"/>
      <c r="CW25" s="832"/>
      <c r="CX25" s="832"/>
      <c r="CY25" s="832"/>
      <c r="CZ25" s="832"/>
      <c r="DA25" s="832"/>
      <c r="DB25" s="832"/>
      <c r="DC25" s="832"/>
      <c r="DD25" s="832"/>
      <c r="DE25" s="832"/>
      <c r="DF25" s="832"/>
      <c r="DG25" s="832"/>
      <c r="DH25" s="832"/>
      <c r="DI25" s="832"/>
      <c r="DJ25" s="832"/>
      <c r="DK25" s="832"/>
      <c r="DL25" s="832"/>
      <c r="DM25" s="832"/>
      <c r="DN25" s="832"/>
      <c r="DO25" s="832"/>
      <c r="DP25" s="832"/>
      <c r="DQ25" s="832"/>
      <c r="DR25" s="832"/>
      <c r="DS25" s="832"/>
      <c r="DT25" s="832"/>
      <c r="DU25" s="832"/>
      <c r="DV25" s="832"/>
      <c r="DW25" s="832"/>
      <c r="DX25" s="832"/>
      <c r="DY25" s="832"/>
      <c r="DZ25" s="832"/>
      <c r="EA25" s="832"/>
      <c r="EB25" s="832"/>
      <c r="EC25" s="832"/>
      <c r="ED25" s="832"/>
      <c r="EE25" s="832"/>
      <c r="EF25" s="832"/>
      <c r="EG25" s="832"/>
      <c r="EH25" s="832"/>
      <c r="EI25" s="832"/>
      <c r="EJ25" s="832"/>
      <c r="EK25" s="832"/>
      <c r="EL25" s="832"/>
      <c r="EM25" s="832"/>
      <c r="EN25" s="832"/>
      <c r="EO25" s="832"/>
      <c r="EP25" s="832"/>
      <c r="EQ25" s="832"/>
      <c r="ER25" s="832"/>
      <c r="ES25" s="832"/>
      <c r="ET25" s="832"/>
      <c r="EU25" s="832"/>
      <c r="EV25" s="832"/>
      <c r="EW25" s="832"/>
      <c r="EX25" s="832"/>
      <c r="EY25" s="832"/>
      <c r="EZ25" s="832"/>
      <c r="FA25" s="832"/>
      <c r="FB25" s="832"/>
      <c r="FC25" s="832"/>
      <c r="FD25" s="832"/>
      <c r="FE25" s="832"/>
      <c r="FF25" s="832"/>
      <c r="FG25" s="832"/>
      <c r="FH25" s="832"/>
      <c r="FI25" s="832"/>
      <c r="FJ25" s="832"/>
      <c r="FK25" s="832"/>
      <c r="FL25" s="832"/>
      <c r="FM25" s="832"/>
      <c r="FN25" s="832"/>
      <c r="FO25" s="832"/>
      <c r="FP25" s="832"/>
      <c r="FQ25" s="832"/>
      <c r="FR25" s="832"/>
      <c r="FS25" s="832"/>
      <c r="FT25" s="832"/>
      <c r="FU25" s="832"/>
      <c r="FV25" s="832"/>
      <c r="FW25" s="832"/>
      <c r="FX25" s="832"/>
      <c r="FY25" s="832"/>
      <c r="FZ25" s="832"/>
      <c r="GA25" s="832"/>
      <c r="GB25" s="832"/>
      <c r="GC25" s="832"/>
      <c r="GD25" s="832"/>
      <c r="GE25" s="832"/>
      <c r="GF25" s="832"/>
      <c r="GG25" s="832"/>
      <c r="GH25" s="832"/>
      <c r="GI25" s="832"/>
      <c r="GJ25" s="832"/>
      <c r="GK25" s="832"/>
      <c r="GL25" s="832"/>
      <c r="GM25" s="832"/>
      <c r="GN25" s="832"/>
      <c r="GO25" s="832"/>
      <c r="GP25" s="832"/>
      <c r="GQ25" s="832"/>
      <c r="GR25" s="832"/>
      <c r="GS25" s="832"/>
      <c r="GT25" s="832"/>
      <c r="GU25" s="832"/>
      <c r="GV25" s="832"/>
      <c r="GW25" s="832"/>
      <c r="GX25" s="832"/>
      <c r="GY25" s="832"/>
      <c r="GZ25" s="832"/>
      <c r="HA25" s="832"/>
      <c r="HB25" s="832"/>
      <c r="HC25" s="832"/>
      <c r="HD25" s="832"/>
      <c r="HE25" s="832"/>
      <c r="HF25" s="832"/>
      <c r="HG25" s="832"/>
      <c r="HH25" s="832"/>
      <c r="HI25" s="832"/>
      <c r="HJ25" s="832"/>
      <c r="HK25" s="832"/>
      <c r="HL25" s="832"/>
      <c r="HM25" s="832"/>
      <c r="HN25" s="832"/>
      <c r="HO25" s="832"/>
      <c r="HP25" s="832"/>
      <c r="HQ25" s="832"/>
      <c r="HR25" s="832"/>
      <c r="HS25" s="832"/>
      <c r="HT25" s="832"/>
      <c r="HU25" s="832"/>
      <c r="HV25" s="832"/>
      <c r="HW25" s="832"/>
      <c r="HX25" s="832"/>
      <c r="HY25" s="832"/>
      <c r="HZ25" s="832"/>
      <c r="IA25" s="832"/>
      <c r="IB25" s="832"/>
      <c r="IC25" s="832"/>
      <c r="ID25" s="832"/>
      <c r="IE25" s="832"/>
      <c r="IF25" s="832"/>
      <c r="IG25" s="832"/>
      <c r="IH25" s="832"/>
      <c r="II25" s="832"/>
      <c r="IJ25" s="832"/>
      <c r="IK25" s="832"/>
      <c r="IL25" s="832"/>
      <c r="IM25" s="832"/>
      <c r="IN25" s="832"/>
      <c r="IO25" s="832"/>
      <c r="IP25" s="832"/>
      <c r="IQ25" s="832"/>
      <c r="IR25" s="832"/>
      <c r="IS25" s="832"/>
      <c r="IT25" s="832"/>
      <c r="IU25" s="832"/>
      <c r="IV25" s="832"/>
      <c r="IW25" s="832"/>
    </row>
    <row r="26" customFormat="false" ht="12.75" hidden="false" customHeight="false" outlineLevel="0" collapsed="false">
      <c r="A26" s="832"/>
      <c r="B26" s="832"/>
      <c r="C26" s="832"/>
      <c r="D26" s="832"/>
      <c r="E26" s="51" t="n">
        <v>70</v>
      </c>
      <c r="F26" s="55" t="n">
        <f aca="false">3334*3</f>
        <v>10002</v>
      </c>
      <c r="G26" s="55" t="n">
        <f aca="false">$B$21*($B$23+$B$24)*$B$20*(1+$B$19)</f>
        <v>0</v>
      </c>
      <c r="H26" s="55" t="n">
        <f aca="false">G26+F26</f>
        <v>10002</v>
      </c>
      <c r="I26" s="964" t="n">
        <f aca="false">G26/H26</f>
        <v>0</v>
      </c>
      <c r="J26" s="971" t="n">
        <f aca="false">1-I26</f>
        <v>1</v>
      </c>
      <c r="K26" s="1"/>
      <c r="L26" s="1"/>
      <c r="M26" s="1"/>
      <c r="N26" s="1"/>
      <c r="O26" s="1"/>
      <c r="P26" s="1"/>
      <c r="Q26" s="1"/>
      <c r="R26" s="1"/>
      <c r="S26" s="1"/>
      <c r="T26" s="1"/>
      <c r="U26" s="1"/>
      <c r="V26" s="1"/>
      <c r="W26" s="1"/>
      <c r="X26" s="1"/>
      <c r="Y26" s="1"/>
      <c r="Z26" s="1"/>
      <c r="AA26" s="1"/>
      <c r="AB26" s="1"/>
      <c r="AC26" s="1"/>
      <c r="AD26" s="1"/>
      <c r="AE26" s="1"/>
      <c r="AF26" s="1"/>
      <c r="AG26" s="832"/>
      <c r="AH26" s="832"/>
      <c r="AI26" s="832"/>
      <c r="AJ26" s="832"/>
      <c r="AK26" s="832"/>
      <c r="AL26" s="832"/>
      <c r="AM26" s="832"/>
      <c r="AN26" s="832"/>
      <c r="AO26" s="832"/>
      <c r="AP26" s="832"/>
      <c r="AQ26" s="832"/>
      <c r="AR26" s="832"/>
      <c r="AS26" s="832"/>
      <c r="AT26" s="832"/>
      <c r="AU26" s="832"/>
      <c r="AV26" s="832"/>
      <c r="AW26" s="832"/>
      <c r="AX26" s="832"/>
      <c r="AY26" s="832"/>
      <c r="AZ26" s="832"/>
      <c r="BA26" s="832"/>
      <c r="BB26" s="832"/>
      <c r="BC26" s="832"/>
      <c r="BD26" s="832"/>
      <c r="BE26" s="832"/>
      <c r="BF26" s="832"/>
      <c r="BG26" s="832"/>
      <c r="BH26" s="832"/>
      <c r="BI26" s="832"/>
      <c r="BJ26" s="832"/>
      <c r="BK26" s="832"/>
      <c r="BL26" s="832"/>
      <c r="BM26" s="832"/>
      <c r="BN26" s="832"/>
      <c r="BO26" s="832"/>
      <c r="BP26" s="832"/>
      <c r="BQ26" s="832"/>
      <c r="BR26" s="832"/>
      <c r="BS26" s="832"/>
      <c r="BT26" s="832"/>
      <c r="BU26" s="832"/>
      <c r="BV26" s="832"/>
      <c r="BW26" s="832"/>
      <c r="BX26" s="832"/>
      <c r="BY26" s="832"/>
      <c r="BZ26" s="832"/>
      <c r="CA26" s="832"/>
      <c r="CB26" s="832"/>
      <c r="CC26" s="832"/>
      <c r="CD26" s="832"/>
      <c r="CE26" s="832"/>
      <c r="CF26" s="832"/>
      <c r="CG26" s="832"/>
      <c r="CH26" s="832"/>
      <c r="CI26" s="832"/>
      <c r="CJ26" s="832"/>
      <c r="CK26" s="832"/>
      <c r="CL26" s="832"/>
      <c r="CM26" s="832"/>
      <c r="CN26" s="832"/>
      <c r="CO26" s="832"/>
      <c r="CP26" s="832"/>
      <c r="CQ26" s="832"/>
      <c r="CR26" s="832"/>
      <c r="CS26" s="832"/>
      <c r="CT26" s="832"/>
      <c r="CU26" s="832"/>
      <c r="CV26" s="832"/>
      <c r="CW26" s="832"/>
      <c r="CX26" s="832"/>
      <c r="CY26" s="832"/>
      <c r="CZ26" s="832"/>
      <c r="DA26" s="832"/>
      <c r="DB26" s="832"/>
      <c r="DC26" s="832"/>
      <c r="DD26" s="832"/>
      <c r="DE26" s="832"/>
      <c r="DF26" s="832"/>
      <c r="DG26" s="832"/>
      <c r="DH26" s="832"/>
      <c r="DI26" s="832"/>
      <c r="DJ26" s="832"/>
      <c r="DK26" s="832"/>
      <c r="DL26" s="832"/>
      <c r="DM26" s="832"/>
      <c r="DN26" s="832"/>
      <c r="DO26" s="832"/>
      <c r="DP26" s="832"/>
      <c r="DQ26" s="832"/>
      <c r="DR26" s="832"/>
      <c r="DS26" s="832"/>
      <c r="DT26" s="832"/>
      <c r="DU26" s="832"/>
      <c r="DV26" s="832"/>
      <c r="DW26" s="832"/>
      <c r="DX26" s="832"/>
      <c r="DY26" s="832"/>
      <c r="DZ26" s="832"/>
      <c r="EA26" s="832"/>
      <c r="EB26" s="832"/>
      <c r="EC26" s="832"/>
      <c r="ED26" s="832"/>
      <c r="EE26" s="832"/>
      <c r="EF26" s="832"/>
      <c r="EG26" s="832"/>
      <c r="EH26" s="832"/>
      <c r="EI26" s="832"/>
      <c r="EJ26" s="832"/>
      <c r="EK26" s="832"/>
      <c r="EL26" s="832"/>
      <c r="EM26" s="832"/>
      <c r="EN26" s="832"/>
      <c r="EO26" s="832"/>
      <c r="EP26" s="832"/>
      <c r="EQ26" s="832"/>
      <c r="ER26" s="832"/>
      <c r="ES26" s="832"/>
      <c r="ET26" s="832"/>
      <c r="EU26" s="832"/>
      <c r="EV26" s="832"/>
      <c r="EW26" s="832"/>
      <c r="EX26" s="832"/>
      <c r="EY26" s="832"/>
      <c r="EZ26" s="832"/>
      <c r="FA26" s="832"/>
      <c r="FB26" s="832"/>
      <c r="FC26" s="832"/>
      <c r="FD26" s="832"/>
      <c r="FE26" s="832"/>
      <c r="FF26" s="832"/>
      <c r="FG26" s="832"/>
      <c r="FH26" s="832"/>
      <c r="FI26" s="832"/>
      <c r="FJ26" s="832"/>
      <c r="FK26" s="832"/>
      <c r="FL26" s="832"/>
      <c r="FM26" s="832"/>
      <c r="FN26" s="832"/>
      <c r="FO26" s="832"/>
      <c r="FP26" s="832"/>
      <c r="FQ26" s="832"/>
      <c r="FR26" s="832"/>
      <c r="FS26" s="832"/>
      <c r="FT26" s="832"/>
      <c r="FU26" s="832"/>
      <c r="FV26" s="832"/>
      <c r="FW26" s="832"/>
      <c r="FX26" s="832"/>
      <c r="FY26" s="832"/>
      <c r="FZ26" s="832"/>
      <c r="GA26" s="832"/>
      <c r="GB26" s="832"/>
      <c r="GC26" s="832"/>
      <c r="GD26" s="832"/>
      <c r="GE26" s="832"/>
      <c r="GF26" s="832"/>
      <c r="GG26" s="832"/>
      <c r="GH26" s="832"/>
      <c r="GI26" s="832"/>
      <c r="GJ26" s="832"/>
      <c r="GK26" s="832"/>
      <c r="GL26" s="832"/>
      <c r="GM26" s="832"/>
      <c r="GN26" s="832"/>
      <c r="GO26" s="832"/>
      <c r="GP26" s="832"/>
      <c r="GQ26" s="832"/>
      <c r="GR26" s="832"/>
      <c r="GS26" s="832"/>
      <c r="GT26" s="832"/>
      <c r="GU26" s="832"/>
      <c r="GV26" s="832"/>
      <c r="GW26" s="832"/>
      <c r="GX26" s="832"/>
      <c r="GY26" s="832"/>
      <c r="GZ26" s="832"/>
      <c r="HA26" s="832"/>
      <c r="HB26" s="832"/>
      <c r="HC26" s="832"/>
      <c r="HD26" s="832"/>
      <c r="HE26" s="832"/>
      <c r="HF26" s="832"/>
      <c r="HG26" s="832"/>
      <c r="HH26" s="832"/>
      <c r="HI26" s="832"/>
      <c r="HJ26" s="832"/>
      <c r="HK26" s="832"/>
      <c r="HL26" s="832"/>
      <c r="HM26" s="832"/>
      <c r="HN26" s="832"/>
      <c r="HO26" s="832"/>
      <c r="HP26" s="832"/>
      <c r="HQ26" s="832"/>
      <c r="HR26" s="832"/>
      <c r="HS26" s="832"/>
      <c r="HT26" s="832"/>
      <c r="HU26" s="832"/>
      <c r="HV26" s="832"/>
      <c r="HW26" s="832"/>
      <c r="HX26" s="832"/>
      <c r="HY26" s="832"/>
      <c r="HZ26" s="832"/>
      <c r="IA26" s="832"/>
      <c r="IB26" s="832"/>
      <c r="IC26" s="832"/>
      <c r="ID26" s="832"/>
      <c r="IE26" s="832"/>
      <c r="IF26" s="832"/>
      <c r="IG26" s="832"/>
      <c r="IH26" s="832"/>
      <c r="II26" s="832"/>
      <c r="IJ26" s="832"/>
      <c r="IK26" s="832"/>
      <c r="IL26" s="832"/>
      <c r="IM26" s="832"/>
      <c r="IN26" s="832"/>
      <c r="IO26" s="832"/>
      <c r="IP26" s="832"/>
      <c r="IQ26" s="832"/>
      <c r="IR26" s="832"/>
      <c r="IS26" s="832"/>
      <c r="IT26" s="832"/>
      <c r="IU26" s="832"/>
      <c r="IV26" s="832"/>
      <c r="IW26" s="832"/>
    </row>
    <row r="27" customFormat="false" ht="12.75" hidden="false" customHeight="false" outlineLevel="0" collapsed="false">
      <c r="A27" s="832"/>
      <c r="B27" s="832"/>
      <c r="C27" s="832"/>
      <c r="D27" s="832"/>
      <c r="E27" s="51" t="n">
        <v>80</v>
      </c>
      <c r="F27" s="55" t="n">
        <f aca="false">5634*3</f>
        <v>16902</v>
      </c>
      <c r="G27" s="55" t="n">
        <f aca="false">$B$21*($B$23+$B$24)*$B$20*(1+$B$19)</f>
        <v>0</v>
      </c>
      <c r="H27" s="55" t="n">
        <f aca="false">G27+F27</f>
        <v>16902</v>
      </c>
      <c r="I27" s="964" t="n">
        <f aca="false">G27/H27</f>
        <v>0</v>
      </c>
      <c r="J27" s="971" t="n">
        <f aca="false">1-I27</f>
        <v>1</v>
      </c>
      <c r="K27" s="1"/>
      <c r="L27" s="1"/>
      <c r="M27" s="1"/>
      <c r="N27" s="1"/>
      <c r="O27" s="1"/>
      <c r="P27" s="1"/>
      <c r="Q27" s="1"/>
      <c r="R27" s="1"/>
      <c r="S27" s="1"/>
      <c r="T27" s="1"/>
      <c r="U27" s="1"/>
      <c r="V27" s="1"/>
      <c r="W27" s="1"/>
      <c r="X27" s="1"/>
      <c r="Y27" s="1"/>
      <c r="Z27" s="1"/>
      <c r="AA27" s="1"/>
      <c r="AB27" s="1"/>
      <c r="AC27" s="1"/>
      <c r="AD27" s="1"/>
      <c r="AE27" s="1"/>
      <c r="AF27" s="1"/>
      <c r="AG27" s="832"/>
      <c r="AH27" s="832"/>
      <c r="AI27" s="832"/>
      <c r="AJ27" s="832"/>
      <c r="AK27" s="832"/>
      <c r="AL27" s="832"/>
      <c r="AM27" s="832"/>
      <c r="AN27" s="832"/>
      <c r="AO27" s="832"/>
      <c r="AP27" s="832"/>
      <c r="AQ27" s="832"/>
      <c r="AR27" s="832"/>
      <c r="AS27" s="832"/>
      <c r="AT27" s="832"/>
      <c r="AU27" s="832"/>
      <c r="AV27" s="832"/>
      <c r="AW27" s="832"/>
      <c r="AX27" s="832"/>
      <c r="AY27" s="832"/>
      <c r="AZ27" s="832"/>
      <c r="BA27" s="832"/>
      <c r="BB27" s="832"/>
      <c r="BC27" s="832"/>
      <c r="BD27" s="832"/>
      <c r="BE27" s="832"/>
      <c r="BF27" s="832"/>
      <c r="BG27" s="832"/>
      <c r="BH27" s="832"/>
      <c r="BI27" s="832"/>
      <c r="BJ27" s="832"/>
      <c r="BK27" s="832"/>
      <c r="BL27" s="832"/>
      <c r="BM27" s="832"/>
      <c r="BN27" s="832"/>
      <c r="BO27" s="832"/>
      <c r="BP27" s="832"/>
      <c r="BQ27" s="832"/>
      <c r="BR27" s="832"/>
      <c r="BS27" s="832"/>
      <c r="BT27" s="832"/>
      <c r="BU27" s="832"/>
      <c r="BV27" s="832"/>
      <c r="BW27" s="832"/>
      <c r="BX27" s="832"/>
      <c r="BY27" s="832"/>
      <c r="BZ27" s="832"/>
      <c r="CA27" s="832"/>
      <c r="CB27" s="832"/>
      <c r="CC27" s="832"/>
      <c r="CD27" s="832"/>
      <c r="CE27" s="832"/>
      <c r="CF27" s="832"/>
      <c r="CG27" s="832"/>
      <c r="CH27" s="832"/>
      <c r="CI27" s="832"/>
      <c r="CJ27" s="832"/>
      <c r="CK27" s="832"/>
      <c r="CL27" s="832"/>
      <c r="CM27" s="832"/>
      <c r="CN27" s="832"/>
      <c r="CO27" s="832"/>
      <c r="CP27" s="832"/>
      <c r="CQ27" s="832"/>
      <c r="CR27" s="832"/>
      <c r="CS27" s="832"/>
      <c r="CT27" s="832"/>
      <c r="CU27" s="832"/>
      <c r="CV27" s="832"/>
      <c r="CW27" s="832"/>
      <c r="CX27" s="832"/>
      <c r="CY27" s="832"/>
      <c r="CZ27" s="832"/>
      <c r="DA27" s="832"/>
      <c r="DB27" s="832"/>
      <c r="DC27" s="832"/>
      <c r="DD27" s="832"/>
      <c r="DE27" s="832"/>
      <c r="DF27" s="832"/>
      <c r="DG27" s="832"/>
      <c r="DH27" s="832"/>
      <c r="DI27" s="832"/>
      <c r="DJ27" s="832"/>
      <c r="DK27" s="832"/>
      <c r="DL27" s="832"/>
      <c r="DM27" s="832"/>
      <c r="DN27" s="832"/>
      <c r="DO27" s="832"/>
      <c r="DP27" s="832"/>
      <c r="DQ27" s="832"/>
      <c r="DR27" s="832"/>
      <c r="DS27" s="832"/>
      <c r="DT27" s="832"/>
      <c r="DU27" s="832"/>
      <c r="DV27" s="832"/>
      <c r="DW27" s="832"/>
      <c r="DX27" s="832"/>
      <c r="DY27" s="832"/>
      <c r="DZ27" s="832"/>
      <c r="EA27" s="832"/>
      <c r="EB27" s="832"/>
      <c r="EC27" s="832"/>
      <c r="ED27" s="832"/>
      <c r="EE27" s="832"/>
      <c r="EF27" s="832"/>
      <c r="EG27" s="832"/>
      <c r="EH27" s="832"/>
      <c r="EI27" s="832"/>
      <c r="EJ27" s="832"/>
      <c r="EK27" s="832"/>
      <c r="EL27" s="832"/>
      <c r="EM27" s="832"/>
      <c r="EN27" s="832"/>
      <c r="EO27" s="832"/>
      <c r="EP27" s="832"/>
      <c r="EQ27" s="832"/>
      <c r="ER27" s="832"/>
      <c r="ES27" s="832"/>
      <c r="ET27" s="832"/>
      <c r="EU27" s="832"/>
      <c r="EV27" s="832"/>
      <c r="EW27" s="832"/>
      <c r="EX27" s="832"/>
      <c r="EY27" s="832"/>
      <c r="EZ27" s="832"/>
      <c r="FA27" s="832"/>
      <c r="FB27" s="832"/>
      <c r="FC27" s="832"/>
      <c r="FD27" s="832"/>
      <c r="FE27" s="832"/>
      <c r="FF27" s="832"/>
      <c r="FG27" s="832"/>
      <c r="FH27" s="832"/>
      <c r="FI27" s="832"/>
      <c r="FJ27" s="832"/>
      <c r="FK27" s="832"/>
      <c r="FL27" s="832"/>
      <c r="FM27" s="832"/>
      <c r="FN27" s="832"/>
      <c r="FO27" s="832"/>
      <c r="FP27" s="832"/>
      <c r="FQ27" s="832"/>
      <c r="FR27" s="832"/>
      <c r="FS27" s="832"/>
      <c r="FT27" s="832"/>
      <c r="FU27" s="832"/>
      <c r="FV27" s="832"/>
      <c r="FW27" s="832"/>
      <c r="FX27" s="832"/>
      <c r="FY27" s="832"/>
      <c r="FZ27" s="832"/>
      <c r="GA27" s="832"/>
      <c r="GB27" s="832"/>
      <c r="GC27" s="832"/>
      <c r="GD27" s="832"/>
      <c r="GE27" s="832"/>
      <c r="GF27" s="832"/>
      <c r="GG27" s="832"/>
      <c r="GH27" s="832"/>
      <c r="GI27" s="832"/>
      <c r="GJ27" s="832"/>
      <c r="GK27" s="832"/>
      <c r="GL27" s="832"/>
      <c r="GM27" s="832"/>
      <c r="GN27" s="832"/>
      <c r="GO27" s="832"/>
      <c r="GP27" s="832"/>
      <c r="GQ27" s="832"/>
      <c r="GR27" s="832"/>
      <c r="GS27" s="832"/>
      <c r="GT27" s="832"/>
      <c r="GU27" s="832"/>
      <c r="GV27" s="832"/>
      <c r="GW27" s="832"/>
      <c r="GX27" s="832"/>
      <c r="GY27" s="832"/>
      <c r="GZ27" s="832"/>
      <c r="HA27" s="832"/>
      <c r="HB27" s="832"/>
      <c r="HC27" s="832"/>
      <c r="HD27" s="832"/>
      <c r="HE27" s="832"/>
      <c r="HF27" s="832"/>
      <c r="HG27" s="832"/>
      <c r="HH27" s="832"/>
      <c r="HI27" s="832"/>
      <c r="HJ27" s="832"/>
      <c r="HK27" s="832"/>
      <c r="HL27" s="832"/>
      <c r="HM27" s="832"/>
      <c r="HN27" s="832"/>
      <c r="HO27" s="832"/>
      <c r="HP27" s="832"/>
      <c r="HQ27" s="832"/>
      <c r="HR27" s="832"/>
      <c r="HS27" s="832"/>
      <c r="HT27" s="832"/>
      <c r="HU27" s="832"/>
      <c r="HV27" s="832"/>
      <c r="HW27" s="832"/>
      <c r="HX27" s="832"/>
      <c r="HY27" s="832"/>
      <c r="HZ27" s="832"/>
      <c r="IA27" s="832"/>
      <c r="IB27" s="832"/>
      <c r="IC27" s="832"/>
      <c r="ID27" s="832"/>
      <c r="IE27" s="832"/>
      <c r="IF27" s="832"/>
      <c r="IG27" s="832"/>
      <c r="IH27" s="832"/>
      <c r="II27" s="832"/>
      <c r="IJ27" s="832"/>
      <c r="IK27" s="832"/>
      <c r="IL27" s="832"/>
      <c r="IM27" s="832"/>
      <c r="IN27" s="832"/>
      <c r="IO27" s="832"/>
      <c r="IP27" s="832"/>
      <c r="IQ27" s="832"/>
      <c r="IR27" s="832"/>
      <c r="IS27" s="832"/>
      <c r="IT27" s="832"/>
      <c r="IU27" s="832"/>
      <c r="IV27" s="832"/>
      <c r="IW27" s="832"/>
    </row>
    <row r="28" customFormat="false" ht="12.75" hidden="false" customHeight="false" outlineLevel="0" collapsed="false">
      <c r="A28" s="832"/>
      <c r="B28" s="832"/>
      <c r="C28" s="832"/>
      <c r="D28" s="832"/>
      <c r="E28" s="51" t="n">
        <v>90</v>
      </c>
      <c r="F28" s="55" t="n">
        <f aca="false">5634*3</f>
        <v>16902</v>
      </c>
      <c r="G28" s="55" t="n">
        <f aca="false">$B$21*($B$23+$B$24)*$B$20*(1+$B$19)</f>
        <v>0</v>
      </c>
      <c r="H28" s="55" t="n">
        <f aca="false">G28+F28</f>
        <v>16902</v>
      </c>
      <c r="I28" s="964" t="n">
        <f aca="false">G28/H28</f>
        <v>0</v>
      </c>
      <c r="J28" s="971" t="n">
        <f aca="false">1-I28</f>
        <v>1</v>
      </c>
      <c r="K28" s="1"/>
      <c r="L28" s="1"/>
      <c r="M28" s="1"/>
      <c r="N28" s="1"/>
      <c r="O28" s="1"/>
      <c r="P28" s="1"/>
      <c r="Q28" s="1"/>
      <c r="R28" s="1"/>
      <c r="S28" s="1"/>
      <c r="T28" s="1"/>
      <c r="U28" s="1"/>
      <c r="V28" s="1"/>
      <c r="W28" s="1"/>
      <c r="X28" s="1"/>
      <c r="Y28" s="1"/>
      <c r="Z28" s="1"/>
      <c r="AA28" s="1"/>
      <c r="AB28" s="1"/>
      <c r="AC28" s="1"/>
      <c r="AD28" s="1"/>
      <c r="AE28" s="1"/>
      <c r="AF28" s="1"/>
      <c r="AG28" s="832"/>
      <c r="AH28" s="832"/>
      <c r="AI28" s="832"/>
      <c r="AJ28" s="832"/>
      <c r="AK28" s="832"/>
      <c r="AL28" s="832"/>
      <c r="AM28" s="832"/>
      <c r="AN28" s="832"/>
      <c r="AO28" s="832"/>
      <c r="AP28" s="832"/>
      <c r="AQ28" s="832"/>
      <c r="AR28" s="832"/>
      <c r="AS28" s="832"/>
      <c r="AT28" s="832"/>
      <c r="AU28" s="832"/>
      <c r="AV28" s="832"/>
      <c r="AW28" s="832"/>
      <c r="AX28" s="832"/>
      <c r="AY28" s="832"/>
      <c r="AZ28" s="832"/>
      <c r="BA28" s="832"/>
      <c r="BB28" s="832"/>
      <c r="BC28" s="832"/>
      <c r="BD28" s="832"/>
      <c r="BE28" s="832"/>
      <c r="BF28" s="832"/>
      <c r="BG28" s="832"/>
      <c r="BH28" s="832"/>
      <c r="BI28" s="832"/>
      <c r="BJ28" s="832"/>
      <c r="BK28" s="832"/>
      <c r="BL28" s="832"/>
      <c r="BM28" s="832"/>
      <c r="BN28" s="832"/>
      <c r="BO28" s="832"/>
      <c r="BP28" s="832"/>
      <c r="BQ28" s="832"/>
      <c r="BR28" s="832"/>
      <c r="BS28" s="832"/>
      <c r="BT28" s="832"/>
      <c r="BU28" s="832"/>
      <c r="BV28" s="832"/>
      <c r="BW28" s="832"/>
      <c r="BX28" s="832"/>
      <c r="BY28" s="832"/>
      <c r="BZ28" s="832"/>
      <c r="CA28" s="832"/>
      <c r="CB28" s="832"/>
      <c r="CC28" s="832"/>
      <c r="CD28" s="832"/>
      <c r="CE28" s="832"/>
      <c r="CF28" s="832"/>
      <c r="CG28" s="832"/>
      <c r="CH28" s="832"/>
      <c r="CI28" s="832"/>
      <c r="CJ28" s="832"/>
      <c r="CK28" s="832"/>
      <c r="CL28" s="832"/>
      <c r="CM28" s="832"/>
      <c r="CN28" s="832"/>
      <c r="CO28" s="832"/>
      <c r="CP28" s="832"/>
      <c r="CQ28" s="832"/>
      <c r="CR28" s="832"/>
      <c r="CS28" s="832"/>
      <c r="CT28" s="832"/>
      <c r="CU28" s="832"/>
      <c r="CV28" s="832"/>
      <c r="CW28" s="832"/>
      <c r="CX28" s="832"/>
      <c r="CY28" s="832"/>
      <c r="CZ28" s="832"/>
      <c r="DA28" s="832"/>
      <c r="DB28" s="832"/>
      <c r="DC28" s="832"/>
      <c r="DD28" s="832"/>
      <c r="DE28" s="832"/>
      <c r="DF28" s="832"/>
      <c r="DG28" s="832"/>
      <c r="DH28" s="832"/>
      <c r="DI28" s="832"/>
      <c r="DJ28" s="832"/>
      <c r="DK28" s="832"/>
      <c r="DL28" s="832"/>
      <c r="DM28" s="832"/>
      <c r="DN28" s="832"/>
      <c r="DO28" s="832"/>
      <c r="DP28" s="832"/>
      <c r="DQ28" s="832"/>
      <c r="DR28" s="832"/>
      <c r="DS28" s="832"/>
      <c r="DT28" s="832"/>
      <c r="DU28" s="832"/>
      <c r="DV28" s="832"/>
      <c r="DW28" s="832"/>
      <c r="DX28" s="832"/>
      <c r="DY28" s="832"/>
      <c r="DZ28" s="832"/>
      <c r="EA28" s="832"/>
      <c r="EB28" s="832"/>
      <c r="EC28" s="832"/>
      <c r="ED28" s="832"/>
      <c r="EE28" s="832"/>
      <c r="EF28" s="832"/>
      <c r="EG28" s="832"/>
      <c r="EH28" s="832"/>
      <c r="EI28" s="832"/>
      <c r="EJ28" s="832"/>
      <c r="EK28" s="832"/>
      <c r="EL28" s="832"/>
      <c r="EM28" s="832"/>
      <c r="EN28" s="832"/>
      <c r="EO28" s="832"/>
      <c r="EP28" s="832"/>
      <c r="EQ28" s="832"/>
      <c r="ER28" s="832"/>
      <c r="ES28" s="832"/>
      <c r="ET28" s="832"/>
      <c r="EU28" s="832"/>
      <c r="EV28" s="832"/>
      <c r="EW28" s="832"/>
      <c r="EX28" s="832"/>
      <c r="EY28" s="832"/>
      <c r="EZ28" s="832"/>
      <c r="FA28" s="832"/>
      <c r="FB28" s="832"/>
      <c r="FC28" s="832"/>
      <c r="FD28" s="832"/>
      <c r="FE28" s="832"/>
      <c r="FF28" s="832"/>
      <c r="FG28" s="832"/>
      <c r="FH28" s="832"/>
      <c r="FI28" s="832"/>
      <c r="FJ28" s="832"/>
      <c r="FK28" s="832"/>
      <c r="FL28" s="832"/>
      <c r="FM28" s="832"/>
      <c r="FN28" s="832"/>
      <c r="FO28" s="832"/>
      <c r="FP28" s="832"/>
      <c r="FQ28" s="832"/>
      <c r="FR28" s="832"/>
      <c r="FS28" s="832"/>
      <c r="FT28" s="832"/>
      <c r="FU28" s="832"/>
      <c r="FV28" s="832"/>
      <c r="FW28" s="832"/>
      <c r="FX28" s="832"/>
      <c r="FY28" s="832"/>
      <c r="FZ28" s="832"/>
      <c r="GA28" s="832"/>
      <c r="GB28" s="832"/>
      <c r="GC28" s="832"/>
      <c r="GD28" s="832"/>
      <c r="GE28" s="832"/>
      <c r="GF28" s="832"/>
      <c r="GG28" s="832"/>
      <c r="GH28" s="832"/>
      <c r="GI28" s="832"/>
      <c r="GJ28" s="832"/>
      <c r="GK28" s="832"/>
      <c r="GL28" s="832"/>
      <c r="GM28" s="832"/>
      <c r="GN28" s="832"/>
      <c r="GO28" s="832"/>
      <c r="GP28" s="832"/>
      <c r="GQ28" s="832"/>
      <c r="GR28" s="832"/>
      <c r="GS28" s="832"/>
      <c r="GT28" s="832"/>
      <c r="GU28" s="832"/>
      <c r="GV28" s="832"/>
      <c r="GW28" s="832"/>
      <c r="GX28" s="832"/>
      <c r="GY28" s="832"/>
      <c r="GZ28" s="832"/>
      <c r="HA28" s="832"/>
      <c r="HB28" s="832"/>
      <c r="HC28" s="832"/>
      <c r="HD28" s="832"/>
      <c r="HE28" s="832"/>
      <c r="HF28" s="832"/>
      <c r="HG28" s="832"/>
      <c r="HH28" s="832"/>
      <c r="HI28" s="832"/>
      <c r="HJ28" s="832"/>
      <c r="HK28" s="832"/>
      <c r="HL28" s="832"/>
      <c r="HM28" s="832"/>
      <c r="HN28" s="832"/>
      <c r="HO28" s="832"/>
      <c r="HP28" s="832"/>
      <c r="HQ28" s="832"/>
      <c r="HR28" s="832"/>
      <c r="HS28" s="832"/>
      <c r="HT28" s="832"/>
      <c r="HU28" s="832"/>
      <c r="HV28" s="832"/>
      <c r="HW28" s="832"/>
      <c r="HX28" s="832"/>
      <c r="HY28" s="832"/>
      <c r="HZ28" s="832"/>
      <c r="IA28" s="832"/>
      <c r="IB28" s="832"/>
      <c r="IC28" s="832"/>
      <c r="ID28" s="832"/>
      <c r="IE28" s="832"/>
      <c r="IF28" s="832"/>
      <c r="IG28" s="832"/>
      <c r="IH28" s="832"/>
      <c r="II28" s="832"/>
      <c r="IJ28" s="832"/>
      <c r="IK28" s="832"/>
      <c r="IL28" s="832"/>
      <c r="IM28" s="832"/>
      <c r="IN28" s="832"/>
      <c r="IO28" s="832"/>
      <c r="IP28" s="832"/>
      <c r="IQ28" s="832"/>
      <c r="IR28" s="832"/>
      <c r="IS28" s="832"/>
      <c r="IT28" s="832"/>
      <c r="IU28" s="832"/>
      <c r="IV28" s="832"/>
      <c r="IW28" s="832"/>
    </row>
    <row r="29" customFormat="false" ht="12.75" hidden="false" customHeight="false" outlineLevel="0" collapsed="false">
      <c r="A29" s="832"/>
      <c r="B29" s="832"/>
      <c r="C29" s="832"/>
      <c r="D29" s="832"/>
      <c r="E29" s="51" t="n">
        <v>100</v>
      </c>
      <c r="F29" s="55" t="n">
        <f aca="false">5634*3</f>
        <v>16902</v>
      </c>
      <c r="G29" s="55" t="n">
        <f aca="false">$B$21*($B$23+$B$24)*$B$20*(1+$B$19)</f>
        <v>0</v>
      </c>
      <c r="H29" s="55" t="n">
        <f aca="false">G29+F29</f>
        <v>16902</v>
      </c>
      <c r="I29" s="964" t="n">
        <f aca="false">G29/H29</f>
        <v>0</v>
      </c>
      <c r="J29" s="971" t="n">
        <f aca="false">1-I29</f>
        <v>1</v>
      </c>
      <c r="K29" s="1"/>
      <c r="L29" s="1"/>
      <c r="M29" s="1"/>
      <c r="N29" s="1"/>
      <c r="O29" s="1"/>
      <c r="P29" s="1"/>
      <c r="Q29" s="1"/>
      <c r="R29" s="1"/>
      <c r="S29" s="1"/>
      <c r="T29" s="1"/>
      <c r="U29" s="1"/>
      <c r="V29" s="1"/>
      <c r="W29" s="1"/>
      <c r="X29" s="1"/>
      <c r="Y29" s="1"/>
      <c r="Z29" s="1"/>
      <c r="AA29" s="1"/>
      <c r="AB29" s="1"/>
      <c r="AC29" s="1"/>
      <c r="AD29" s="1"/>
      <c r="AE29" s="1"/>
      <c r="AF29" s="1"/>
      <c r="AG29" s="832"/>
      <c r="AH29" s="832"/>
      <c r="AI29" s="832"/>
      <c r="AJ29" s="832"/>
      <c r="AK29" s="832"/>
      <c r="AL29" s="832"/>
      <c r="AM29" s="832"/>
      <c r="AN29" s="832"/>
      <c r="AO29" s="832"/>
      <c r="AP29" s="832"/>
      <c r="AQ29" s="832"/>
      <c r="AR29" s="832"/>
      <c r="AS29" s="832"/>
      <c r="AT29" s="832"/>
      <c r="AU29" s="832"/>
      <c r="AV29" s="832"/>
      <c r="AW29" s="832"/>
      <c r="AX29" s="832"/>
      <c r="AY29" s="832"/>
      <c r="AZ29" s="832"/>
      <c r="BA29" s="832"/>
      <c r="BB29" s="832"/>
      <c r="BC29" s="832"/>
      <c r="BD29" s="832"/>
      <c r="BE29" s="832"/>
      <c r="BF29" s="832"/>
      <c r="BG29" s="832"/>
      <c r="BH29" s="832"/>
      <c r="BI29" s="832"/>
      <c r="BJ29" s="832"/>
      <c r="BK29" s="832"/>
      <c r="BL29" s="832"/>
      <c r="BM29" s="832"/>
      <c r="BN29" s="832"/>
      <c r="BO29" s="832"/>
      <c r="BP29" s="832"/>
      <c r="BQ29" s="832"/>
      <c r="BR29" s="832"/>
      <c r="BS29" s="832"/>
      <c r="BT29" s="832"/>
      <c r="BU29" s="832"/>
      <c r="BV29" s="832"/>
      <c r="BW29" s="832"/>
      <c r="BX29" s="832"/>
      <c r="BY29" s="832"/>
      <c r="BZ29" s="832"/>
      <c r="CA29" s="832"/>
      <c r="CB29" s="832"/>
      <c r="CC29" s="832"/>
      <c r="CD29" s="832"/>
      <c r="CE29" s="832"/>
      <c r="CF29" s="832"/>
      <c r="CG29" s="832"/>
      <c r="CH29" s="832"/>
      <c r="CI29" s="832"/>
      <c r="CJ29" s="832"/>
      <c r="CK29" s="832"/>
      <c r="CL29" s="832"/>
      <c r="CM29" s="832"/>
      <c r="CN29" s="832"/>
      <c r="CO29" s="832"/>
      <c r="CP29" s="832"/>
      <c r="CQ29" s="832"/>
      <c r="CR29" s="832"/>
      <c r="CS29" s="832"/>
      <c r="CT29" s="832"/>
      <c r="CU29" s="832"/>
      <c r="CV29" s="832"/>
      <c r="CW29" s="832"/>
      <c r="CX29" s="832"/>
      <c r="CY29" s="832"/>
      <c r="CZ29" s="832"/>
      <c r="DA29" s="832"/>
      <c r="DB29" s="832"/>
      <c r="DC29" s="832"/>
      <c r="DD29" s="832"/>
      <c r="DE29" s="832"/>
      <c r="DF29" s="832"/>
      <c r="DG29" s="832"/>
      <c r="DH29" s="832"/>
      <c r="DI29" s="832"/>
      <c r="DJ29" s="832"/>
      <c r="DK29" s="832"/>
      <c r="DL29" s="832"/>
      <c r="DM29" s="832"/>
      <c r="DN29" s="832"/>
      <c r="DO29" s="832"/>
      <c r="DP29" s="832"/>
      <c r="DQ29" s="832"/>
      <c r="DR29" s="832"/>
      <c r="DS29" s="832"/>
      <c r="DT29" s="832"/>
      <c r="DU29" s="832"/>
      <c r="DV29" s="832"/>
      <c r="DW29" s="832"/>
      <c r="DX29" s="832"/>
      <c r="DY29" s="832"/>
      <c r="DZ29" s="832"/>
      <c r="EA29" s="832"/>
      <c r="EB29" s="832"/>
      <c r="EC29" s="832"/>
      <c r="ED29" s="832"/>
      <c r="EE29" s="832"/>
      <c r="EF29" s="832"/>
      <c r="EG29" s="832"/>
      <c r="EH29" s="832"/>
      <c r="EI29" s="832"/>
      <c r="EJ29" s="832"/>
      <c r="EK29" s="832"/>
      <c r="EL29" s="832"/>
      <c r="EM29" s="832"/>
      <c r="EN29" s="832"/>
      <c r="EO29" s="832"/>
      <c r="EP29" s="832"/>
      <c r="EQ29" s="832"/>
      <c r="ER29" s="832"/>
      <c r="ES29" s="832"/>
      <c r="ET29" s="832"/>
      <c r="EU29" s="832"/>
      <c r="EV29" s="832"/>
      <c r="EW29" s="832"/>
      <c r="EX29" s="832"/>
      <c r="EY29" s="832"/>
      <c r="EZ29" s="832"/>
      <c r="FA29" s="832"/>
      <c r="FB29" s="832"/>
      <c r="FC29" s="832"/>
      <c r="FD29" s="832"/>
      <c r="FE29" s="832"/>
      <c r="FF29" s="832"/>
      <c r="FG29" s="832"/>
      <c r="FH29" s="832"/>
      <c r="FI29" s="832"/>
      <c r="FJ29" s="832"/>
      <c r="FK29" s="832"/>
      <c r="FL29" s="832"/>
      <c r="FM29" s="832"/>
      <c r="FN29" s="832"/>
      <c r="FO29" s="832"/>
      <c r="FP29" s="832"/>
      <c r="FQ29" s="832"/>
      <c r="FR29" s="832"/>
      <c r="FS29" s="832"/>
      <c r="FT29" s="832"/>
      <c r="FU29" s="832"/>
      <c r="FV29" s="832"/>
      <c r="FW29" s="832"/>
      <c r="FX29" s="832"/>
      <c r="FY29" s="832"/>
      <c r="FZ29" s="832"/>
      <c r="GA29" s="832"/>
      <c r="GB29" s="832"/>
      <c r="GC29" s="832"/>
      <c r="GD29" s="832"/>
      <c r="GE29" s="832"/>
      <c r="GF29" s="832"/>
      <c r="GG29" s="832"/>
      <c r="GH29" s="832"/>
      <c r="GI29" s="832"/>
      <c r="GJ29" s="832"/>
      <c r="GK29" s="832"/>
      <c r="GL29" s="832"/>
      <c r="GM29" s="832"/>
      <c r="GN29" s="832"/>
      <c r="GO29" s="832"/>
      <c r="GP29" s="832"/>
      <c r="GQ29" s="832"/>
      <c r="GR29" s="832"/>
      <c r="GS29" s="832"/>
      <c r="GT29" s="832"/>
      <c r="GU29" s="832"/>
      <c r="GV29" s="832"/>
      <c r="GW29" s="832"/>
      <c r="GX29" s="832"/>
      <c r="GY29" s="832"/>
      <c r="GZ29" s="832"/>
      <c r="HA29" s="832"/>
      <c r="HB29" s="832"/>
      <c r="HC29" s="832"/>
      <c r="HD29" s="832"/>
      <c r="HE29" s="832"/>
      <c r="HF29" s="832"/>
      <c r="HG29" s="832"/>
      <c r="HH29" s="832"/>
      <c r="HI29" s="832"/>
      <c r="HJ29" s="832"/>
      <c r="HK29" s="832"/>
      <c r="HL29" s="832"/>
      <c r="HM29" s="832"/>
      <c r="HN29" s="832"/>
      <c r="HO29" s="832"/>
      <c r="HP29" s="832"/>
      <c r="HQ29" s="832"/>
      <c r="HR29" s="832"/>
      <c r="HS29" s="832"/>
      <c r="HT29" s="832"/>
      <c r="HU29" s="832"/>
      <c r="HV29" s="832"/>
      <c r="HW29" s="832"/>
      <c r="HX29" s="832"/>
      <c r="HY29" s="832"/>
      <c r="HZ29" s="832"/>
      <c r="IA29" s="832"/>
      <c r="IB29" s="832"/>
      <c r="IC29" s="832"/>
      <c r="ID29" s="832"/>
      <c r="IE29" s="832"/>
      <c r="IF29" s="832"/>
      <c r="IG29" s="832"/>
      <c r="IH29" s="832"/>
      <c r="II29" s="832"/>
      <c r="IJ29" s="832"/>
      <c r="IK29" s="832"/>
      <c r="IL29" s="832"/>
      <c r="IM29" s="832"/>
      <c r="IN29" s="832"/>
      <c r="IO29" s="832"/>
      <c r="IP29" s="832"/>
      <c r="IQ29" s="832"/>
      <c r="IR29" s="832"/>
      <c r="IS29" s="832"/>
      <c r="IT29" s="832"/>
      <c r="IU29" s="832"/>
      <c r="IV29" s="832"/>
      <c r="IW29" s="832"/>
    </row>
    <row r="30" customFormat="false" ht="12.75" hidden="false" customHeight="false" outlineLevel="0" collapsed="false">
      <c r="A30" s="832"/>
      <c r="B30" s="832"/>
      <c r="C30" s="832"/>
      <c r="D30" s="832"/>
      <c r="E30" s="51" t="n">
        <v>110</v>
      </c>
      <c r="F30" s="55" t="n">
        <f aca="false">5634*3</f>
        <v>16902</v>
      </c>
      <c r="G30" s="55" t="n">
        <f aca="false">$B$21*($B$23+$B$24)*$B$20*(1+$B$19)</f>
        <v>0</v>
      </c>
      <c r="H30" s="55" t="n">
        <f aca="false">G30+F30</f>
        <v>16902</v>
      </c>
      <c r="I30" s="964" t="n">
        <f aca="false">G30/H30</f>
        <v>0</v>
      </c>
      <c r="J30" s="971" t="n">
        <f aca="false">1-I30</f>
        <v>1</v>
      </c>
      <c r="K30" s="1"/>
      <c r="L30" s="1"/>
      <c r="M30" s="1"/>
      <c r="N30" s="1"/>
      <c r="O30" s="1"/>
      <c r="P30" s="1"/>
      <c r="Q30" s="1"/>
      <c r="R30" s="1"/>
      <c r="S30" s="1"/>
      <c r="T30" s="1"/>
      <c r="U30" s="1"/>
      <c r="V30" s="1"/>
      <c r="W30" s="1"/>
      <c r="X30" s="1"/>
      <c r="Y30" s="1"/>
      <c r="Z30" s="1"/>
      <c r="AA30" s="1"/>
      <c r="AB30" s="1"/>
      <c r="AC30" s="1"/>
      <c r="AD30" s="1"/>
      <c r="AE30" s="1"/>
      <c r="AF30" s="1"/>
      <c r="AG30" s="832"/>
      <c r="AH30" s="832"/>
      <c r="AI30" s="832"/>
      <c r="AJ30" s="832"/>
      <c r="AK30" s="832"/>
      <c r="AL30" s="832"/>
      <c r="AM30" s="832"/>
      <c r="AN30" s="832"/>
      <c r="AO30" s="832"/>
      <c r="AP30" s="832"/>
      <c r="AQ30" s="832"/>
      <c r="AR30" s="832"/>
      <c r="AS30" s="832"/>
      <c r="AT30" s="832"/>
      <c r="AU30" s="832"/>
      <c r="AV30" s="832"/>
      <c r="AW30" s="832"/>
      <c r="AX30" s="832"/>
      <c r="AY30" s="832"/>
      <c r="AZ30" s="832"/>
      <c r="BA30" s="832"/>
      <c r="BB30" s="832"/>
      <c r="BC30" s="832"/>
      <c r="BD30" s="832"/>
      <c r="BE30" s="832"/>
      <c r="BF30" s="832"/>
      <c r="BG30" s="832"/>
      <c r="BH30" s="832"/>
      <c r="BI30" s="832"/>
      <c r="BJ30" s="832"/>
      <c r="BK30" s="832"/>
      <c r="BL30" s="832"/>
      <c r="BM30" s="832"/>
      <c r="BN30" s="832"/>
      <c r="BO30" s="832"/>
      <c r="BP30" s="832"/>
      <c r="BQ30" s="832"/>
      <c r="BR30" s="832"/>
      <c r="BS30" s="832"/>
      <c r="BT30" s="832"/>
      <c r="BU30" s="832"/>
      <c r="BV30" s="832"/>
      <c r="BW30" s="832"/>
      <c r="BX30" s="832"/>
      <c r="BY30" s="832"/>
      <c r="BZ30" s="832"/>
      <c r="CA30" s="832"/>
      <c r="CB30" s="832"/>
      <c r="CC30" s="832"/>
      <c r="CD30" s="832"/>
      <c r="CE30" s="832"/>
      <c r="CF30" s="832"/>
      <c r="CG30" s="832"/>
      <c r="CH30" s="832"/>
      <c r="CI30" s="832"/>
      <c r="CJ30" s="832"/>
      <c r="CK30" s="832"/>
      <c r="CL30" s="832"/>
      <c r="CM30" s="832"/>
      <c r="CN30" s="832"/>
      <c r="CO30" s="832"/>
      <c r="CP30" s="832"/>
      <c r="CQ30" s="832"/>
      <c r="CR30" s="832"/>
      <c r="CS30" s="832"/>
      <c r="CT30" s="832"/>
      <c r="CU30" s="832"/>
      <c r="CV30" s="832"/>
      <c r="CW30" s="832"/>
      <c r="CX30" s="832"/>
      <c r="CY30" s="832"/>
      <c r="CZ30" s="832"/>
      <c r="DA30" s="832"/>
      <c r="DB30" s="832"/>
      <c r="DC30" s="832"/>
      <c r="DD30" s="832"/>
      <c r="DE30" s="832"/>
      <c r="DF30" s="832"/>
      <c r="DG30" s="832"/>
      <c r="DH30" s="832"/>
      <c r="DI30" s="832"/>
      <c r="DJ30" s="832"/>
      <c r="DK30" s="832"/>
      <c r="DL30" s="832"/>
      <c r="DM30" s="832"/>
      <c r="DN30" s="832"/>
      <c r="DO30" s="832"/>
      <c r="DP30" s="832"/>
      <c r="DQ30" s="832"/>
      <c r="DR30" s="832"/>
      <c r="DS30" s="832"/>
      <c r="DT30" s="832"/>
      <c r="DU30" s="832"/>
      <c r="DV30" s="832"/>
      <c r="DW30" s="832"/>
      <c r="DX30" s="832"/>
      <c r="DY30" s="832"/>
      <c r="DZ30" s="832"/>
      <c r="EA30" s="832"/>
      <c r="EB30" s="832"/>
      <c r="EC30" s="832"/>
      <c r="ED30" s="832"/>
      <c r="EE30" s="832"/>
      <c r="EF30" s="832"/>
      <c r="EG30" s="832"/>
      <c r="EH30" s="832"/>
      <c r="EI30" s="832"/>
      <c r="EJ30" s="832"/>
      <c r="EK30" s="832"/>
      <c r="EL30" s="832"/>
      <c r="EM30" s="832"/>
      <c r="EN30" s="832"/>
      <c r="EO30" s="832"/>
      <c r="EP30" s="832"/>
      <c r="EQ30" s="832"/>
      <c r="ER30" s="832"/>
      <c r="ES30" s="832"/>
      <c r="ET30" s="832"/>
      <c r="EU30" s="832"/>
      <c r="EV30" s="832"/>
      <c r="EW30" s="832"/>
      <c r="EX30" s="832"/>
      <c r="EY30" s="832"/>
      <c r="EZ30" s="832"/>
      <c r="FA30" s="832"/>
      <c r="FB30" s="832"/>
      <c r="FC30" s="832"/>
      <c r="FD30" s="832"/>
      <c r="FE30" s="832"/>
      <c r="FF30" s="832"/>
      <c r="FG30" s="832"/>
      <c r="FH30" s="832"/>
      <c r="FI30" s="832"/>
      <c r="FJ30" s="832"/>
      <c r="FK30" s="832"/>
      <c r="FL30" s="832"/>
      <c r="FM30" s="832"/>
      <c r="FN30" s="832"/>
      <c r="FO30" s="832"/>
      <c r="FP30" s="832"/>
      <c r="FQ30" s="832"/>
      <c r="FR30" s="832"/>
      <c r="FS30" s="832"/>
      <c r="FT30" s="832"/>
      <c r="FU30" s="832"/>
      <c r="FV30" s="832"/>
      <c r="FW30" s="832"/>
      <c r="FX30" s="832"/>
      <c r="FY30" s="832"/>
      <c r="FZ30" s="832"/>
      <c r="GA30" s="832"/>
      <c r="GB30" s="832"/>
      <c r="GC30" s="832"/>
      <c r="GD30" s="832"/>
      <c r="GE30" s="832"/>
      <c r="GF30" s="832"/>
      <c r="GG30" s="832"/>
      <c r="GH30" s="832"/>
      <c r="GI30" s="832"/>
      <c r="GJ30" s="832"/>
      <c r="GK30" s="832"/>
      <c r="GL30" s="832"/>
      <c r="GM30" s="832"/>
      <c r="GN30" s="832"/>
      <c r="GO30" s="832"/>
      <c r="GP30" s="832"/>
      <c r="GQ30" s="832"/>
      <c r="GR30" s="832"/>
      <c r="GS30" s="832"/>
      <c r="GT30" s="832"/>
      <c r="GU30" s="832"/>
      <c r="GV30" s="832"/>
      <c r="GW30" s="832"/>
      <c r="GX30" s="832"/>
      <c r="GY30" s="832"/>
      <c r="GZ30" s="832"/>
      <c r="HA30" s="832"/>
      <c r="HB30" s="832"/>
      <c r="HC30" s="832"/>
      <c r="HD30" s="832"/>
      <c r="HE30" s="832"/>
      <c r="HF30" s="832"/>
      <c r="HG30" s="832"/>
      <c r="HH30" s="832"/>
      <c r="HI30" s="832"/>
      <c r="HJ30" s="832"/>
      <c r="HK30" s="832"/>
      <c r="HL30" s="832"/>
      <c r="HM30" s="832"/>
      <c r="HN30" s="832"/>
      <c r="HO30" s="832"/>
      <c r="HP30" s="832"/>
      <c r="HQ30" s="832"/>
      <c r="HR30" s="832"/>
      <c r="HS30" s="832"/>
      <c r="HT30" s="832"/>
      <c r="HU30" s="832"/>
      <c r="HV30" s="832"/>
      <c r="HW30" s="832"/>
      <c r="HX30" s="832"/>
      <c r="HY30" s="832"/>
      <c r="HZ30" s="832"/>
      <c r="IA30" s="832"/>
      <c r="IB30" s="832"/>
      <c r="IC30" s="832"/>
      <c r="ID30" s="832"/>
      <c r="IE30" s="832"/>
      <c r="IF30" s="832"/>
      <c r="IG30" s="832"/>
      <c r="IH30" s="832"/>
      <c r="II30" s="832"/>
      <c r="IJ30" s="832"/>
      <c r="IK30" s="832"/>
      <c r="IL30" s="832"/>
      <c r="IM30" s="832"/>
      <c r="IN30" s="832"/>
      <c r="IO30" s="832"/>
      <c r="IP30" s="832"/>
      <c r="IQ30" s="832"/>
      <c r="IR30" s="832"/>
      <c r="IS30" s="832"/>
      <c r="IT30" s="832"/>
      <c r="IU30" s="832"/>
      <c r="IV30" s="832"/>
      <c r="IW30" s="832"/>
    </row>
    <row r="31" customFormat="false" ht="12.75" hidden="false" customHeight="false" outlineLevel="0" collapsed="false">
      <c r="A31" s="832"/>
      <c r="B31" s="832"/>
      <c r="C31" s="832"/>
      <c r="D31" s="832"/>
      <c r="E31" s="51" t="n">
        <v>120</v>
      </c>
      <c r="F31" s="55" t="n">
        <f aca="false">6379*3</f>
        <v>19137</v>
      </c>
      <c r="G31" s="55" t="n">
        <f aca="false">$B$21*($B$23+$B$24)*$B$20*(1+$B$19)</f>
        <v>0</v>
      </c>
      <c r="H31" s="55" t="n">
        <f aca="false">G31+F31</f>
        <v>19137</v>
      </c>
      <c r="I31" s="964" t="n">
        <f aca="false">G31/H31</f>
        <v>0</v>
      </c>
      <c r="J31" s="971" t="n">
        <f aca="false">1-I31</f>
        <v>1</v>
      </c>
      <c r="K31" s="1"/>
      <c r="L31" s="1"/>
      <c r="M31" s="1"/>
      <c r="N31" s="1"/>
      <c r="O31" s="1"/>
      <c r="P31" s="1"/>
      <c r="Q31" s="1"/>
      <c r="R31" s="1"/>
      <c r="S31" s="1"/>
      <c r="T31" s="1"/>
      <c r="U31" s="1"/>
      <c r="V31" s="1"/>
      <c r="W31" s="1"/>
      <c r="X31" s="1"/>
      <c r="Y31" s="1"/>
      <c r="Z31" s="1"/>
      <c r="AA31" s="1"/>
      <c r="AB31" s="1"/>
      <c r="AC31" s="1"/>
      <c r="AD31" s="1"/>
      <c r="AE31" s="1"/>
      <c r="AF31" s="1"/>
      <c r="AG31" s="832"/>
      <c r="AH31" s="832"/>
      <c r="AI31" s="832"/>
      <c r="AJ31" s="832"/>
      <c r="AK31" s="832"/>
      <c r="AL31" s="832"/>
      <c r="AM31" s="832"/>
      <c r="AN31" s="832"/>
      <c r="AO31" s="832"/>
      <c r="AP31" s="832"/>
      <c r="AQ31" s="832"/>
      <c r="AR31" s="832"/>
      <c r="AS31" s="832"/>
      <c r="AT31" s="832"/>
      <c r="AU31" s="832"/>
      <c r="AV31" s="832"/>
      <c r="AW31" s="832"/>
      <c r="AX31" s="832"/>
      <c r="AY31" s="832"/>
      <c r="AZ31" s="832"/>
      <c r="BA31" s="832"/>
      <c r="BB31" s="832"/>
      <c r="BC31" s="832"/>
      <c r="BD31" s="832"/>
      <c r="BE31" s="832"/>
      <c r="BF31" s="832"/>
      <c r="BG31" s="832"/>
      <c r="BH31" s="832"/>
      <c r="BI31" s="832"/>
      <c r="BJ31" s="832"/>
      <c r="BK31" s="832"/>
      <c r="BL31" s="832"/>
      <c r="BM31" s="832"/>
      <c r="BN31" s="832"/>
      <c r="BO31" s="832"/>
      <c r="BP31" s="832"/>
      <c r="BQ31" s="832"/>
      <c r="BR31" s="832"/>
      <c r="BS31" s="832"/>
      <c r="BT31" s="832"/>
      <c r="BU31" s="832"/>
      <c r="BV31" s="832"/>
      <c r="BW31" s="832"/>
      <c r="BX31" s="832"/>
      <c r="BY31" s="832"/>
      <c r="BZ31" s="832"/>
      <c r="CA31" s="832"/>
      <c r="CB31" s="832"/>
      <c r="CC31" s="832"/>
      <c r="CD31" s="832"/>
      <c r="CE31" s="832"/>
      <c r="CF31" s="832"/>
      <c r="CG31" s="832"/>
      <c r="CH31" s="832"/>
      <c r="CI31" s="832"/>
      <c r="CJ31" s="832"/>
      <c r="CK31" s="832"/>
      <c r="CL31" s="832"/>
      <c r="CM31" s="832"/>
      <c r="CN31" s="832"/>
      <c r="CO31" s="832"/>
      <c r="CP31" s="832"/>
      <c r="CQ31" s="832"/>
      <c r="CR31" s="832"/>
      <c r="CS31" s="832"/>
      <c r="CT31" s="832"/>
      <c r="CU31" s="832"/>
      <c r="CV31" s="832"/>
      <c r="CW31" s="832"/>
      <c r="CX31" s="832"/>
      <c r="CY31" s="832"/>
      <c r="CZ31" s="832"/>
      <c r="DA31" s="832"/>
      <c r="DB31" s="832"/>
      <c r="DC31" s="832"/>
      <c r="DD31" s="832"/>
      <c r="DE31" s="832"/>
      <c r="DF31" s="832"/>
      <c r="DG31" s="832"/>
      <c r="DH31" s="832"/>
      <c r="DI31" s="832"/>
      <c r="DJ31" s="832"/>
      <c r="DK31" s="832"/>
      <c r="DL31" s="832"/>
      <c r="DM31" s="832"/>
      <c r="DN31" s="832"/>
      <c r="DO31" s="832"/>
      <c r="DP31" s="832"/>
      <c r="DQ31" s="832"/>
      <c r="DR31" s="832"/>
      <c r="DS31" s="832"/>
      <c r="DT31" s="832"/>
      <c r="DU31" s="832"/>
      <c r="DV31" s="832"/>
      <c r="DW31" s="832"/>
      <c r="DX31" s="832"/>
      <c r="DY31" s="832"/>
      <c r="DZ31" s="832"/>
      <c r="EA31" s="832"/>
      <c r="EB31" s="832"/>
      <c r="EC31" s="832"/>
      <c r="ED31" s="832"/>
      <c r="EE31" s="832"/>
      <c r="EF31" s="832"/>
      <c r="EG31" s="832"/>
      <c r="EH31" s="832"/>
      <c r="EI31" s="832"/>
      <c r="EJ31" s="832"/>
      <c r="EK31" s="832"/>
      <c r="EL31" s="832"/>
      <c r="EM31" s="832"/>
      <c r="EN31" s="832"/>
      <c r="EO31" s="832"/>
      <c r="EP31" s="832"/>
      <c r="EQ31" s="832"/>
      <c r="ER31" s="832"/>
      <c r="ES31" s="832"/>
      <c r="ET31" s="832"/>
      <c r="EU31" s="832"/>
      <c r="EV31" s="832"/>
      <c r="EW31" s="832"/>
      <c r="EX31" s="832"/>
      <c r="EY31" s="832"/>
      <c r="EZ31" s="832"/>
      <c r="FA31" s="832"/>
      <c r="FB31" s="832"/>
      <c r="FC31" s="832"/>
      <c r="FD31" s="832"/>
      <c r="FE31" s="832"/>
      <c r="FF31" s="832"/>
      <c r="FG31" s="832"/>
      <c r="FH31" s="832"/>
      <c r="FI31" s="832"/>
      <c r="FJ31" s="832"/>
      <c r="FK31" s="832"/>
      <c r="FL31" s="832"/>
      <c r="FM31" s="832"/>
      <c r="FN31" s="832"/>
      <c r="FO31" s="832"/>
      <c r="FP31" s="832"/>
      <c r="FQ31" s="832"/>
      <c r="FR31" s="832"/>
      <c r="FS31" s="832"/>
      <c r="FT31" s="832"/>
      <c r="FU31" s="832"/>
      <c r="FV31" s="832"/>
      <c r="FW31" s="832"/>
      <c r="FX31" s="832"/>
      <c r="FY31" s="832"/>
      <c r="FZ31" s="832"/>
      <c r="GA31" s="832"/>
      <c r="GB31" s="832"/>
      <c r="GC31" s="832"/>
      <c r="GD31" s="832"/>
      <c r="GE31" s="832"/>
      <c r="GF31" s="832"/>
      <c r="GG31" s="832"/>
      <c r="GH31" s="832"/>
      <c r="GI31" s="832"/>
      <c r="GJ31" s="832"/>
      <c r="GK31" s="832"/>
      <c r="GL31" s="832"/>
      <c r="GM31" s="832"/>
      <c r="GN31" s="832"/>
      <c r="GO31" s="832"/>
      <c r="GP31" s="832"/>
      <c r="GQ31" s="832"/>
      <c r="GR31" s="832"/>
      <c r="GS31" s="832"/>
      <c r="GT31" s="832"/>
      <c r="GU31" s="832"/>
      <c r="GV31" s="832"/>
      <c r="GW31" s="832"/>
      <c r="GX31" s="832"/>
      <c r="GY31" s="832"/>
      <c r="GZ31" s="832"/>
      <c r="HA31" s="832"/>
      <c r="HB31" s="832"/>
      <c r="HC31" s="832"/>
      <c r="HD31" s="832"/>
      <c r="HE31" s="832"/>
      <c r="HF31" s="832"/>
      <c r="HG31" s="832"/>
      <c r="HH31" s="832"/>
      <c r="HI31" s="832"/>
      <c r="HJ31" s="832"/>
      <c r="HK31" s="832"/>
      <c r="HL31" s="832"/>
      <c r="HM31" s="832"/>
      <c r="HN31" s="832"/>
      <c r="HO31" s="832"/>
      <c r="HP31" s="832"/>
      <c r="HQ31" s="832"/>
      <c r="HR31" s="832"/>
      <c r="HS31" s="832"/>
      <c r="HT31" s="832"/>
      <c r="HU31" s="832"/>
      <c r="HV31" s="832"/>
      <c r="HW31" s="832"/>
      <c r="HX31" s="832"/>
      <c r="HY31" s="832"/>
      <c r="HZ31" s="832"/>
      <c r="IA31" s="832"/>
      <c r="IB31" s="832"/>
      <c r="IC31" s="832"/>
      <c r="ID31" s="832"/>
      <c r="IE31" s="832"/>
      <c r="IF31" s="832"/>
      <c r="IG31" s="832"/>
      <c r="IH31" s="832"/>
      <c r="II31" s="832"/>
      <c r="IJ31" s="832"/>
      <c r="IK31" s="832"/>
      <c r="IL31" s="832"/>
      <c r="IM31" s="832"/>
      <c r="IN31" s="832"/>
      <c r="IO31" s="832"/>
      <c r="IP31" s="832"/>
      <c r="IQ31" s="832"/>
      <c r="IR31" s="832"/>
      <c r="IS31" s="832"/>
      <c r="IT31" s="832"/>
      <c r="IU31" s="832"/>
      <c r="IV31" s="832"/>
      <c r="IW31" s="832"/>
    </row>
    <row r="32" customFormat="false" ht="12.75" hidden="false" customHeight="false" outlineLevel="0" collapsed="false">
      <c r="A32" s="832"/>
      <c r="B32" s="832"/>
      <c r="C32" s="832"/>
      <c r="D32" s="832"/>
      <c r="E32" s="51" t="n">
        <v>130</v>
      </c>
      <c r="F32" s="55" t="n">
        <f aca="false">6379*3</f>
        <v>19137</v>
      </c>
      <c r="G32" s="55" t="n">
        <f aca="false">$B$21*($B$23+$B$24)*$B$20*(1+$B$19)</f>
        <v>0</v>
      </c>
      <c r="H32" s="55" t="n">
        <f aca="false">G32+F32</f>
        <v>19137</v>
      </c>
      <c r="I32" s="964" t="n">
        <f aca="false">G32/H32</f>
        <v>0</v>
      </c>
      <c r="J32" s="971" t="n">
        <f aca="false">1-I32</f>
        <v>1</v>
      </c>
      <c r="K32" s="1"/>
      <c r="L32" s="1"/>
      <c r="M32" s="1"/>
      <c r="N32" s="1"/>
      <c r="O32" s="1"/>
      <c r="P32" s="1"/>
      <c r="Q32" s="1"/>
      <c r="R32" s="1"/>
      <c r="S32" s="1"/>
      <c r="T32" s="1"/>
      <c r="U32" s="1"/>
      <c r="V32" s="1"/>
      <c r="W32" s="1"/>
      <c r="X32" s="1"/>
      <c r="Y32" s="1"/>
      <c r="Z32" s="1"/>
      <c r="AA32" s="1"/>
      <c r="AB32" s="1"/>
      <c r="AC32" s="1"/>
      <c r="AD32" s="1"/>
      <c r="AE32" s="1"/>
      <c r="AF32" s="1"/>
      <c r="AG32" s="832"/>
      <c r="AH32" s="832"/>
      <c r="AI32" s="832"/>
      <c r="AJ32" s="832"/>
      <c r="AK32" s="832"/>
      <c r="AL32" s="832"/>
      <c r="AM32" s="832"/>
      <c r="AN32" s="832"/>
      <c r="AO32" s="832"/>
      <c r="AP32" s="832"/>
      <c r="AQ32" s="832"/>
      <c r="AR32" s="832"/>
      <c r="AS32" s="832"/>
      <c r="AT32" s="832"/>
      <c r="AU32" s="832"/>
      <c r="AV32" s="832"/>
      <c r="AW32" s="832"/>
      <c r="AX32" s="832"/>
      <c r="AY32" s="832"/>
      <c r="AZ32" s="832"/>
      <c r="BA32" s="832"/>
      <c r="BB32" s="832"/>
      <c r="BC32" s="832"/>
      <c r="BD32" s="832"/>
      <c r="BE32" s="832"/>
      <c r="BF32" s="832"/>
      <c r="BG32" s="832"/>
      <c r="BH32" s="832"/>
      <c r="BI32" s="832"/>
      <c r="BJ32" s="832"/>
      <c r="BK32" s="832"/>
      <c r="BL32" s="832"/>
      <c r="BM32" s="832"/>
      <c r="BN32" s="832"/>
      <c r="BO32" s="832"/>
      <c r="BP32" s="832"/>
      <c r="BQ32" s="832"/>
      <c r="BR32" s="832"/>
      <c r="BS32" s="832"/>
      <c r="BT32" s="832"/>
      <c r="BU32" s="832"/>
      <c r="BV32" s="832"/>
      <c r="BW32" s="832"/>
      <c r="BX32" s="832"/>
      <c r="BY32" s="832"/>
      <c r="BZ32" s="832"/>
      <c r="CA32" s="832"/>
      <c r="CB32" s="832"/>
      <c r="CC32" s="832"/>
      <c r="CD32" s="832"/>
      <c r="CE32" s="832"/>
      <c r="CF32" s="832"/>
      <c r="CG32" s="832"/>
      <c r="CH32" s="832"/>
      <c r="CI32" s="832"/>
      <c r="CJ32" s="832"/>
      <c r="CK32" s="832"/>
      <c r="CL32" s="832"/>
      <c r="CM32" s="832"/>
      <c r="CN32" s="832"/>
      <c r="CO32" s="832"/>
      <c r="CP32" s="832"/>
      <c r="CQ32" s="832"/>
      <c r="CR32" s="832"/>
      <c r="CS32" s="832"/>
      <c r="CT32" s="832"/>
      <c r="CU32" s="832"/>
      <c r="CV32" s="832"/>
      <c r="CW32" s="832"/>
      <c r="CX32" s="832"/>
      <c r="CY32" s="832"/>
      <c r="CZ32" s="832"/>
      <c r="DA32" s="832"/>
      <c r="DB32" s="832"/>
      <c r="DC32" s="832"/>
      <c r="DD32" s="832"/>
      <c r="DE32" s="832"/>
      <c r="DF32" s="832"/>
      <c r="DG32" s="832"/>
      <c r="DH32" s="832"/>
      <c r="DI32" s="832"/>
      <c r="DJ32" s="832"/>
      <c r="DK32" s="832"/>
      <c r="DL32" s="832"/>
      <c r="DM32" s="832"/>
      <c r="DN32" s="832"/>
      <c r="DO32" s="832"/>
      <c r="DP32" s="832"/>
      <c r="DQ32" s="832"/>
      <c r="DR32" s="832"/>
      <c r="DS32" s="832"/>
      <c r="DT32" s="832"/>
      <c r="DU32" s="832"/>
      <c r="DV32" s="832"/>
      <c r="DW32" s="832"/>
      <c r="DX32" s="832"/>
      <c r="DY32" s="832"/>
      <c r="DZ32" s="832"/>
      <c r="EA32" s="832"/>
      <c r="EB32" s="832"/>
      <c r="EC32" s="832"/>
      <c r="ED32" s="832"/>
      <c r="EE32" s="832"/>
      <c r="EF32" s="832"/>
      <c r="EG32" s="832"/>
      <c r="EH32" s="832"/>
      <c r="EI32" s="832"/>
      <c r="EJ32" s="832"/>
      <c r="EK32" s="832"/>
      <c r="EL32" s="832"/>
      <c r="EM32" s="832"/>
      <c r="EN32" s="832"/>
      <c r="EO32" s="832"/>
      <c r="EP32" s="832"/>
      <c r="EQ32" s="832"/>
      <c r="ER32" s="832"/>
      <c r="ES32" s="832"/>
      <c r="ET32" s="832"/>
      <c r="EU32" s="832"/>
      <c r="EV32" s="832"/>
      <c r="EW32" s="832"/>
      <c r="EX32" s="832"/>
      <c r="EY32" s="832"/>
      <c r="EZ32" s="832"/>
      <c r="FA32" s="832"/>
      <c r="FB32" s="832"/>
      <c r="FC32" s="832"/>
      <c r="FD32" s="832"/>
      <c r="FE32" s="832"/>
      <c r="FF32" s="832"/>
      <c r="FG32" s="832"/>
      <c r="FH32" s="832"/>
      <c r="FI32" s="832"/>
      <c r="FJ32" s="832"/>
      <c r="FK32" s="832"/>
      <c r="FL32" s="832"/>
      <c r="FM32" s="832"/>
      <c r="FN32" s="832"/>
      <c r="FO32" s="832"/>
      <c r="FP32" s="832"/>
      <c r="FQ32" s="832"/>
      <c r="FR32" s="832"/>
      <c r="FS32" s="832"/>
      <c r="FT32" s="832"/>
      <c r="FU32" s="832"/>
      <c r="FV32" s="832"/>
      <c r="FW32" s="832"/>
      <c r="FX32" s="832"/>
      <c r="FY32" s="832"/>
      <c r="FZ32" s="832"/>
      <c r="GA32" s="832"/>
      <c r="GB32" s="832"/>
      <c r="GC32" s="832"/>
      <c r="GD32" s="832"/>
      <c r="GE32" s="832"/>
      <c r="GF32" s="832"/>
      <c r="GG32" s="832"/>
      <c r="GH32" s="832"/>
      <c r="GI32" s="832"/>
      <c r="GJ32" s="832"/>
      <c r="GK32" s="832"/>
      <c r="GL32" s="832"/>
      <c r="GM32" s="832"/>
      <c r="GN32" s="832"/>
      <c r="GO32" s="832"/>
      <c r="GP32" s="832"/>
      <c r="GQ32" s="832"/>
      <c r="GR32" s="832"/>
      <c r="GS32" s="832"/>
      <c r="GT32" s="832"/>
      <c r="GU32" s="832"/>
      <c r="GV32" s="832"/>
      <c r="GW32" s="832"/>
      <c r="GX32" s="832"/>
      <c r="GY32" s="832"/>
      <c r="GZ32" s="832"/>
      <c r="HA32" s="832"/>
      <c r="HB32" s="832"/>
      <c r="HC32" s="832"/>
      <c r="HD32" s="832"/>
      <c r="HE32" s="832"/>
      <c r="HF32" s="832"/>
      <c r="HG32" s="832"/>
      <c r="HH32" s="832"/>
      <c r="HI32" s="832"/>
      <c r="HJ32" s="832"/>
      <c r="HK32" s="832"/>
      <c r="HL32" s="832"/>
      <c r="HM32" s="832"/>
      <c r="HN32" s="832"/>
      <c r="HO32" s="832"/>
      <c r="HP32" s="832"/>
      <c r="HQ32" s="832"/>
      <c r="HR32" s="832"/>
      <c r="HS32" s="832"/>
      <c r="HT32" s="832"/>
      <c r="HU32" s="832"/>
      <c r="HV32" s="832"/>
      <c r="HW32" s="832"/>
      <c r="HX32" s="832"/>
      <c r="HY32" s="832"/>
      <c r="HZ32" s="832"/>
      <c r="IA32" s="832"/>
      <c r="IB32" s="832"/>
      <c r="IC32" s="832"/>
      <c r="ID32" s="832"/>
      <c r="IE32" s="832"/>
      <c r="IF32" s="832"/>
      <c r="IG32" s="832"/>
      <c r="IH32" s="832"/>
      <c r="II32" s="832"/>
      <c r="IJ32" s="832"/>
      <c r="IK32" s="832"/>
      <c r="IL32" s="832"/>
      <c r="IM32" s="832"/>
      <c r="IN32" s="832"/>
      <c r="IO32" s="832"/>
      <c r="IP32" s="832"/>
      <c r="IQ32" s="832"/>
      <c r="IR32" s="832"/>
      <c r="IS32" s="832"/>
      <c r="IT32" s="832"/>
      <c r="IU32" s="832"/>
      <c r="IV32" s="832"/>
      <c r="IW32" s="832"/>
    </row>
    <row r="33" customFormat="false" ht="12.75" hidden="false" customHeight="false" outlineLevel="0" collapsed="false">
      <c r="A33" s="832"/>
      <c r="B33" s="832"/>
      <c r="C33" s="832"/>
      <c r="D33" s="832"/>
      <c r="E33" s="51" t="n">
        <v>140</v>
      </c>
      <c r="F33" s="55" t="n">
        <f aca="false">6379*3</f>
        <v>19137</v>
      </c>
      <c r="G33" s="55" t="n">
        <f aca="false">$B$21*($B$23+$B$24)*$B$20*(1+$B$19)</f>
        <v>0</v>
      </c>
      <c r="H33" s="55" t="n">
        <f aca="false">G33+F33</f>
        <v>19137</v>
      </c>
      <c r="I33" s="964" t="n">
        <f aca="false">G33/H33</f>
        <v>0</v>
      </c>
      <c r="J33" s="971" t="n">
        <f aca="false">1-I33</f>
        <v>1</v>
      </c>
      <c r="K33" s="1"/>
      <c r="L33" s="1"/>
      <c r="M33" s="1"/>
      <c r="N33" s="1"/>
      <c r="O33" s="1"/>
      <c r="P33" s="1"/>
      <c r="Q33" s="1"/>
      <c r="R33" s="1"/>
      <c r="S33" s="1"/>
      <c r="T33" s="1"/>
      <c r="U33" s="1"/>
      <c r="V33" s="1"/>
      <c r="W33" s="1"/>
      <c r="X33" s="1"/>
      <c r="Y33" s="1"/>
      <c r="Z33" s="1"/>
      <c r="AA33" s="1"/>
      <c r="AB33" s="1"/>
      <c r="AC33" s="1"/>
      <c r="AD33" s="1"/>
      <c r="AE33" s="1"/>
      <c r="AF33" s="1"/>
      <c r="AG33" s="832"/>
      <c r="AH33" s="832"/>
      <c r="AI33" s="832"/>
      <c r="AJ33" s="832"/>
      <c r="AK33" s="832"/>
      <c r="AL33" s="832"/>
      <c r="AM33" s="832"/>
      <c r="AN33" s="832"/>
      <c r="AO33" s="832"/>
      <c r="AP33" s="832"/>
      <c r="AQ33" s="832"/>
      <c r="AR33" s="832"/>
      <c r="AS33" s="832"/>
      <c r="AT33" s="832"/>
      <c r="AU33" s="832"/>
      <c r="AV33" s="832"/>
      <c r="AW33" s="832"/>
      <c r="AX33" s="832"/>
      <c r="AY33" s="832"/>
      <c r="AZ33" s="832"/>
      <c r="BA33" s="832"/>
      <c r="BB33" s="832"/>
      <c r="BC33" s="832"/>
      <c r="BD33" s="832"/>
      <c r="BE33" s="832"/>
      <c r="BF33" s="832"/>
      <c r="BG33" s="832"/>
      <c r="BH33" s="832"/>
      <c r="BI33" s="832"/>
      <c r="BJ33" s="832"/>
      <c r="BK33" s="832"/>
      <c r="BL33" s="832"/>
      <c r="BM33" s="832"/>
      <c r="BN33" s="832"/>
      <c r="BO33" s="832"/>
      <c r="BP33" s="832"/>
      <c r="BQ33" s="832"/>
      <c r="BR33" s="832"/>
      <c r="BS33" s="832"/>
      <c r="BT33" s="832"/>
      <c r="BU33" s="832"/>
      <c r="BV33" s="832"/>
      <c r="BW33" s="832"/>
      <c r="BX33" s="832"/>
      <c r="BY33" s="832"/>
      <c r="BZ33" s="832"/>
      <c r="CA33" s="832"/>
      <c r="CB33" s="832"/>
      <c r="CC33" s="832"/>
      <c r="CD33" s="832"/>
      <c r="CE33" s="832"/>
      <c r="CF33" s="832"/>
      <c r="CG33" s="832"/>
      <c r="CH33" s="832"/>
      <c r="CI33" s="832"/>
      <c r="CJ33" s="832"/>
      <c r="CK33" s="832"/>
      <c r="CL33" s="832"/>
      <c r="CM33" s="832"/>
      <c r="CN33" s="832"/>
      <c r="CO33" s="832"/>
      <c r="CP33" s="832"/>
      <c r="CQ33" s="832"/>
      <c r="CR33" s="832"/>
      <c r="CS33" s="832"/>
      <c r="CT33" s="832"/>
      <c r="CU33" s="832"/>
      <c r="CV33" s="832"/>
      <c r="CW33" s="832"/>
      <c r="CX33" s="832"/>
      <c r="CY33" s="832"/>
      <c r="CZ33" s="832"/>
      <c r="DA33" s="832"/>
      <c r="DB33" s="832"/>
      <c r="DC33" s="832"/>
      <c r="DD33" s="832"/>
      <c r="DE33" s="832"/>
      <c r="DF33" s="832"/>
      <c r="DG33" s="832"/>
      <c r="DH33" s="832"/>
      <c r="DI33" s="832"/>
      <c r="DJ33" s="832"/>
      <c r="DK33" s="832"/>
      <c r="DL33" s="832"/>
      <c r="DM33" s="832"/>
      <c r="DN33" s="832"/>
      <c r="DO33" s="832"/>
      <c r="DP33" s="832"/>
      <c r="DQ33" s="832"/>
      <c r="DR33" s="832"/>
      <c r="DS33" s="832"/>
      <c r="DT33" s="832"/>
      <c r="DU33" s="832"/>
      <c r="DV33" s="832"/>
      <c r="DW33" s="832"/>
      <c r="DX33" s="832"/>
      <c r="DY33" s="832"/>
      <c r="DZ33" s="832"/>
      <c r="EA33" s="832"/>
      <c r="EB33" s="832"/>
      <c r="EC33" s="832"/>
      <c r="ED33" s="832"/>
      <c r="EE33" s="832"/>
      <c r="EF33" s="832"/>
      <c r="EG33" s="832"/>
      <c r="EH33" s="832"/>
      <c r="EI33" s="832"/>
      <c r="EJ33" s="832"/>
      <c r="EK33" s="832"/>
      <c r="EL33" s="832"/>
      <c r="EM33" s="832"/>
      <c r="EN33" s="832"/>
      <c r="EO33" s="832"/>
      <c r="EP33" s="832"/>
      <c r="EQ33" s="832"/>
      <c r="ER33" s="832"/>
      <c r="ES33" s="832"/>
      <c r="ET33" s="832"/>
      <c r="EU33" s="832"/>
      <c r="EV33" s="832"/>
      <c r="EW33" s="832"/>
      <c r="EX33" s="832"/>
      <c r="EY33" s="832"/>
      <c r="EZ33" s="832"/>
      <c r="FA33" s="832"/>
      <c r="FB33" s="832"/>
      <c r="FC33" s="832"/>
      <c r="FD33" s="832"/>
      <c r="FE33" s="832"/>
      <c r="FF33" s="832"/>
      <c r="FG33" s="832"/>
      <c r="FH33" s="832"/>
      <c r="FI33" s="832"/>
      <c r="FJ33" s="832"/>
      <c r="FK33" s="832"/>
      <c r="FL33" s="832"/>
      <c r="FM33" s="832"/>
      <c r="FN33" s="832"/>
      <c r="FO33" s="832"/>
      <c r="FP33" s="832"/>
      <c r="FQ33" s="832"/>
      <c r="FR33" s="832"/>
      <c r="FS33" s="832"/>
      <c r="FT33" s="832"/>
      <c r="FU33" s="832"/>
      <c r="FV33" s="832"/>
      <c r="FW33" s="832"/>
      <c r="FX33" s="832"/>
      <c r="FY33" s="832"/>
      <c r="FZ33" s="832"/>
      <c r="GA33" s="832"/>
      <c r="GB33" s="832"/>
      <c r="GC33" s="832"/>
      <c r="GD33" s="832"/>
      <c r="GE33" s="832"/>
      <c r="GF33" s="832"/>
      <c r="GG33" s="832"/>
      <c r="GH33" s="832"/>
      <c r="GI33" s="832"/>
      <c r="GJ33" s="832"/>
      <c r="GK33" s="832"/>
      <c r="GL33" s="832"/>
      <c r="GM33" s="832"/>
      <c r="GN33" s="832"/>
      <c r="GO33" s="832"/>
      <c r="GP33" s="832"/>
      <c r="GQ33" s="832"/>
      <c r="GR33" s="832"/>
      <c r="GS33" s="832"/>
      <c r="GT33" s="832"/>
      <c r="GU33" s="832"/>
      <c r="GV33" s="832"/>
      <c r="GW33" s="832"/>
      <c r="GX33" s="832"/>
      <c r="GY33" s="832"/>
      <c r="GZ33" s="832"/>
      <c r="HA33" s="832"/>
      <c r="HB33" s="832"/>
      <c r="HC33" s="832"/>
      <c r="HD33" s="832"/>
      <c r="HE33" s="832"/>
      <c r="HF33" s="832"/>
      <c r="HG33" s="832"/>
      <c r="HH33" s="832"/>
      <c r="HI33" s="832"/>
      <c r="HJ33" s="832"/>
      <c r="HK33" s="832"/>
      <c r="HL33" s="832"/>
      <c r="HM33" s="832"/>
      <c r="HN33" s="832"/>
      <c r="HO33" s="832"/>
      <c r="HP33" s="832"/>
      <c r="HQ33" s="832"/>
      <c r="HR33" s="832"/>
      <c r="HS33" s="832"/>
      <c r="HT33" s="832"/>
      <c r="HU33" s="832"/>
      <c r="HV33" s="832"/>
      <c r="HW33" s="832"/>
      <c r="HX33" s="832"/>
      <c r="HY33" s="832"/>
      <c r="HZ33" s="832"/>
      <c r="IA33" s="832"/>
      <c r="IB33" s="832"/>
      <c r="IC33" s="832"/>
      <c r="ID33" s="832"/>
      <c r="IE33" s="832"/>
      <c r="IF33" s="832"/>
      <c r="IG33" s="832"/>
      <c r="IH33" s="832"/>
      <c r="II33" s="832"/>
      <c r="IJ33" s="832"/>
      <c r="IK33" s="832"/>
      <c r="IL33" s="832"/>
      <c r="IM33" s="832"/>
      <c r="IN33" s="832"/>
      <c r="IO33" s="832"/>
      <c r="IP33" s="832"/>
      <c r="IQ33" s="832"/>
      <c r="IR33" s="832"/>
      <c r="IS33" s="832"/>
      <c r="IT33" s="832"/>
      <c r="IU33" s="832"/>
      <c r="IV33" s="832"/>
      <c r="IW33" s="832"/>
    </row>
    <row r="34" customFormat="false" ht="12.75" hidden="false" customHeight="false" outlineLevel="0" collapsed="false">
      <c r="A34" s="832"/>
      <c r="B34" s="832"/>
      <c r="C34" s="832"/>
      <c r="D34" s="832"/>
      <c r="E34" s="51" t="n">
        <v>150</v>
      </c>
      <c r="F34" s="55" t="n">
        <f aca="false">6379*3</f>
        <v>19137</v>
      </c>
      <c r="G34" s="55" t="n">
        <f aca="false">$B$21*($B$23+$B$24)*$B$20*(1+$B$19)</f>
        <v>0</v>
      </c>
      <c r="H34" s="55" t="n">
        <f aca="false">G34+F34</f>
        <v>19137</v>
      </c>
      <c r="I34" s="964" t="n">
        <f aca="false">G34/H34</f>
        <v>0</v>
      </c>
      <c r="J34" s="971" t="n">
        <f aca="false">1-I34</f>
        <v>1</v>
      </c>
      <c r="K34" s="1"/>
      <c r="L34" s="1"/>
      <c r="M34" s="1"/>
      <c r="N34" s="1"/>
      <c r="O34" s="1"/>
      <c r="P34" s="1"/>
      <c r="Q34" s="1"/>
      <c r="R34" s="1"/>
      <c r="S34" s="1"/>
      <c r="T34" s="1"/>
      <c r="U34" s="1"/>
      <c r="V34" s="1"/>
      <c r="W34" s="1"/>
      <c r="X34" s="1"/>
      <c r="Y34" s="1"/>
      <c r="Z34" s="1"/>
      <c r="AA34" s="1"/>
      <c r="AB34" s="1"/>
      <c r="AC34" s="1"/>
      <c r="AD34" s="1"/>
      <c r="AE34" s="1"/>
      <c r="AF34" s="1"/>
      <c r="AG34" s="832"/>
      <c r="AH34" s="832"/>
      <c r="AI34" s="832"/>
      <c r="AJ34" s="832"/>
      <c r="AK34" s="832"/>
      <c r="AL34" s="832"/>
      <c r="AM34" s="832"/>
      <c r="AN34" s="832"/>
      <c r="AO34" s="832"/>
      <c r="AP34" s="832"/>
      <c r="AQ34" s="832"/>
      <c r="AR34" s="832"/>
      <c r="AS34" s="832"/>
      <c r="AT34" s="832"/>
      <c r="AU34" s="832"/>
      <c r="AV34" s="832"/>
      <c r="AW34" s="832"/>
      <c r="AX34" s="832"/>
      <c r="AY34" s="832"/>
      <c r="AZ34" s="832"/>
      <c r="BA34" s="832"/>
      <c r="BB34" s="832"/>
      <c r="BC34" s="832"/>
      <c r="BD34" s="832"/>
      <c r="BE34" s="832"/>
      <c r="BF34" s="832"/>
      <c r="BG34" s="832"/>
      <c r="BH34" s="832"/>
      <c r="BI34" s="832"/>
      <c r="BJ34" s="832"/>
      <c r="BK34" s="832"/>
      <c r="BL34" s="832"/>
      <c r="BM34" s="832"/>
      <c r="BN34" s="832"/>
      <c r="BO34" s="832"/>
      <c r="BP34" s="832"/>
      <c r="BQ34" s="832"/>
      <c r="BR34" s="832"/>
      <c r="BS34" s="832"/>
      <c r="BT34" s="832"/>
      <c r="BU34" s="832"/>
      <c r="BV34" s="832"/>
      <c r="BW34" s="832"/>
      <c r="BX34" s="832"/>
      <c r="BY34" s="832"/>
      <c r="BZ34" s="832"/>
      <c r="CA34" s="832"/>
      <c r="CB34" s="832"/>
      <c r="CC34" s="832"/>
      <c r="CD34" s="832"/>
      <c r="CE34" s="832"/>
      <c r="CF34" s="832"/>
      <c r="CG34" s="832"/>
      <c r="CH34" s="832"/>
      <c r="CI34" s="832"/>
      <c r="CJ34" s="832"/>
      <c r="CK34" s="832"/>
      <c r="CL34" s="832"/>
      <c r="CM34" s="832"/>
      <c r="CN34" s="832"/>
      <c r="CO34" s="832"/>
      <c r="CP34" s="832"/>
      <c r="CQ34" s="832"/>
      <c r="CR34" s="832"/>
      <c r="CS34" s="832"/>
      <c r="CT34" s="832"/>
      <c r="CU34" s="832"/>
      <c r="CV34" s="832"/>
      <c r="CW34" s="832"/>
      <c r="CX34" s="832"/>
      <c r="CY34" s="832"/>
      <c r="CZ34" s="832"/>
      <c r="DA34" s="832"/>
      <c r="DB34" s="832"/>
      <c r="DC34" s="832"/>
      <c r="DD34" s="832"/>
      <c r="DE34" s="832"/>
      <c r="DF34" s="832"/>
      <c r="DG34" s="832"/>
      <c r="DH34" s="832"/>
      <c r="DI34" s="832"/>
      <c r="DJ34" s="832"/>
      <c r="DK34" s="832"/>
      <c r="DL34" s="832"/>
      <c r="DM34" s="832"/>
      <c r="DN34" s="832"/>
      <c r="DO34" s="832"/>
      <c r="DP34" s="832"/>
      <c r="DQ34" s="832"/>
      <c r="DR34" s="832"/>
      <c r="DS34" s="832"/>
      <c r="DT34" s="832"/>
      <c r="DU34" s="832"/>
      <c r="DV34" s="832"/>
      <c r="DW34" s="832"/>
      <c r="DX34" s="832"/>
      <c r="DY34" s="832"/>
      <c r="DZ34" s="832"/>
      <c r="EA34" s="832"/>
      <c r="EB34" s="832"/>
      <c r="EC34" s="832"/>
      <c r="ED34" s="832"/>
      <c r="EE34" s="832"/>
      <c r="EF34" s="832"/>
      <c r="EG34" s="832"/>
      <c r="EH34" s="832"/>
      <c r="EI34" s="832"/>
      <c r="EJ34" s="832"/>
      <c r="EK34" s="832"/>
      <c r="EL34" s="832"/>
      <c r="EM34" s="832"/>
      <c r="EN34" s="832"/>
      <c r="EO34" s="832"/>
      <c r="EP34" s="832"/>
      <c r="EQ34" s="832"/>
      <c r="ER34" s="832"/>
      <c r="ES34" s="832"/>
      <c r="ET34" s="832"/>
      <c r="EU34" s="832"/>
      <c r="EV34" s="832"/>
      <c r="EW34" s="832"/>
      <c r="EX34" s="832"/>
      <c r="EY34" s="832"/>
      <c r="EZ34" s="832"/>
      <c r="FA34" s="832"/>
      <c r="FB34" s="832"/>
      <c r="FC34" s="832"/>
      <c r="FD34" s="832"/>
      <c r="FE34" s="832"/>
      <c r="FF34" s="832"/>
      <c r="FG34" s="832"/>
      <c r="FH34" s="832"/>
      <c r="FI34" s="832"/>
      <c r="FJ34" s="832"/>
      <c r="FK34" s="832"/>
      <c r="FL34" s="832"/>
      <c r="FM34" s="832"/>
      <c r="FN34" s="832"/>
      <c r="FO34" s="832"/>
      <c r="FP34" s="832"/>
      <c r="FQ34" s="832"/>
      <c r="FR34" s="832"/>
      <c r="FS34" s="832"/>
      <c r="FT34" s="832"/>
      <c r="FU34" s="832"/>
      <c r="FV34" s="832"/>
      <c r="FW34" s="832"/>
      <c r="FX34" s="832"/>
      <c r="FY34" s="832"/>
      <c r="FZ34" s="832"/>
      <c r="GA34" s="832"/>
      <c r="GB34" s="832"/>
      <c r="GC34" s="832"/>
      <c r="GD34" s="832"/>
      <c r="GE34" s="832"/>
      <c r="GF34" s="832"/>
      <c r="GG34" s="832"/>
      <c r="GH34" s="832"/>
      <c r="GI34" s="832"/>
      <c r="GJ34" s="832"/>
      <c r="GK34" s="832"/>
      <c r="GL34" s="832"/>
      <c r="GM34" s="832"/>
      <c r="GN34" s="832"/>
      <c r="GO34" s="832"/>
      <c r="GP34" s="832"/>
      <c r="GQ34" s="832"/>
      <c r="GR34" s="832"/>
      <c r="GS34" s="832"/>
      <c r="GT34" s="832"/>
      <c r="GU34" s="832"/>
      <c r="GV34" s="832"/>
      <c r="GW34" s="832"/>
      <c r="GX34" s="832"/>
      <c r="GY34" s="832"/>
      <c r="GZ34" s="832"/>
      <c r="HA34" s="832"/>
      <c r="HB34" s="832"/>
      <c r="HC34" s="832"/>
      <c r="HD34" s="832"/>
      <c r="HE34" s="832"/>
      <c r="HF34" s="832"/>
      <c r="HG34" s="832"/>
      <c r="HH34" s="832"/>
      <c r="HI34" s="832"/>
      <c r="HJ34" s="832"/>
      <c r="HK34" s="832"/>
      <c r="HL34" s="832"/>
      <c r="HM34" s="832"/>
      <c r="HN34" s="832"/>
      <c r="HO34" s="832"/>
      <c r="HP34" s="832"/>
      <c r="HQ34" s="832"/>
      <c r="HR34" s="832"/>
      <c r="HS34" s="832"/>
      <c r="HT34" s="832"/>
      <c r="HU34" s="832"/>
      <c r="HV34" s="832"/>
      <c r="HW34" s="832"/>
      <c r="HX34" s="832"/>
      <c r="HY34" s="832"/>
      <c r="HZ34" s="832"/>
      <c r="IA34" s="832"/>
      <c r="IB34" s="832"/>
      <c r="IC34" s="832"/>
      <c r="ID34" s="832"/>
      <c r="IE34" s="832"/>
      <c r="IF34" s="832"/>
      <c r="IG34" s="832"/>
      <c r="IH34" s="832"/>
      <c r="II34" s="832"/>
      <c r="IJ34" s="832"/>
      <c r="IK34" s="832"/>
      <c r="IL34" s="832"/>
      <c r="IM34" s="832"/>
      <c r="IN34" s="832"/>
      <c r="IO34" s="832"/>
      <c r="IP34" s="832"/>
      <c r="IQ34" s="832"/>
      <c r="IR34" s="832"/>
      <c r="IS34" s="832"/>
      <c r="IT34" s="832"/>
      <c r="IU34" s="832"/>
      <c r="IV34" s="832"/>
      <c r="IW34" s="832"/>
    </row>
    <row r="35" customFormat="false" ht="12.75" hidden="false" customHeight="false" outlineLevel="0" collapsed="false">
      <c r="E35" s="51" t="n">
        <v>160</v>
      </c>
      <c r="F35" s="55" t="n">
        <f aca="false">7118*3</f>
        <v>21354</v>
      </c>
      <c r="G35" s="55" t="n">
        <f aca="false">$B$21*($B$23+$B$24)*$B$20*(1+$B$19)</f>
        <v>0</v>
      </c>
      <c r="H35" s="55" t="n">
        <f aca="false">G35+F35</f>
        <v>21354</v>
      </c>
      <c r="I35" s="964" t="n">
        <f aca="false">G35/H35</f>
        <v>0</v>
      </c>
      <c r="J35" s="971" t="n">
        <f aca="false">1-I35</f>
        <v>1</v>
      </c>
    </row>
    <row r="36" customFormat="false" ht="12.75" hidden="false" customHeight="false" outlineLevel="0" collapsed="false">
      <c r="E36" s="51" t="n">
        <v>170</v>
      </c>
      <c r="F36" s="55" t="n">
        <f aca="false">7118*3</f>
        <v>21354</v>
      </c>
      <c r="G36" s="55" t="n">
        <f aca="false">$B$21*($B$23+$B$24)*$B$20*(1+$B$19)</f>
        <v>0</v>
      </c>
      <c r="H36" s="55" t="n">
        <f aca="false">G36+F36</f>
        <v>21354</v>
      </c>
      <c r="I36" s="964" t="n">
        <f aca="false">G36/H36</f>
        <v>0</v>
      </c>
      <c r="J36" s="971" t="n">
        <f aca="false">1-I36</f>
        <v>1</v>
      </c>
    </row>
    <row r="37" customFormat="false" ht="12.75" hidden="false" customHeight="false" outlineLevel="0" collapsed="false">
      <c r="E37" s="51" t="n">
        <v>180</v>
      </c>
      <c r="F37" s="55" t="n">
        <f aca="false">7118*3</f>
        <v>21354</v>
      </c>
      <c r="G37" s="55" t="n">
        <f aca="false">$B$21*($B$23+$B$24)*$B$20*(1+$B$19)</f>
        <v>0</v>
      </c>
      <c r="H37" s="55" t="n">
        <f aca="false">G37+F37</f>
        <v>21354</v>
      </c>
      <c r="I37" s="964" t="n">
        <f aca="false">G37/H37</f>
        <v>0</v>
      </c>
      <c r="J37" s="971" t="n">
        <f aca="false">1-I37</f>
        <v>1</v>
      </c>
    </row>
    <row r="38" customFormat="false" ht="12.75" hidden="false" customHeight="false" outlineLevel="0" collapsed="false">
      <c r="E38" s="51" t="n">
        <v>190</v>
      </c>
      <c r="F38" s="55" t="n">
        <f aca="false">7118*3</f>
        <v>21354</v>
      </c>
      <c r="G38" s="55" t="n">
        <f aca="false">$B$21*($B$23+$B$24)*$B$20*(1+$B$19)</f>
        <v>0</v>
      </c>
      <c r="H38" s="55" t="n">
        <f aca="false">G38+F38</f>
        <v>21354</v>
      </c>
      <c r="I38" s="964" t="n">
        <f aca="false">G38/H38</f>
        <v>0</v>
      </c>
      <c r="J38" s="971" t="n">
        <f aca="false">1-I38</f>
        <v>1</v>
      </c>
    </row>
    <row r="39" customFormat="false" ht="12.75" hidden="false" customHeight="false" outlineLevel="0" collapsed="false">
      <c r="E39" s="51" t="n">
        <v>200</v>
      </c>
      <c r="F39" s="55" t="n">
        <f aca="false">7118*3</f>
        <v>21354</v>
      </c>
      <c r="G39" s="55" t="n">
        <f aca="false">$B$21*($B$23+$B$24)*$B$20*(1+$B$19)</f>
        <v>0</v>
      </c>
      <c r="H39" s="55" t="n">
        <f aca="false">G39+F39</f>
        <v>21354</v>
      </c>
      <c r="I39" s="964" t="n">
        <f aca="false">G39/H39</f>
        <v>0</v>
      </c>
      <c r="J39" s="971" t="n">
        <f aca="false">1-I39</f>
        <v>1</v>
      </c>
    </row>
    <row r="40" customFormat="false" ht="12.75" hidden="false" customHeight="false" outlineLevel="0" collapsed="false">
      <c r="E40" s="51" t="n">
        <v>210</v>
      </c>
      <c r="F40" s="55" t="n">
        <f aca="false">7118*3</f>
        <v>21354</v>
      </c>
      <c r="G40" s="55" t="n">
        <f aca="false">$B$21*($B$23+$B$24)*$B$20*(1+$B$19)</f>
        <v>0</v>
      </c>
      <c r="H40" s="55" t="n">
        <f aca="false">G40+F40</f>
        <v>21354</v>
      </c>
      <c r="I40" s="964" t="n">
        <f aca="false">G40/H40</f>
        <v>0</v>
      </c>
      <c r="J40" s="971" t="n">
        <f aca="false">1-I40</f>
        <v>1</v>
      </c>
    </row>
    <row r="41" customFormat="false" ht="12.75" hidden="false" customHeight="false" outlineLevel="0" collapsed="false">
      <c r="E41" s="51" t="n">
        <v>220</v>
      </c>
      <c r="F41" s="55" t="n">
        <f aca="false">7118*3</f>
        <v>21354</v>
      </c>
      <c r="G41" s="55" t="n">
        <f aca="false">$B$21*($B$23+$B$24)*$B$20*(1+$B$19)</f>
        <v>0</v>
      </c>
      <c r="H41" s="55" t="n">
        <f aca="false">G41+F41</f>
        <v>21354</v>
      </c>
      <c r="I41" s="964" t="n">
        <f aca="false">G41/H41</f>
        <v>0</v>
      </c>
      <c r="J41" s="971" t="n">
        <f aca="false">1-I41</f>
        <v>1</v>
      </c>
    </row>
    <row r="42" customFormat="false" ht="12.75" hidden="false" customHeight="false" outlineLevel="0" collapsed="false">
      <c r="E42" s="51" t="n">
        <v>230</v>
      </c>
      <c r="F42" s="55" t="n">
        <f aca="false">7118*3</f>
        <v>21354</v>
      </c>
      <c r="G42" s="55" t="n">
        <f aca="false">$B$21*($B$23+$B$24)*$B$20*(1+$B$19)</f>
        <v>0</v>
      </c>
      <c r="H42" s="55" t="n">
        <f aca="false">G42+F42</f>
        <v>21354</v>
      </c>
      <c r="I42" s="964" t="n">
        <f aca="false">G42/H42</f>
        <v>0</v>
      </c>
      <c r="J42" s="971" t="n">
        <f aca="false">1-I42</f>
        <v>1</v>
      </c>
    </row>
    <row r="43" customFormat="false" ht="12.75" hidden="false" customHeight="false" outlineLevel="0" collapsed="false">
      <c r="E43" s="51" t="n">
        <v>240</v>
      </c>
      <c r="F43" s="55" t="n">
        <f aca="false">9120*3</f>
        <v>27360</v>
      </c>
      <c r="G43" s="55" t="n">
        <f aca="false">$B$21*($B$23+$B$24)*$B$20*(1+$B$19)</f>
        <v>0</v>
      </c>
      <c r="H43" s="55" t="n">
        <f aca="false">G43+F43</f>
        <v>27360</v>
      </c>
      <c r="I43" s="964" t="n">
        <f aca="false">G43/H43</f>
        <v>0</v>
      </c>
      <c r="J43" s="971" t="n">
        <f aca="false">1-I43</f>
        <v>1</v>
      </c>
    </row>
    <row r="44" customFormat="false" ht="12.75" hidden="false" customHeight="false" outlineLevel="0" collapsed="false">
      <c r="E44" s="974" t="n">
        <v>250</v>
      </c>
      <c r="F44" s="975" t="n">
        <f aca="false">9120*3</f>
        <v>27360</v>
      </c>
      <c r="G44" s="975" t="n">
        <f aca="false">$B$21*($B$23+$B$24)*$B$20*(1+$B$19)</f>
        <v>0</v>
      </c>
      <c r="H44" s="975" t="n">
        <f aca="false">G44+F44</f>
        <v>27360</v>
      </c>
      <c r="I44" s="976" t="n">
        <f aca="false">G44/H44</f>
        <v>0</v>
      </c>
      <c r="J44" s="977" t="n">
        <f aca="false">1-I44</f>
        <v>1</v>
      </c>
    </row>
  </sheetData>
  <printOptions headings="false" gridLines="false" gridLinesSet="true" horizontalCentered="false" verticalCentered="false"/>
  <pageMargins left="0.25" right="0.25" top="0.2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colBreaks count="1" manualBreakCount="1">
    <brk id="15" man="true" max="65535" min="0"/>
  </col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725"/>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28125" defaultRowHeight="11.25" customHeight="true" zeroHeight="false" outlineLevelRow="1" outlineLevelCol="0"/>
  <cols>
    <col collapsed="false" customWidth="true" hidden="false" outlineLevel="0" max="1" min="1" style="1" width="37.56"/>
    <col collapsed="false" customWidth="true" hidden="false" outlineLevel="0" max="2" min="2" style="2" width="10.28"/>
    <col collapsed="false" customWidth="true" hidden="false" outlineLevel="0" max="3" min="3" style="1" width="10.13"/>
    <col collapsed="false" customWidth="true" hidden="false" outlineLevel="0" max="4" min="4" style="3" width="10.28"/>
    <col collapsed="false" customWidth="true" hidden="false" outlineLevel="0" max="5" min="5" style="1" width="12.85"/>
    <col collapsed="false" customWidth="true" hidden="false" outlineLevel="0" max="6" min="6" style="1" width="10.28"/>
    <col collapsed="false" customWidth="true" hidden="false" outlineLevel="0" max="7" min="7" style="1" width="10.41"/>
    <col collapsed="false" customWidth="true" hidden="false" outlineLevel="0" max="19" min="8" style="1" width="10.28"/>
    <col collapsed="false" customWidth="false" hidden="false" outlineLevel="0" max="29" min="20" style="1" width="9.28"/>
    <col collapsed="false" customWidth="false" hidden="false" outlineLevel="0" max="257" min="30" style="4" width="9.28"/>
  </cols>
  <sheetData>
    <row r="1" customFormat="false" ht="20.25" hidden="false" customHeight="false" outlineLevel="0" collapsed="false">
      <c r="A1" s="5" t="str">
        <f aca="false">'PPA Assumptions &amp;Summary'!A1</f>
        <v>GLEASON, TN</v>
      </c>
    </row>
    <row r="2" customFormat="false" ht="19.5" hidden="false" customHeight="false" outlineLevel="0" collapsed="false">
      <c r="A2" s="6" t="s">
        <v>0</v>
      </c>
      <c r="B2" s="7"/>
      <c r="C2" s="7"/>
      <c r="D2" s="7"/>
      <c r="E2" s="7"/>
      <c r="F2" s="7"/>
      <c r="G2" s="7"/>
      <c r="H2" s="7"/>
      <c r="I2" s="7"/>
      <c r="J2" s="7"/>
      <c r="K2" s="7"/>
      <c r="L2" s="7"/>
      <c r="M2" s="7"/>
      <c r="N2" s="7"/>
      <c r="O2" s="7"/>
      <c r="P2" s="7"/>
      <c r="Q2" s="7"/>
      <c r="R2" s="7"/>
      <c r="S2" s="7"/>
      <c r="T2" s="7"/>
      <c r="U2" s="7"/>
      <c r="V2" s="7"/>
      <c r="W2" s="7"/>
      <c r="X2" s="7"/>
      <c r="Y2" s="7"/>
      <c r="Z2" s="7"/>
      <c r="AA2" s="7"/>
    </row>
    <row r="3" customFormat="false" ht="31.5" hidden="false" customHeight="false" outlineLevel="0" collapsed="false">
      <c r="A3" s="8" t="s">
        <v>1</v>
      </c>
      <c r="B3" s="7"/>
      <c r="C3" s="7"/>
      <c r="D3" s="7"/>
      <c r="E3" s="7"/>
      <c r="F3" s="7"/>
      <c r="G3" s="7"/>
      <c r="H3" s="7"/>
      <c r="I3" s="7"/>
      <c r="J3" s="7"/>
      <c r="K3" s="7"/>
      <c r="L3" s="7"/>
      <c r="M3" s="7"/>
      <c r="N3" s="7"/>
      <c r="O3" s="7"/>
      <c r="P3" s="7"/>
      <c r="Q3" s="7"/>
      <c r="R3" s="7"/>
      <c r="S3" s="7"/>
      <c r="T3" s="7"/>
      <c r="U3" s="7"/>
      <c r="V3" s="7"/>
      <c r="W3" s="7"/>
      <c r="X3" s="7"/>
      <c r="Y3" s="7"/>
      <c r="Z3" s="7"/>
      <c r="AA3" s="7"/>
    </row>
    <row r="4" customFormat="false" ht="12.75" hidden="false" customHeight="false" outlineLevel="0" collapsed="false">
      <c r="A4" s="8"/>
      <c r="B4" s="7"/>
      <c r="C4" s="7"/>
      <c r="D4" s="7"/>
      <c r="E4" s="7"/>
      <c r="F4" s="7"/>
      <c r="G4" s="7"/>
      <c r="H4" s="7"/>
      <c r="I4" s="7"/>
      <c r="J4" s="7"/>
      <c r="K4" s="7"/>
      <c r="L4" s="7"/>
      <c r="M4" s="7"/>
      <c r="N4" s="7"/>
      <c r="O4" s="7"/>
      <c r="P4" s="7"/>
      <c r="Q4" s="7"/>
      <c r="R4" s="7"/>
      <c r="S4" s="7"/>
      <c r="T4" s="7"/>
      <c r="U4" s="7"/>
      <c r="V4" s="7"/>
      <c r="W4" s="7"/>
      <c r="X4" s="7"/>
      <c r="Y4" s="7"/>
      <c r="Z4" s="7"/>
      <c r="AA4" s="7"/>
    </row>
    <row r="5" customFormat="false" ht="12.75" hidden="false" customHeight="false" outlineLevel="0" collapsed="false">
      <c r="A5" s="9" t="s">
        <v>2</v>
      </c>
      <c r="B5" s="7"/>
      <c r="C5" s="7"/>
      <c r="D5" s="7"/>
      <c r="E5" s="7"/>
      <c r="F5" s="7"/>
      <c r="G5" s="7"/>
      <c r="H5" s="7"/>
      <c r="I5" s="7"/>
      <c r="J5" s="7"/>
      <c r="K5" s="7"/>
      <c r="L5" s="7"/>
      <c r="M5" s="7"/>
      <c r="N5" s="7"/>
      <c r="O5" s="7"/>
      <c r="P5" s="7"/>
      <c r="Q5" s="7"/>
      <c r="R5" s="7"/>
      <c r="S5" s="7"/>
      <c r="T5" s="7"/>
      <c r="U5" s="7"/>
      <c r="V5" s="7"/>
      <c r="W5" s="7"/>
      <c r="X5" s="7"/>
      <c r="Y5" s="7"/>
      <c r="Z5" s="7"/>
      <c r="AA5" s="7"/>
    </row>
    <row r="6" customFormat="false" ht="12.75" hidden="false" customHeight="false" outlineLevel="0" collapsed="false">
      <c r="A6" s="10" t="s">
        <v>3</v>
      </c>
      <c r="B6" s="11" t="n">
        <f aca="false">'Project Assumptions'!I67</f>
        <v>38525.1130126154</v>
      </c>
      <c r="C6" s="7"/>
      <c r="D6" s="7"/>
      <c r="E6" s="7"/>
      <c r="F6" s="7"/>
      <c r="G6" s="7"/>
      <c r="H6" s="7"/>
      <c r="I6" s="7"/>
      <c r="J6" s="7"/>
      <c r="K6" s="7"/>
      <c r="L6" s="7"/>
      <c r="M6" s="7"/>
      <c r="N6" s="7"/>
      <c r="O6" s="7"/>
      <c r="P6" s="7"/>
      <c r="Q6" s="7"/>
      <c r="R6" s="7"/>
      <c r="S6" s="7"/>
      <c r="T6" s="7"/>
      <c r="U6" s="7"/>
      <c r="V6" s="7"/>
      <c r="W6" s="7"/>
      <c r="X6" s="7"/>
      <c r="Y6" s="7"/>
      <c r="Z6" s="7"/>
      <c r="AA6" s="7"/>
    </row>
    <row r="7" customFormat="false" ht="12.75" hidden="false" customHeight="false" outlineLevel="0" collapsed="false">
      <c r="A7" s="12" t="s">
        <v>4</v>
      </c>
      <c r="B7" s="13" t="n">
        <f aca="false">'Project Assumptions'!G67</f>
        <v>71958.0467291002</v>
      </c>
      <c r="C7" s="7"/>
      <c r="D7" s="7"/>
      <c r="E7" s="7"/>
      <c r="F7" s="7"/>
      <c r="G7" s="7"/>
      <c r="H7" s="7"/>
      <c r="I7" s="7"/>
      <c r="J7" s="7"/>
      <c r="K7" s="7"/>
      <c r="L7" s="7"/>
      <c r="M7" s="7"/>
      <c r="N7" s="7"/>
      <c r="O7" s="7"/>
      <c r="P7" s="7"/>
      <c r="Q7" s="7"/>
      <c r="R7" s="7"/>
      <c r="S7" s="7"/>
      <c r="T7" s="7"/>
      <c r="U7" s="7"/>
      <c r="V7" s="7"/>
      <c r="W7" s="7"/>
      <c r="X7" s="7"/>
      <c r="Y7" s="7"/>
      <c r="Z7" s="7"/>
      <c r="AA7" s="7"/>
    </row>
    <row r="8" customFormat="false" ht="12.75" hidden="false" customHeight="false" outlineLevel="0" collapsed="false">
      <c r="A8" s="14" t="s">
        <v>5</v>
      </c>
      <c r="B8" s="15" t="s">
        <v>6</v>
      </c>
      <c r="C8" s="15" t="s">
        <v>7</v>
      </c>
      <c r="D8" s="16" t="n">
        <f aca="false">'PPA Assumptions &amp;Summary'!C4</f>
        <v>2000</v>
      </c>
      <c r="E8" s="17" t="n">
        <f aca="false">'PPA Assumptions &amp;Summary'!D4</f>
        <v>2001</v>
      </c>
      <c r="F8" s="17" t="n">
        <f aca="false">'PPA Assumptions &amp;Summary'!E4</f>
        <v>2002</v>
      </c>
      <c r="G8" s="17" t="n">
        <f aca="false">'PPA Assumptions &amp;Summary'!F4</f>
        <v>2003</v>
      </c>
      <c r="H8" s="17" t="n">
        <f aca="false">'PPA Assumptions &amp;Summary'!G4</f>
        <v>2004</v>
      </c>
      <c r="I8" s="17" t="n">
        <f aca="false">'PPA Assumptions &amp;Summary'!H4</f>
        <v>2005</v>
      </c>
      <c r="J8" s="17" t="n">
        <f aca="false">'PPA Assumptions &amp;Summary'!I4</f>
        <v>2006</v>
      </c>
      <c r="K8" s="17" t="n">
        <f aca="false">'PPA Assumptions &amp;Summary'!J4</f>
        <v>2007</v>
      </c>
      <c r="L8" s="17" t="n">
        <f aca="false">'PPA Assumptions &amp;Summary'!K4</f>
        <v>2008</v>
      </c>
      <c r="M8" s="17" t="n">
        <f aca="false">'PPA Assumptions &amp;Summary'!L4</f>
        <v>2009</v>
      </c>
      <c r="N8" s="18" t="n">
        <f aca="false">'PPA Assumptions &amp;Summary'!M4</f>
        <v>2010</v>
      </c>
      <c r="O8" s="19" t="n">
        <f aca="false">'PPA Assumptions &amp;Summary'!N4</f>
        <v>2011</v>
      </c>
      <c r="P8" s="19" t="n">
        <f aca="false">'PPA Assumptions &amp;Summary'!O4</f>
        <v>2012</v>
      </c>
      <c r="Q8" s="19" t="n">
        <f aca="false">'PPA Assumptions &amp;Summary'!P4</f>
        <v>2013</v>
      </c>
      <c r="R8" s="19" t="n">
        <f aca="false">'PPA Assumptions &amp;Summary'!Q4</f>
        <v>2014</v>
      </c>
      <c r="S8" s="19" t="n">
        <f aca="false">'PPA Assumptions &amp;Summary'!R4</f>
        <v>2015</v>
      </c>
      <c r="T8" s="19" t="n">
        <f aca="false">'PPA Assumptions &amp;Summary'!S4</f>
        <v>2016</v>
      </c>
      <c r="U8" s="19" t="n">
        <f aca="false">'PPA Assumptions &amp;Summary'!T4</f>
        <v>2017</v>
      </c>
      <c r="V8" s="19" t="n">
        <f aca="false">'PPA Assumptions &amp;Summary'!U4</f>
        <v>2018</v>
      </c>
      <c r="W8" s="19" t="n">
        <f aca="false">'PPA Assumptions &amp;Summary'!V4</f>
        <v>2019</v>
      </c>
      <c r="X8" s="19" t="n">
        <f aca="false">'PPA Assumptions &amp;Summary'!W4</f>
        <v>2020</v>
      </c>
      <c r="Y8" s="0"/>
      <c r="Z8" s="7"/>
      <c r="AA8" s="7"/>
    </row>
    <row r="9" customFormat="false" ht="12.75" hidden="false" customHeight="false" outlineLevel="0" collapsed="false">
      <c r="A9" s="14" t="s">
        <v>8</v>
      </c>
      <c r="B9" s="20" t="n">
        <f aca="false">NPV(0.1,D9:Y9)</f>
        <v>452746.045221289</v>
      </c>
      <c r="C9" s="20" t="n">
        <v>0</v>
      </c>
      <c r="D9" s="21" t="n">
        <f aca="false">'Book Income Statement'!D17</f>
        <v>34109.7007669463</v>
      </c>
      <c r="E9" s="22" t="n">
        <f aca="false">'Book Income Statement'!E17</f>
        <v>44409.6879292274</v>
      </c>
      <c r="F9" s="22" t="n">
        <f aca="false">'Book Income Statement'!F17</f>
        <v>44506.771127475</v>
      </c>
      <c r="G9" s="22" t="n">
        <f aca="false">'Book Income Statement'!G17</f>
        <v>50218.3088622982</v>
      </c>
      <c r="H9" s="22" t="n">
        <f aca="false">'Book Income Statement'!H17</f>
        <v>54574.6735223465</v>
      </c>
      <c r="I9" s="22" t="n">
        <f aca="false">'Book Income Statement'!I17</f>
        <v>55063.6973276302</v>
      </c>
      <c r="J9" s="22" t="n">
        <f aca="false">'Book Income Statement'!J17</f>
        <v>55548.5587152765</v>
      </c>
      <c r="K9" s="22" t="n">
        <f aca="false">'Book Income Statement'!K17</f>
        <v>56699.5303999468</v>
      </c>
      <c r="L9" s="22" t="n">
        <f aca="false">'Book Income Statement'!L17</f>
        <v>57194.1209754336</v>
      </c>
      <c r="M9" s="22" t="n">
        <f aca="false">'Book Income Statement'!M17</f>
        <v>58394.4595279085</v>
      </c>
      <c r="N9" s="23" t="n">
        <f aca="false">'Book Income Statement'!N17</f>
        <v>58897.821542417</v>
      </c>
      <c r="O9" s="24" t="n">
        <f aca="false">'Book Income Statement'!O17</f>
        <v>60149.2711119014</v>
      </c>
      <c r="P9" s="24" t="n">
        <f aca="false">'Book Income Statement'!P17</f>
        <v>60660.6385842322</v>
      </c>
      <c r="Q9" s="24" t="n">
        <f aca="false">'Book Income Statement'!Q17</f>
        <v>61164.0183132057</v>
      </c>
      <c r="R9" s="24" t="n">
        <f aca="false">'Book Income Statement'!R17</f>
        <v>61658.4708034955</v>
      </c>
      <c r="S9" s="24" t="n">
        <f aca="false">'Book Income Statement'!S17</f>
        <v>62143.0073790244</v>
      </c>
      <c r="T9" s="24" t="n">
        <f aca="false">'Book Income Statement'!T17</f>
        <v>62616.5880776655</v>
      </c>
      <c r="U9" s="24" t="n">
        <f aca="false">'Book Income Statement'!U17</f>
        <v>63078.1194638876</v>
      </c>
      <c r="V9" s="24" t="n">
        <f aca="false">'Book Income Statement'!V17</f>
        <v>63526.4523563168</v>
      </c>
      <c r="W9" s="24" t="n">
        <f aca="false">'Book Income Statement'!W17</f>
        <v>63960.3794670779</v>
      </c>
      <c r="X9" s="24" t="n">
        <f aca="false">'Book Income Statement'!X17</f>
        <v>38508.4253903415</v>
      </c>
      <c r="Y9" s="0"/>
      <c r="Z9" s="7"/>
      <c r="AA9" s="7"/>
    </row>
    <row r="10" customFormat="false" ht="12.75" hidden="false" customHeight="false" outlineLevel="1" collapsed="false">
      <c r="A10" s="25" t="s">
        <v>9</v>
      </c>
      <c r="B10" s="20" t="n">
        <f aca="false">NPV(0.1,D10:Y10)</f>
        <v>208125.5929335</v>
      </c>
      <c r="C10" s="20" t="n">
        <v>0</v>
      </c>
      <c r="D10" s="21" t="n">
        <f aca="false">'Book Income Statement'!D60</f>
        <v>21358.369035191</v>
      </c>
      <c r="E10" s="22" t="n">
        <f aca="false">'Book Income Statement'!E60</f>
        <v>22387.7700327663</v>
      </c>
      <c r="F10" s="22" t="n">
        <f aca="false">'Book Income Statement'!F60</f>
        <v>22551.2275034256</v>
      </c>
      <c r="G10" s="22" t="n">
        <f aca="false">'Book Income Statement'!G60</f>
        <v>23357.2185062057</v>
      </c>
      <c r="H10" s="22" t="n">
        <f aca="false">'Book Income Statement'!H60</f>
        <v>23849.8431859604</v>
      </c>
      <c r="I10" s="22" t="n">
        <f aca="false">'Book Income Statement'!I60</f>
        <v>24042.4123596856</v>
      </c>
      <c r="J10" s="22" t="n">
        <f aca="false">'Book Income Statement'!J60</f>
        <v>24240.8938996732</v>
      </c>
      <c r="K10" s="22" t="n">
        <f aca="false">'Book Income Statement'!K60</f>
        <v>24445.6451568609</v>
      </c>
      <c r="L10" s="22" t="n">
        <f aca="false">'Book Income Statement'!L60</f>
        <v>24656.5389517642</v>
      </c>
      <c r="M10" s="22" t="n">
        <f aca="false">'Book Income Statement'!M60</f>
        <v>24873.7595605147</v>
      </c>
      <c r="N10" s="23" t="n">
        <f aca="false">'Book Income Statement'!N60</f>
        <v>25097.4967875277</v>
      </c>
      <c r="O10" s="24" t="n">
        <f aca="false">'Book Income Statement'!O60</f>
        <v>25327.946131351</v>
      </c>
      <c r="P10" s="24" t="n">
        <f aca="false">'Book Income Statement'!P60</f>
        <v>25565.3089554891</v>
      </c>
      <c r="Q10" s="24" t="n">
        <f aca="false">'Book Income Statement'!Q60</f>
        <v>25809.7926643513</v>
      </c>
      <c r="R10" s="24" t="n">
        <f aca="false">'Book Income Statement'!R60</f>
        <v>26061.6108844794</v>
      </c>
      <c r="S10" s="24" t="n">
        <f aca="false">'Book Income Statement'!S60</f>
        <v>26320.9836512113</v>
      </c>
      <c r="T10" s="24" t="n">
        <f aca="false">'Book Income Statement'!T60</f>
        <v>26588.1376009451</v>
      </c>
      <c r="U10" s="24" t="n">
        <f aca="false">'Book Income Statement'!U60</f>
        <v>26863.306169171</v>
      </c>
      <c r="V10" s="24" t="n">
        <f aca="false">'Book Income Statement'!V60</f>
        <v>27146.7297944437</v>
      </c>
      <c r="W10" s="24" t="n">
        <f aca="false">'Book Income Statement'!W60</f>
        <v>27438.6561284745</v>
      </c>
      <c r="X10" s="24" t="n">
        <f aca="false">'Book Income Statement'!X60</f>
        <v>25122.6405063683</v>
      </c>
      <c r="Y10" s="0"/>
      <c r="Z10" s="7"/>
      <c r="AA10" s="7"/>
    </row>
    <row r="11" customFormat="false" ht="12.75" hidden="false" customHeight="false" outlineLevel="1" collapsed="false">
      <c r="A11" s="25" t="s">
        <v>10</v>
      </c>
      <c r="B11" s="20" t="n">
        <f aca="false">NPV(0.1,D11:Y11)</f>
        <v>85095.5979032052</v>
      </c>
      <c r="C11" s="20" t="n">
        <v>0</v>
      </c>
      <c r="D11" s="21" t="n">
        <f aca="false">'Book Income Statement'!D75</f>
        <v>-305.749872745907</v>
      </c>
      <c r="E11" s="22" t="n">
        <f aca="false">'Book Income Statement'!E75</f>
        <v>4132.24631453853</v>
      </c>
      <c r="F11" s="22" t="n">
        <f aca="false">'Book Income Statement'!F75</f>
        <v>4301.96673965595</v>
      </c>
      <c r="G11" s="22" t="n">
        <f aca="false">'Book Income Statement'!G75</f>
        <v>7562.44088319408</v>
      </c>
      <c r="H11" s="22" t="n">
        <f aca="false">'Book Income Statement'!H75</f>
        <v>10282.401393414</v>
      </c>
      <c r="I11" s="22" t="n">
        <f aca="false">'Book Income Statement'!I75</f>
        <v>10849.4096386938</v>
      </c>
      <c r="J11" s="22" t="n">
        <f aca="false">'Book Income Statement'!J75</f>
        <v>11369.7692215307</v>
      </c>
      <c r="K11" s="22" t="n">
        <f aca="false">'Book Income Statement'!K75</f>
        <v>12221.5978548063</v>
      </c>
      <c r="L11" s="22" t="n">
        <f aca="false">'Book Income Statement'!L75</f>
        <v>12673.3750414135</v>
      </c>
      <c r="M11" s="22" t="n">
        <f aca="false">'Book Income Statement'!M75</f>
        <v>13724.6039144432</v>
      </c>
      <c r="N11" s="23" t="n">
        <f aca="false">'Book Income Statement'!N75</f>
        <v>14474.0536882116</v>
      </c>
      <c r="O11" s="24" t="n">
        <f aca="false">'Book Income Statement'!O75</f>
        <v>15228.3669009975</v>
      </c>
      <c r="P11" s="24" t="n">
        <f aca="false">'Book Income Statement'!P75</f>
        <v>15566.0727490735</v>
      </c>
      <c r="Q11" s="24" t="n">
        <f aca="false">'Book Income Statement'!Q75</f>
        <v>15894.6555589767</v>
      </c>
      <c r="R11" s="24" t="n">
        <f aca="false">'Book Income Statement'!R75</f>
        <v>16213.4190414896</v>
      </c>
      <c r="S11" s="24" t="n">
        <f aca="false">'Book Income Statement'!S75</f>
        <v>16521.6333407762</v>
      </c>
      <c r="T11" s="24" t="n">
        <f aca="false">'Book Income Statement'!T75</f>
        <v>16818.5336470449</v>
      </c>
      <c r="U11" s="24" t="n">
        <f aca="false">'Book Income Statement'!U75</f>
        <v>17275.5724631659</v>
      </c>
      <c r="V11" s="24" t="n">
        <f aca="false">'Book Income Statement'!V75</f>
        <v>17788.5584711814</v>
      </c>
      <c r="W11" s="24" t="n">
        <f aca="false">'Book Income Statement'!W75</f>
        <v>18391.0638767722</v>
      </c>
      <c r="X11" s="24" t="n">
        <f aca="false">'Book Income Statement'!X75</f>
        <v>5006.55999344051</v>
      </c>
      <c r="Y11" s="0"/>
      <c r="Z11" s="7"/>
      <c r="AA11" s="7"/>
    </row>
    <row r="12" customFormat="false" ht="12.75" hidden="false" customHeight="false" outlineLevel="1" collapsed="false">
      <c r="A12" s="25" t="s">
        <v>11</v>
      </c>
      <c r="B12" s="20" t="n">
        <f aca="false">NPV(0.1,D12:Y12)</f>
        <v>92885.7764796396</v>
      </c>
      <c r="C12" s="20" t="n">
        <v>0</v>
      </c>
      <c r="D12" s="26" t="n">
        <f aca="false">'Cash Flow Statement'!D22</f>
        <v>-2251.19021568476</v>
      </c>
      <c r="E12" s="27" t="n">
        <f aca="false">'Cash Flow Statement'!E22</f>
        <v>7264.08962391495</v>
      </c>
      <c r="F12" s="27" t="n">
        <f aca="false">'Cash Flow Statement'!F22</f>
        <v>5587.01817491304</v>
      </c>
      <c r="G12" s="27" t="n">
        <f aca="false">'Cash Flow Statement'!G22</f>
        <v>9092.5142688509</v>
      </c>
      <c r="H12" s="27" t="n">
        <f aca="false">'Cash Flow Statement'!H22</f>
        <v>16500.3613463457</v>
      </c>
      <c r="I12" s="27" t="n">
        <f aca="false">'Cash Flow Statement'!I22</f>
        <v>13083.4316611033</v>
      </c>
      <c r="J12" s="27" t="n">
        <f aca="false">'Cash Flow Statement'!J22</f>
        <v>12498.5310905058</v>
      </c>
      <c r="K12" s="27" t="n">
        <f aca="false">'Cash Flow Statement'!K22</f>
        <v>13357.2995455148</v>
      </c>
      <c r="L12" s="27" t="n">
        <f aca="false">'Cash Flow Statement'!L22</f>
        <v>9878.82050538863</v>
      </c>
      <c r="M12" s="27" t="n">
        <f aca="false">'Cash Flow Statement'!M22</f>
        <v>8269.13404475165</v>
      </c>
      <c r="N12" s="28" t="n">
        <f aca="false">'Cash Flow Statement'!N22</f>
        <v>18819.9350092867</v>
      </c>
      <c r="O12" s="24" t="n">
        <f aca="false">'Cash Flow Statement'!O22</f>
        <v>18874.9910909059</v>
      </c>
      <c r="P12" s="24" t="n">
        <f aca="false">'Cash Flow Statement'!P22</f>
        <v>19205.7571172487</v>
      </c>
      <c r="Q12" s="24" t="n">
        <f aca="false">'Cash Flow Statement'!Q22</f>
        <v>19541.2797488852</v>
      </c>
      <c r="R12" s="24" t="n">
        <f aca="false">'Cash Flow Statement'!R22</f>
        <v>19853.1034096647</v>
      </c>
      <c r="S12" s="24" t="n">
        <f aca="false">'Cash Flow Statement'!S22</f>
        <v>18114.0702976094</v>
      </c>
      <c r="T12" s="24" t="n">
        <f aca="false">'Cash Flow Statement'!T22</f>
        <v>12832.7384280361</v>
      </c>
      <c r="U12" s="24" t="n">
        <f aca="false">'Cash Flow Statement'!U22</f>
        <v>11877.3833383571</v>
      </c>
      <c r="V12" s="24" t="n">
        <f aca="false">'Cash Flow Statement'!V22</f>
        <v>10271.7784876726</v>
      </c>
      <c r="W12" s="24" t="n">
        <f aca="false">'Cash Flow Statement'!W22</f>
        <v>9461.88998746349</v>
      </c>
      <c r="X12" s="24" t="n">
        <f aca="false">'Cash Flow Statement'!X22</f>
        <v>8082.73430343176</v>
      </c>
      <c r="Y12" s="0"/>
      <c r="Z12" s="7"/>
      <c r="AA12" s="7"/>
    </row>
    <row r="13" customFormat="false" ht="12.75" hidden="false" customHeight="false" outlineLevel="1" collapsed="false">
      <c r="A13" s="29"/>
      <c r="B13" s="7"/>
      <c r="D13" s="7"/>
      <c r="E13" s="7"/>
      <c r="F13" s="7"/>
      <c r="G13" s="7"/>
      <c r="H13" s="7"/>
      <c r="I13" s="7"/>
      <c r="J13" s="7"/>
      <c r="K13" s="7"/>
      <c r="L13" s="7"/>
      <c r="M13" s="7"/>
      <c r="N13" s="7"/>
      <c r="O13" s="7"/>
      <c r="P13" s="7"/>
      <c r="Q13" s="7"/>
      <c r="R13" s="7"/>
      <c r="S13" s="7"/>
      <c r="T13" s="7"/>
      <c r="U13" s="7"/>
      <c r="V13" s="7"/>
      <c r="W13" s="7"/>
      <c r="X13" s="7"/>
      <c r="Y13" s="7"/>
      <c r="Z13" s="7"/>
      <c r="AA13" s="7"/>
    </row>
    <row r="14" customFormat="false" ht="12.75" hidden="false" customHeight="false" outlineLevel="1" collapsed="false">
      <c r="A14" s="29" t="s">
        <v>12</v>
      </c>
      <c r="B14" s="7"/>
      <c r="D14" s="7"/>
      <c r="E14" s="7"/>
      <c r="F14" s="7"/>
      <c r="G14" s="7"/>
      <c r="H14" s="7"/>
      <c r="I14" s="7"/>
      <c r="J14" s="7"/>
      <c r="K14" s="7"/>
      <c r="L14" s="7"/>
      <c r="M14" s="7"/>
      <c r="N14" s="7"/>
      <c r="O14" s="7"/>
      <c r="P14" s="7"/>
      <c r="Q14" s="7"/>
      <c r="R14" s="7"/>
      <c r="S14" s="7"/>
      <c r="T14" s="7"/>
      <c r="U14" s="7"/>
      <c r="V14" s="7"/>
      <c r="W14" s="7"/>
      <c r="X14" s="7"/>
      <c r="Y14" s="7"/>
      <c r="Z14" s="7"/>
      <c r="AA14" s="7"/>
    </row>
    <row r="15" customFormat="false" ht="12.75" hidden="false" customHeight="false" outlineLevel="1" collapsed="false">
      <c r="A15" s="7"/>
      <c r="B15" s="7"/>
      <c r="D15" s="7"/>
      <c r="E15" s="7"/>
      <c r="F15" s="7"/>
      <c r="G15" s="7"/>
      <c r="H15" s="7"/>
      <c r="I15" s="7"/>
      <c r="J15" s="7"/>
      <c r="K15" s="7"/>
      <c r="L15" s="7"/>
      <c r="M15" s="7"/>
      <c r="N15" s="7"/>
      <c r="O15" s="7"/>
      <c r="P15" s="7"/>
      <c r="Q15" s="7"/>
      <c r="R15" s="7"/>
      <c r="S15" s="7"/>
      <c r="T15" s="7"/>
      <c r="U15" s="7"/>
      <c r="V15" s="7"/>
      <c r="W15" s="7"/>
      <c r="X15" s="7"/>
      <c r="Y15" s="7"/>
      <c r="Z15" s="7"/>
      <c r="AA15" s="7"/>
    </row>
    <row r="16" customFormat="false" ht="12.75" hidden="false" customHeight="false" outlineLevel="1" collapsed="false">
      <c r="A16" s="10" t="s">
        <v>3</v>
      </c>
      <c r="B16" s="11" t="n">
        <v>61476.0900620228</v>
      </c>
      <c r="D16" s="7"/>
      <c r="E16" s="7"/>
      <c r="F16" s="7"/>
      <c r="G16" s="7"/>
      <c r="H16" s="7"/>
      <c r="I16" s="7"/>
      <c r="J16" s="7"/>
      <c r="K16" s="7"/>
      <c r="L16" s="7"/>
      <c r="M16" s="7"/>
      <c r="N16" s="7"/>
      <c r="O16" s="7"/>
      <c r="P16" s="7"/>
      <c r="Q16" s="7"/>
      <c r="R16" s="7"/>
      <c r="S16" s="7"/>
      <c r="T16" s="7"/>
      <c r="U16" s="7"/>
      <c r="V16" s="7"/>
      <c r="W16" s="7"/>
      <c r="X16" s="7"/>
      <c r="Y16" s="7"/>
      <c r="Z16" s="7"/>
      <c r="AA16" s="7"/>
    </row>
    <row r="17" customFormat="false" ht="12.75" hidden="false" customHeight="false" outlineLevel="1" collapsed="false">
      <c r="A17" s="12" t="s">
        <v>4</v>
      </c>
      <c r="B17" s="13" t="n">
        <v>97134.6805073611</v>
      </c>
      <c r="D17" s="7"/>
      <c r="E17" s="7"/>
      <c r="F17" s="7"/>
      <c r="G17" s="7"/>
      <c r="H17" s="7"/>
      <c r="I17" s="7"/>
      <c r="J17" s="7"/>
      <c r="K17" s="7"/>
      <c r="L17" s="7"/>
      <c r="M17" s="7"/>
      <c r="N17" s="7"/>
      <c r="O17" s="7"/>
      <c r="P17" s="7"/>
      <c r="Q17" s="7"/>
      <c r="R17" s="7"/>
      <c r="S17" s="7"/>
      <c r="T17" s="7"/>
      <c r="U17" s="7"/>
      <c r="V17" s="7"/>
      <c r="W17" s="7"/>
      <c r="X17" s="7"/>
      <c r="Y17" s="7"/>
      <c r="Z17" s="7"/>
      <c r="AA17" s="7"/>
    </row>
    <row r="18" customFormat="false" ht="12.75" hidden="false" customHeight="false" outlineLevel="1" collapsed="false">
      <c r="A18" s="14" t="s">
        <v>5</v>
      </c>
      <c r="B18" s="15" t="s">
        <v>6</v>
      </c>
      <c r="C18" s="15" t="s">
        <v>7</v>
      </c>
      <c r="D18" s="16" t="n">
        <v>2000</v>
      </c>
      <c r="E18" s="17" t="n">
        <v>2001</v>
      </c>
      <c r="F18" s="17" t="n">
        <v>2002</v>
      </c>
      <c r="G18" s="17" t="n">
        <v>2003</v>
      </c>
      <c r="H18" s="17" t="n">
        <v>2004</v>
      </c>
      <c r="I18" s="17" t="n">
        <v>2005</v>
      </c>
      <c r="J18" s="17" t="n">
        <v>2006</v>
      </c>
      <c r="K18" s="17" t="n">
        <v>2007</v>
      </c>
      <c r="L18" s="17" t="n">
        <v>2008</v>
      </c>
      <c r="M18" s="17" t="n">
        <v>2009</v>
      </c>
      <c r="N18" s="18" t="n">
        <v>2010</v>
      </c>
      <c r="O18" s="19" t="n">
        <v>2011</v>
      </c>
      <c r="P18" s="19" t="n">
        <v>2012</v>
      </c>
      <c r="Q18" s="19" t="n">
        <v>2013</v>
      </c>
      <c r="R18" s="19" t="n">
        <v>2014</v>
      </c>
      <c r="S18" s="19" t="n">
        <v>2015</v>
      </c>
      <c r="T18" s="19" t="n">
        <v>2016</v>
      </c>
      <c r="U18" s="19" t="n">
        <v>2017</v>
      </c>
      <c r="V18" s="19" t="n">
        <v>2018</v>
      </c>
      <c r="W18" s="19" t="n">
        <v>2019</v>
      </c>
      <c r="X18" s="19" t="n">
        <v>2020</v>
      </c>
      <c r="Y18" s="7"/>
      <c r="Z18" s="7"/>
      <c r="AA18" s="7"/>
    </row>
    <row r="19" customFormat="false" ht="12.75" hidden="false" customHeight="false" outlineLevel="1" collapsed="false">
      <c r="A19" s="14" t="s">
        <v>8</v>
      </c>
      <c r="B19" s="20" t="n">
        <f aca="false">NPV(0.1,D19:Y19)</f>
        <v>443187.96866823</v>
      </c>
      <c r="C19" s="20" t="n">
        <f aca="false">B19-B9</f>
        <v>-9558.07655305817</v>
      </c>
      <c r="D19" s="21" t="n">
        <v>25479.00927685</v>
      </c>
      <c r="E19" s="22" t="n">
        <v>35836.4523571</v>
      </c>
      <c r="F19" s="22" t="n">
        <v>36106.3582642</v>
      </c>
      <c r="G19" s="22" t="n">
        <v>46038.7151254133</v>
      </c>
      <c r="H19" s="22" t="n">
        <v>54237.145455792</v>
      </c>
      <c r="I19" s="22" t="n">
        <v>55582.5481394681</v>
      </c>
      <c r="J19" s="22" t="n">
        <v>56503.899453279</v>
      </c>
      <c r="K19" s="22" t="n">
        <v>57522.2121283196</v>
      </c>
      <c r="L19" s="22" t="n">
        <v>58635.13653848</v>
      </c>
      <c r="M19" s="22" t="n">
        <v>59846.4332229577</v>
      </c>
      <c r="N19" s="23" t="n">
        <v>61182.178996263</v>
      </c>
      <c r="O19" s="24" t="n">
        <v>62799.5312584222</v>
      </c>
      <c r="P19" s="24" t="n">
        <v>64553.1532591029</v>
      </c>
      <c r="Q19" s="24" t="n">
        <v>66381.0929481616</v>
      </c>
      <c r="R19" s="24" t="n">
        <v>68277.2567223344</v>
      </c>
      <c r="S19" s="24" t="n">
        <v>70210.3692256528</v>
      </c>
      <c r="T19" s="24" t="n">
        <v>71845.9418007838</v>
      </c>
      <c r="U19" s="24" t="n">
        <v>73650.1767810226</v>
      </c>
      <c r="V19" s="24" t="n">
        <v>75220.7741786985</v>
      </c>
      <c r="W19" s="24" t="n">
        <v>76786.3434959015</v>
      </c>
      <c r="X19" s="24" t="n">
        <v>19108.2646007278</v>
      </c>
      <c r="Y19" s="7"/>
      <c r="Z19" s="7"/>
      <c r="AA19" s="7"/>
    </row>
    <row r="20" customFormat="false" ht="12.75" hidden="false" customHeight="false" outlineLevel="1" collapsed="false">
      <c r="A20" s="25" t="s">
        <v>9</v>
      </c>
      <c r="B20" s="20" t="n">
        <f aca="false">NPV(0.1,D20:Y20)</f>
        <v>193235.096494967</v>
      </c>
      <c r="C20" s="20" t="n">
        <f aca="false">B20-B10</f>
        <v>-14890.4964385325</v>
      </c>
      <c r="D20" s="21" t="n">
        <v>15892.28037685</v>
      </c>
      <c r="E20" s="22" t="n">
        <v>19358.2820571</v>
      </c>
      <c r="F20" s="22" t="n">
        <v>19732.5486972</v>
      </c>
      <c r="G20" s="22" t="n">
        <v>20044.0409367</v>
      </c>
      <c r="H20" s="22" t="n">
        <v>20420.856195513</v>
      </c>
      <c r="I20" s="22" t="n">
        <v>20870.9342690284</v>
      </c>
      <c r="J20" s="22" t="n">
        <v>21389.9228708112</v>
      </c>
      <c r="K20" s="22" t="n">
        <v>22013.1543483256</v>
      </c>
      <c r="L20" s="22" t="n">
        <v>22739.0780927723</v>
      </c>
      <c r="M20" s="22" t="n">
        <v>23572.2950483355</v>
      </c>
      <c r="N20" s="23" t="n">
        <v>24539.7655863326</v>
      </c>
      <c r="O20" s="24" t="n">
        <v>25650.0107761686</v>
      </c>
      <c r="P20" s="24" t="n">
        <v>26899.2602769956</v>
      </c>
      <c r="Q20" s="24" t="n">
        <v>28226.1825093835</v>
      </c>
      <c r="R20" s="24" t="n">
        <v>29625.339107909</v>
      </c>
      <c r="S20" s="24" t="n">
        <v>31066.1462491763</v>
      </c>
      <c r="T20" s="24" t="n">
        <v>32561.6180481825</v>
      </c>
      <c r="U20" s="24" t="n">
        <v>34252.758831148</v>
      </c>
      <c r="V20" s="24" t="n">
        <v>35739.0150958315</v>
      </c>
      <c r="W20" s="24" t="n">
        <v>37250.8233129574</v>
      </c>
      <c r="X20" s="24" t="n">
        <v>0</v>
      </c>
      <c r="Y20" s="7"/>
      <c r="Z20" s="7"/>
      <c r="AA20" s="7"/>
      <c r="AB20" s="30"/>
      <c r="AC20" s="30"/>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31"/>
      <c r="DN20" s="31"/>
      <c r="DO20" s="31"/>
      <c r="DP20" s="31"/>
      <c r="DQ20" s="31"/>
      <c r="DR20" s="31"/>
      <c r="DS20" s="31"/>
      <c r="DT20" s="31"/>
      <c r="DU20" s="31"/>
      <c r="DV20" s="31"/>
      <c r="DW20" s="31"/>
      <c r="DX20" s="31"/>
      <c r="DY20" s="31"/>
      <c r="DZ20" s="31"/>
      <c r="EA20" s="31"/>
      <c r="EB20" s="31"/>
      <c r="EC20" s="31"/>
      <c r="ED20" s="31"/>
      <c r="EE20" s="31"/>
      <c r="EF20" s="31"/>
      <c r="EG20" s="31"/>
      <c r="EH20" s="31"/>
      <c r="EI20" s="31"/>
      <c r="EJ20" s="31"/>
      <c r="EK20" s="31"/>
      <c r="EL20" s="31"/>
      <c r="EM20" s="31"/>
      <c r="EN20" s="31"/>
      <c r="EO20" s="31"/>
      <c r="EP20" s="31"/>
      <c r="EQ20" s="31"/>
      <c r="ER20" s="31"/>
      <c r="ES20" s="31"/>
      <c r="ET20" s="31"/>
      <c r="EU20" s="31"/>
      <c r="EV20" s="31"/>
      <c r="EW20" s="31"/>
      <c r="EX20" s="31"/>
      <c r="EY20" s="31"/>
      <c r="EZ20" s="31"/>
      <c r="FA20" s="31"/>
      <c r="FB20" s="31"/>
      <c r="FC20" s="31"/>
      <c r="FD20" s="31"/>
      <c r="FE20" s="31"/>
      <c r="FF20" s="31"/>
      <c r="FG20" s="31"/>
      <c r="FH20" s="31"/>
      <c r="FI20" s="31"/>
      <c r="FJ20" s="31"/>
      <c r="FK20" s="31"/>
      <c r="FL20" s="31"/>
      <c r="FM20" s="31"/>
      <c r="FN20" s="31"/>
      <c r="FO20" s="31"/>
      <c r="FP20" s="31"/>
      <c r="FQ20" s="31"/>
      <c r="FR20" s="31"/>
      <c r="FS20" s="31"/>
      <c r="FT20" s="31"/>
      <c r="FU20" s="31"/>
      <c r="FV20" s="31"/>
      <c r="FW20" s="31"/>
      <c r="FX20" s="31"/>
      <c r="FY20" s="31"/>
      <c r="FZ20" s="31"/>
      <c r="GA20" s="31"/>
      <c r="GB20" s="31"/>
      <c r="GC20" s="31"/>
      <c r="GD20" s="31"/>
      <c r="GE20" s="31"/>
      <c r="GF20" s="31"/>
      <c r="GG20" s="31"/>
      <c r="GH20" s="31"/>
      <c r="GI20" s="31"/>
      <c r="GJ20" s="31"/>
      <c r="GK20" s="31"/>
      <c r="GL20" s="31"/>
      <c r="GM20" s="31"/>
      <c r="GN20" s="31"/>
      <c r="GO20" s="31"/>
      <c r="GP20" s="31"/>
      <c r="GQ20" s="31"/>
      <c r="GR20" s="31"/>
      <c r="GS20" s="31"/>
      <c r="GT20" s="31"/>
      <c r="GU20" s="31"/>
      <c r="GV20" s="31"/>
      <c r="GW20" s="31"/>
      <c r="GX20" s="31"/>
      <c r="GY20" s="31"/>
      <c r="GZ20" s="31"/>
      <c r="HA20" s="31"/>
      <c r="HB20" s="31"/>
      <c r="HC20" s="31"/>
      <c r="HD20" s="31"/>
      <c r="HE20" s="31"/>
      <c r="HF20" s="31"/>
      <c r="HG20" s="31"/>
      <c r="HH20" s="31"/>
      <c r="HI20" s="31"/>
      <c r="HJ20" s="31"/>
      <c r="HK20" s="31"/>
      <c r="HL20" s="31"/>
      <c r="HM20" s="31"/>
      <c r="HN20" s="31"/>
      <c r="HO20" s="31"/>
      <c r="HP20" s="31"/>
      <c r="HQ20" s="31"/>
      <c r="HR20" s="31"/>
      <c r="HS20" s="31"/>
      <c r="HT20" s="31"/>
      <c r="HU20" s="31"/>
      <c r="HV20" s="31"/>
      <c r="HW20" s="31"/>
      <c r="HX20" s="31"/>
      <c r="HY20" s="31"/>
      <c r="HZ20" s="31"/>
      <c r="IA20" s="31"/>
      <c r="IB20" s="31"/>
      <c r="IC20" s="31"/>
      <c r="ID20" s="31"/>
      <c r="IE20" s="31"/>
      <c r="IF20" s="31"/>
      <c r="IG20" s="31"/>
      <c r="IH20" s="31"/>
      <c r="II20" s="31"/>
      <c r="IJ20" s="31"/>
      <c r="IK20" s="31"/>
      <c r="IL20" s="31"/>
      <c r="IM20" s="31"/>
      <c r="IN20" s="31"/>
      <c r="IO20" s="31"/>
      <c r="IP20" s="31"/>
      <c r="IQ20" s="31"/>
      <c r="IR20" s="31"/>
      <c r="IS20" s="31"/>
      <c r="IT20" s="31"/>
      <c r="IU20" s="31"/>
    </row>
    <row r="21" customFormat="false" ht="12.75" hidden="false" customHeight="false" outlineLevel="1" collapsed="false">
      <c r="A21" s="25" t="s">
        <v>10</v>
      </c>
      <c r="B21" s="20" t="n">
        <f aca="false">NPV(0.1,D21:Y21)</f>
        <v>78388.9082491709</v>
      </c>
      <c r="C21" s="20" t="n">
        <f aca="false">B21-B11</f>
        <v>-6706.68965403437</v>
      </c>
      <c r="D21" s="21" t="n">
        <v>-49.8424024630662</v>
      </c>
      <c r="E21" s="22" t="n">
        <v>4.67955201342</v>
      </c>
      <c r="F21" s="22" t="n">
        <v>48.2638959160137</v>
      </c>
      <c r="G21" s="22" t="n">
        <v>5859.9809806004</v>
      </c>
      <c r="H21" s="22" t="n">
        <v>10540.5161112623</v>
      </c>
      <c r="I21" s="22" t="n">
        <v>11463.2416520876</v>
      </c>
      <c r="J21" s="22" t="n">
        <v>12057.8168256505</v>
      </c>
      <c r="K21" s="22" t="n">
        <v>12450.4203796381</v>
      </c>
      <c r="L21" s="22" t="n">
        <v>12923.155040508</v>
      </c>
      <c r="M21" s="22" t="n">
        <v>13416.4675233522</v>
      </c>
      <c r="N21" s="23" t="n">
        <v>13931.7072200898</v>
      </c>
      <c r="O21" s="24" t="n">
        <v>14491.0894171721</v>
      </c>
      <c r="P21" s="24" t="n">
        <v>15152.0657839693</v>
      </c>
      <c r="Q21" s="24" t="n">
        <v>15848.5330484819</v>
      </c>
      <c r="R21" s="24" t="n">
        <v>16583.0073111088</v>
      </c>
      <c r="S21" s="24" t="n">
        <v>17281.1763188483</v>
      </c>
      <c r="T21" s="24" t="n">
        <v>17893.2119730809</v>
      </c>
      <c r="U21" s="24" t="n">
        <v>18533.0267207878</v>
      </c>
      <c r="V21" s="24" t="n">
        <v>19202.5424039576</v>
      </c>
      <c r="W21" s="24" t="n">
        <v>19647.0567054856</v>
      </c>
      <c r="X21" s="24" t="n">
        <v>0</v>
      </c>
      <c r="Y21" s="7"/>
      <c r="Z21" s="7"/>
      <c r="AA21" s="7"/>
      <c r="AB21" s="30"/>
      <c r="AC21" s="30"/>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31"/>
      <c r="DG21" s="31"/>
      <c r="DH21" s="31"/>
      <c r="DI21" s="31"/>
      <c r="DJ21" s="31"/>
      <c r="DK21" s="31"/>
      <c r="DL21" s="31"/>
      <c r="DM21" s="31"/>
      <c r="DN21" s="31"/>
      <c r="DO21" s="31"/>
      <c r="DP21" s="31"/>
      <c r="DQ21" s="31"/>
      <c r="DR21" s="31"/>
      <c r="DS21" s="31"/>
      <c r="DT21" s="31"/>
      <c r="DU21" s="31"/>
      <c r="DV21" s="31"/>
      <c r="DW21" s="31"/>
      <c r="DX21" s="31"/>
      <c r="DY21" s="31"/>
      <c r="DZ21" s="31"/>
      <c r="EA21" s="31"/>
      <c r="EB21" s="31"/>
      <c r="EC21" s="31"/>
      <c r="ED21" s="31"/>
      <c r="EE21" s="31"/>
      <c r="EF21" s="31"/>
      <c r="EG21" s="31"/>
      <c r="EH21" s="31"/>
      <c r="EI21" s="31"/>
      <c r="EJ21" s="31"/>
      <c r="EK21" s="31"/>
      <c r="EL21" s="31"/>
      <c r="EM21" s="31"/>
      <c r="EN21" s="31"/>
      <c r="EO21" s="31"/>
      <c r="EP21" s="31"/>
      <c r="EQ21" s="31"/>
      <c r="ER21" s="31"/>
      <c r="ES21" s="31"/>
      <c r="ET21" s="31"/>
      <c r="EU21" s="31"/>
      <c r="EV21" s="31"/>
      <c r="EW21" s="31"/>
      <c r="EX21" s="31"/>
      <c r="EY21" s="31"/>
      <c r="EZ21" s="31"/>
      <c r="FA21" s="31"/>
      <c r="FB21" s="31"/>
      <c r="FC21" s="31"/>
      <c r="FD21" s="31"/>
      <c r="FE21" s="31"/>
      <c r="FF21" s="31"/>
      <c r="FG21" s="31"/>
      <c r="FH21" s="31"/>
      <c r="FI21" s="31"/>
      <c r="FJ21" s="31"/>
      <c r="FK21" s="31"/>
      <c r="FL21" s="31"/>
      <c r="FM21" s="31"/>
      <c r="FN21" s="31"/>
      <c r="FO21" s="31"/>
      <c r="FP21" s="31"/>
      <c r="FQ21" s="31"/>
      <c r="FR21" s="31"/>
      <c r="FS21" s="31"/>
      <c r="FT21" s="31"/>
      <c r="FU21" s="31"/>
      <c r="FV21" s="31"/>
      <c r="FW21" s="31"/>
      <c r="FX21" s="31"/>
      <c r="FY21" s="31"/>
      <c r="FZ21" s="31"/>
      <c r="GA21" s="31"/>
      <c r="GB21" s="31"/>
      <c r="GC21" s="31"/>
      <c r="GD21" s="31"/>
      <c r="GE21" s="31"/>
      <c r="GF21" s="31"/>
      <c r="GG21" s="31"/>
      <c r="GH21" s="31"/>
      <c r="GI21" s="31"/>
      <c r="GJ21" s="31"/>
      <c r="GK21" s="31"/>
      <c r="GL21" s="31"/>
      <c r="GM21" s="31"/>
      <c r="GN21" s="31"/>
      <c r="GO21" s="31"/>
      <c r="GP21" s="31"/>
      <c r="GQ21" s="31"/>
      <c r="GR21" s="31"/>
      <c r="GS21" s="31"/>
      <c r="GT21" s="31"/>
      <c r="GU21" s="31"/>
      <c r="GV21" s="31"/>
      <c r="GW21" s="31"/>
      <c r="GX21" s="31"/>
      <c r="GY21" s="31"/>
      <c r="GZ21" s="31"/>
      <c r="HA21" s="31"/>
      <c r="HB21" s="31"/>
      <c r="HC21" s="31"/>
      <c r="HD21" s="31"/>
      <c r="HE21" s="31"/>
      <c r="HF21" s="31"/>
      <c r="HG21" s="31"/>
      <c r="HH21" s="31"/>
      <c r="HI21" s="31"/>
      <c r="HJ21" s="31"/>
      <c r="HK21" s="31"/>
      <c r="HL21" s="31"/>
      <c r="HM21" s="31"/>
      <c r="HN21" s="31"/>
      <c r="HO21" s="31"/>
      <c r="HP21" s="31"/>
      <c r="HQ21" s="31"/>
      <c r="HR21" s="31"/>
      <c r="HS21" s="31"/>
      <c r="HT21" s="31"/>
      <c r="HU21" s="31"/>
      <c r="HV21" s="31"/>
      <c r="HW21" s="31"/>
      <c r="HX21" s="31"/>
      <c r="HY21" s="31"/>
      <c r="HZ21" s="31"/>
      <c r="IA21" s="31"/>
      <c r="IB21" s="31"/>
      <c r="IC21" s="31"/>
      <c r="ID21" s="31"/>
      <c r="IE21" s="31"/>
      <c r="IF21" s="31"/>
      <c r="IG21" s="31"/>
      <c r="IH21" s="31"/>
      <c r="II21" s="31"/>
      <c r="IJ21" s="31"/>
      <c r="IK21" s="31"/>
      <c r="IL21" s="31"/>
      <c r="IM21" s="31"/>
      <c r="IN21" s="31"/>
      <c r="IO21" s="31"/>
      <c r="IP21" s="31"/>
      <c r="IQ21" s="31"/>
      <c r="IR21" s="31"/>
      <c r="IS21" s="31"/>
      <c r="IT21" s="31"/>
      <c r="IU21" s="31"/>
    </row>
    <row r="22" customFormat="false" ht="12.75" hidden="false" customHeight="false" outlineLevel="1" collapsed="false">
      <c r="A22" s="25" t="s">
        <v>11</v>
      </c>
      <c r="B22" s="20" t="n">
        <f aca="false">NPV(0.1,D22:Y22)</f>
        <v>96968.8523541024</v>
      </c>
      <c r="C22" s="20" t="n">
        <f aca="false">B22-B12</f>
        <v>4083.07587446288</v>
      </c>
      <c r="D22" s="26" t="n">
        <v>2589.41586542799</v>
      </c>
      <c r="E22" s="27" t="n">
        <v>4123.83526637505</v>
      </c>
      <c r="F22" s="27" t="n">
        <v>4123.41281734607</v>
      </c>
      <c r="G22" s="27" t="n">
        <v>15906.3742355335</v>
      </c>
      <c r="H22" s="27" t="n">
        <v>20624.4450180611</v>
      </c>
      <c r="I22" s="27" t="n">
        <v>15578.1465123993</v>
      </c>
      <c r="J22" s="27" t="n">
        <v>14526.1067031356</v>
      </c>
      <c r="K22" s="27" t="n">
        <v>14436.4023031676</v>
      </c>
      <c r="L22" s="27" t="n">
        <v>14378.3244981679</v>
      </c>
      <c r="M22" s="27" t="n">
        <v>14313.8877193541</v>
      </c>
      <c r="N22" s="28" t="n">
        <v>14217.5279226209</v>
      </c>
      <c r="O22" s="24" t="n">
        <v>14072.8097587104</v>
      </c>
      <c r="P22" s="24" t="n">
        <v>13961.2994763004</v>
      </c>
      <c r="Q22" s="24" t="n">
        <v>13836.783003704</v>
      </c>
      <c r="R22" s="24" t="n">
        <v>13673.0468543399</v>
      </c>
      <c r="S22" s="24" t="n">
        <v>10294.1093379129</v>
      </c>
      <c r="T22" s="24" t="n">
        <v>9560.48409243427</v>
      </c>
      <c r="U22" s="24" t="n">
        <v>9239.63009170205</v>
      </c>
      <c r="V22" s="24" t="n">
        <v>8882.52862148944</v>
      </c>
      <c r="W22" s="24" t="n">
        <v>14567.6900874423</v>
      </c>
      <c r="X22" s="24" t="n">
        <v>0</v>
      </c>
      <c r="Y22" s="7"/>
      <c r="Z22" s="7"/>
      <c r="AA22" s="7"/>
      <c r="AB22" s="30"/>
      <c r="AC22" s="30"/>
      <c r="AD22" s="31"/>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T22" s="31"/>
      <c r="BU22" s="31"/>
      <c r="BV22" s="31"/>
      <c r="BW22" s="31"/>
      <c r="BX22" s="31"/>
      <c r="BY22" s="31"/>
      <c r="BZ22" s="31"/>
      <c r="CA22" s="31"/>
      <c r="CB22" s="31"/>
      <c r="CC22" s="31"/>
      <c r="CD22" s="31"/>
      <c r="CE22" s="31"/>
      <c r="CF22" s="31"/>
      <c r="CG22" s="31"/>
      <c r="CH22" s="31"/>
      <c r="CI22" s="31"/>
      <c r="CJ22" s="31"/>
      <c r="CK22" s="31"/>
      <c r="CL22" s="31"/>
      <c r="CM22" s="31"/>
      <c r="CN22" s="31"/>
      <c r="CO22" s="31"/>
      <c r="CP22" s="31"/>
      <c r="CQ22" s="31"/>
      <c r="CR22" s="31"/>
      <c r="CS22" s="31"/>
      <c r="CT22" s="31"/>
      <c r="CU22" s="31"/>
      <c r="CV22" s="31"/>
      <c r="CW22" s="31"/>
      <c r="CX22" s="31"/>
      <c r="CY22" s="31"/>
      <c r="CZ22" s="31"/>
      <c r="DA22" s="31"/>
      <c r="DB22" s="31"/>
      <c r="DC22" s="31"/>
      <c r="DD22" s="31"/>
      <c r="DE22" s="31"/>
      <c r="DF22" s="31"/>
      <c r="DG22" s="31"/>
      <c r="DH22" s="31"/>
      <c r="DI22" s="31"/>
      <c r="DJ22" s="31"/>
      <c r="DK22" s="31"/>
      <c r="DL22" s="31"/>
      <c r="DM22" s="31"/>
      <c r="DN22" s="31"/>
      <c r="DO22" s="31"/>
      <c r="DP22" s="31"/>
      <c r="DQ22" s="31"/>
      <c r="DR22" s="31"/>
      <c r="DS22" s="31"/>
      <c r="DT22" s="31"/>
      <c r="DU22" s="31"/>
      <c r="DV22" s="31"/>
      <c r="DW22" s="31"/>
      <c r="DX22" s="31"/>
      <c r="DY22" s="31"/>
      <c r="DZ22" s="31"/>
      <c r="EA22" s="31"/>
      <c r="EB22" s="31"/>
      <c r="EC22" s="31"/>
      <c r="ED22" s="31"/>
      <c r="EE22" s="31"/>
      <c r="EF22" s="31"/>
      <c r="EG22" s="31"/>
      <c r="EH22" s="31"/>
      <c r="EI22" s="31"/>
      <c r="EJ22" s="31"/>
      <c r="EK22" s="31"/>
      <c r="EL22" s="31"/>
      <c r="EM22" s="31"/>
      <c r="EN22" s="31"/>
      <c r="EO22" s="31"/>
      <c r="EP22" s="31"/>
      <c r="EQ22" s="31"/>
      <c r="ER22" s="31"/>
      <c r="ES22" s="31"/>
      <c r="ET22" s="31"/>
      <c r="EU22" s="31"/>
      <c r="EV22" s="31"/>
      <c r="EW22" s="31"/>
      <c r="EX22" s="31"/>
      <c r="EY22" s="31"/>
      <c r="EZ22" s="31"/>
      <c r="FA22" s="31"/>
      <c r="FB22" s="31"/>
      <c r="FC22" s="31"/>
      <c r="FD22" s="31"/>
      <c r="FE22" s="31"/>
      <c r="FF22" s="31"/>
      <c r="FG22" s="31"/>
      <c r="FH22" s="31"/>
      <c r="FI22" s="31"/>
      <c r="FJ22" s="31"/>
      <c r="FK22" s="31"/>
      <c r="FL22" s="31"/>
      <c r="FM22" s="31"/>
      <c r="FN22" s="31"/>
      <c r="FO22" s="31"/>
      <c r="FP22" s="31"/>
      <c r="FQ22" s="31"/>
      <c r="FR22" s="31"/>
      <c r="FS22" s="31"/>
      <c r="FT22" s="31"/>
      <c r="FU22" s="31"/>
      <c r="FV22" s="31"/>
      <c r="FW22" s="31"/>
      <c r="FX22" s="31"/>
      <c r="FY22" s="31"/>
      <c r="FZ22" s="31"/>
      <c r="GA22" s="31"/>
      <c r="GB22" s="31"/>
      <c r="GC22" s="31"/>
      <c r="GD22" s="31"/>
      <c r="GE22" s="31"/>
      <c r="GF22" s="31"/>
      <c r="GG22" s="31"/>
      <c r="GH22" s="31"/>
      <c r="GI22" s="31"/>
      <c r="GJ22" s="31"/>
      <c r="GK22" s="31"/>
      <c r="GL22" s="31"/>
      <c r="GM22" s="31"/>
      <c r="GN22" s="31"/>
      <c r="GO22" s="31"/>
      <c r="GP22" s="31"/>
      <c r="GQ22" s="31"/>
      <c r="GR22" s="31"/>
      <c r="GS22" s="31"/>
      <c r="GT22" s="31"/>
      <c r="GU22" s="31"/>
      <c r="GV22" s="31"/>
      <c r="GW22" s="31"/>
      <c r="GX22" s="31"/>
      <c r="GY22" s="31"/>
      <c r="GZ22" s="31"/>
      <c r="HA22" s="31"/>
      <c r="HB22" s="31"/>
      <c r="HC22" s="31"/>
      <c r="HD22" s="31"/>
      <c r="HE22" s="31"/>
      <c r="HF22" s="31"/>
      <c r="HG22" s="31"/>
      <c r="HH22" s="31"/>
      <c r="HI22" s="31"/>
      <c r="HJ22" s="31"/>
      <c r="HK22" s="31"/>
      <c r="HL22" s="31"/>
      <c r="HM22" s="31"/>
      <c r="HN22" s="31"/>
      <c r="HO22" s="31"/>
      <c r="HP22" s="31"/>
      <c r="HQ22" s="31"/>
      <c r="HR22" s="31"/>
      <c r="HS22" s="31"/>
      <c r="HT22" s="31"/>
      <c r="HU22" s="31"/>
      <c r="HV22" s="31"/>
      <c r="HW22" s="31"/>
      <c r="HX22" s="31"/>
      <c r="HY22" s="31"/>
      <c r="HZ22" s="31"/>
      <c r="IA22" s="31"/>
      <c r="IB22" s="31"/>
      <c r="IC22" s="31"/>
      <c r="ID22" s="31"/>
      <c r="IE22" s="31"/>
      <c r="IF22" s="31"/>
      <c r="IG22" s="31"/>
      <c r="IH22" s="31"/>
      <c r="II22" s="31"/>
      <c r="IJ22" s="31"/>
      <c r="IK22" s="31"/>
      <c r="IL22" s="31"/>
      <c r="IM22" s="31"/>
      <c r="IN22" s="31"/>
      <c r="IO22" s="31"/>
      <c r="IP22" s="31"/>
      <c r="IQ22" s="31"/>
      <c r="IR22" s="31"/>
      <c r="IS22" s="31"/>
      <c r="IT22" s="31"/>
      <c r="IU22" s="31"/>
    </row>
    <row r="23" customFormat="false" ht="12.75" hidden="false" customHeight="false" outlineLevel="1" collapsed="false">
      <c r="A23" s="25"/>
      <c r="B23" s="7"/>
      <c r="D23" s="24"/>
      <c r="E23" s="24"/>
      <c r="F23" s="24"/>
      <c r="G23" s="24"/>
      <c r="H23" s="24"/>
      <c r="I23" s="24"/>
      <c r="J23" s="24"/>
      <c r="K23" s="24"/>
      <c r="L23" s="24"/>
      <c r="M23" s="24"/>
      <c r="N23" s="24"/>
      <c r="O23" s="24"/>
      <c r="P23" s="24"/>
      <c r="Q23" s="24"/>
      <c r="R23" s="24"/>
      <c r="S23" s="24"/>
      <c r="T23" s="24"/>
      <c r="U23" s="24"/>
      <c r="V23" s="24"/>
      <c r="W23" s="24"/>
      <c r="X23" s="24"/>
      <c r="Y23" s="7"/>
      <c r="Z23" s="7"/>
      <c r="AA23" s="7"/>
      <c r="AB23" s="30"/>
      <c r="AC23" s="30"/>
      <c r="AD23" s="31"/>
      <c r="AE23" s="31"/>
      <c r="AF23" s="31"/>
      <c r="AG23" s="31"/>
      <c r="AH23" s="31"/>
      <c r="AI23" s="31"/>
      <c r="AJ23" s="31"/>
      <c r="AK23" s="31"/>
      <c r="AL23" s="31"/>
      <c r="AM23" s="31"/>
      <c r="AN23" s="31"/>
      <c r="AO23" s="31"/>
      <c r="AP23" s="31"/>
      <c r="AQ23" s="31"/>
      <c r="AR23" s="31"/>
      <c r="AS23" s="31"/>
      <c r="AT23" s="31"/>
      <c r="AU23" s="31"/>
      <c r="AV23" s="31"/>
      <c r="AW23" s="31"/>
      <c r="AX23" s="31"/>
      <c r="AY23" s="31"/>
      <c r="AZ23" s="31"/>
      <c r="BA23" s="31"/>
      <c r="BB23" s="31"/>
      <c r="BC23" s="31"/>
      <c r="BD23" s="31"/>
      <c r="BE23" s="31"/>
      <c r="BF23" s="31"/>
      <c r="BG23" s="31"/>
      <c r="BH23" s="31"/>
      <c r="BI23" s="31"/>
      <c r="BJ23" s="31"/>
      <c r="BK23" s="31"/>
      <c r="BL23" s="31"/>
      <c r="BM23" s="31"/>
      <c r="BN23" s="31"/>
      <c r="BO23" s="31"/>
      <c r="BP23" s="31"/>
      <c r="BQ23" s="31"/>
      <c r="BR23" s="31"/>
      <c r="BS23" s="31"/>
      <c r="BT23" s="31"/>
      <c r="BU23" s="31"/>
      <c r="BV23" s="31"/>
      <c r="BW23" s="31"/>
      <c r="BX23" s="31"/>
      <c r="BY23" s="31"/>
      <c r="BZ23" s="31"/>
      <c r="CA23" s="31"/>
      <c r="CB23" s="31"/>
      <c r="CC23" s="31"/>
      <c r="CD23" s="31"/>
      <c r="CE23" s="31"/>
      <c r="CF23" s="31"/>
      <c r="CG23" s="31"/>
      <c r="CH23" s="31"/>
      <c r="CI23" s="31"/>
      <c r="CJ23" s="31"/>
      <c r="CK23" s="31"/>
      <c r="CL23" s="31"/>
      <c r="CM23" s="31"/>
      <c r="CN23" s="31"/>
      <c r="CO23" s="31"/>
      <c r="CP23" s="31"/>
      <c r="CQ23" s="31"/>
      <c r="CR23" s="31"/>
      <c r="CS23" s="31"/>
      <c r="CT23" s="31"/>
      <c r="CU23" s="31"/>
      <c r="CV23" s="31"/>
      <c r="CW23" s="31"/>
      <c r="CX23" s="31"/>
      <c r="CY23" s="31"/>
      <c r="CZ23" s="31"/>
      <c r="DA23" s="31"/>
      <c r="DB23" s="31"/>
      <c r="DC23" s="31"/>
      <c r="DD23" s="31"/>
      <c r="DE23" s="31"/>
      <c r="DF23" s="31"/>
      <c r="DG23" s="31"/>
      <c r="DH23" s="31"/>
      <c r="DI23" s="31"/>
      <c r="DJ23" s="31"/>
      <c r="DK23" s="31"/>
      <c r="DL23" s="31"/>
      <c r="DM23" s="31"/>
      <c r="DN23" s="31"/>
      <c r="DO23" s="31"/>
      <c r="DP23" s="31"/>
      <c r="DQ23" s="31"/>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1"/>
      <c r="EP23" s="31"/>
      <c r="EQ23" s="31"/>
      <c r="ER23" s="31"/>
      <c r="ES23" s="31"/>
      <c r="ET23" s="31"/>
      <c r="EU23" s="31"/>
      <c r="EV23" s="31"/>
      <c r="EW23" s="31"/>
      <c r="EX23" s="31"/>
      <c r="EY23" s="31"/>
      <c r="EZ23" s="31"/>
      <c r="FA23" s="31"/>
      <c r="FB23" s="31"/>
      <c r="FC23" s="31"/>
      <c r="FD23" s="31"/>
      <c r="FE23" s="31"/>
      <c r="FF23" s="31"/>
      <c r="FG23" s="31"/>
      <c r="FH23" s="31"/>
      <c r="FI23" s="31"/>
      <c r="FJ23" s="31"/>
      <c r="FK23" s="31"/>
      <c r="FL23" s="31"/>
      <c r="FM23" s="31"/>
      <c r="FN23" s="31"/>
      <c r="FO23" s="31"/>
      <c r="FP23" s="31"/>
      <c r="FQ23" s="31"/>
      <c r="FR23" s="31"/>
      <c r="FS23" s="31"/>
      <c r="FT23" s="31"/>
      <c r="FU23" s="31"/>
      <c r="FV23" s="31"/>
      <c r="FW23" s="31"/>
      <c r="FX23" s="31"/>
      <c r="FY23" s="31"/>
      <c r="FZ23" s="31"/>
      <c r="GA23" s="31"/>
      <c r="GB23" s="31"/>
      <c r="GC23" s="31"/>
      <c r="GD23" s="31"/>
      <c r="GE23" s="31"/>
      <c r="GF23" s="31"/>
      <c r="GG23" s="31"/>
      <c r="GH23" s="31"/>
      <c r="GI23" s="31"/>
      <c r="GJ23" s="31"/>
      <c r="GK23" s="31"/>
      <c r="GL23" s="31"/>
      <c r="GM23" s="31"/>
      <c r="GN23" s="31"/>
      <c r="GO23" s="31"/>
      <c r="GP23" s="31"/>
      <c r="GQ23" s="31"/>
      <c r="GR23" s="31"/>
      <c r="GS23" s="31"/>
      <c r="GT23" s="31"/>
      <c r="GU23" s="31"/>
      <c r="GV23" s="31"/>
      <c r="GW23" s="31"/>
      <c r="GX23" s="31"/>
      <c r="GY23" s="31"/>
      <c r="GZ23" s="31"/>
      <c r="HA23" s="31"/>
      <c r="HB23" s="31"/>
      <c r="HC23" s="31"/>
      <c r="HD23" s="31"/>
      <c r="HE23" s="31"/>
      <c r="HF23" s="31"/>
      <c r="HG23" s="31"/>
      <c r="HH23" s="31"/>
      <c r="HI23" s="31"/>
      <c r="HJ23" s="31"/>
      <c r="HK23" s="31"/>
      <c r="HL23" s="31"/>
      <c r="HM23" s="31"/>
      <c r="HN23" s="31"/>
      <c r="HO23" s="31"/>
      <c r="HP23" s="31"/>
      <c r="HQ23" s="31"/>
      <c r="HR23" s="31"/>
      <c r="HS23" s="31"/>
      <c r="HT23" s="31"/>
      <c r="HU23" s="31"/>
      <c r="HV23" s="31"/>
      <c r="HW23" s="31"/>
      <c r="HX23" s="31"/>
      <c r="HY23" s="31"/>
      <c r="HZ23" s="31"/>
      <c r="IA23" s="31"/>
      <c r="IB23" s="31"/>
      <c r="IC23" s="31"/>
      <c r="ID23" s="31"/>
      <c r="IE23" s="31"/>
      <c r="IF23" s="31"/>
      <c r="IG23" s="31"/>
      <c r="IH23" s="31"/>
      <c r="II23" s="31"/>
      <c r="IJ23" s="31"/>
      <c r="IK23" s="31"/>
      <c r="IL23" s="31"/>
      <c r="IM23" s="31"/>
      <c r="IN23" s="31"/>
      <c r="IO23" s="31"/>
      <c r="IP23" s="31"/>
      <c r="IQ23" s="31"/>
      <c r="IR23" s="31"/>
      <c r="IS23" s="31"/>
      <c r="IT23" s="31"/>
      <c r="IU23" s="31"/>
    </row>
    <row r="24" customFormat="false" ht="12.75" hidden="false" customHeight="false" outlineLevel="1" collapsed="false">
      <c r="A24" s="29" t="s">
        <v>13</v>
      </c>
      <c r="B24" s="7"/>
      <c r="D24" s="24"/>
      <c r="E24" s="24"/>
      <c r="F24" s="24"/>
      <c r="G24" s="24"/>
      <c r="H24" s="24"/>
      <c r="I24" s="24"/>
      <c r="J24" s="24"/>
      <c r="K24" s="24"/>
      <c r="L24" s="24"/>
      <c r="M24" s="24"/>
      <c r="N24" s="24"/>
      <c r="O24" s="24"/>
      <c r="P24" s="24"/>
      <c r="Q24" s="24"/>
      <c r="R24" s="24"/>
      <c r="S24" s="24"/>
      <c r="T24" s="24"/>
      <c r="U24" s="24"/>
      <c r="V24" s="24"/>
      <c r="W24" s="24"/>
      <c r="X24" s="24"/>
      <c r="Y24" s="7"/>
      <c r="Z24" s="7"/>
      <c r="AA24" s="7"/>
      <c r="AB24" s="30"/>
      <c r="AC24" s="30"/>
      <c r="AD24" s="31"/>
      <c r="AE24" s="31"/>
      <c r="AF24" s="31"/>
      <c r="AG24" s="31"/>
      <c r="AH24" s="31"/>
      <c r="AI24" s="31"/>
      <c r="AJ24" s="31"/>
      <c r="AK24" s="31"/>
      <c r="AL24" s="31"/>
      <c r="AM24" s="31"/>
      <c r="AN24" s="31"/>
      <c r="AO24" s="31"/>
      <c r="AP24" s="31"/>
      <c r="AQ24" s="31"/>
      <c r="AR24" s="31"/>
      <c r="AS24" s="31"/>
      <c r="AT24" s="31"/>
      <c r="AU24" s="31"/>
      <c r="AV24" s="31"/>
      <c r="AW24" s="31"/>
      <c r="AX24" s="31"/>
      <c r="AY24" s="31"/>
      <c r="AZ24" s="31"/>
      <c r="BA24" s="31"/>
      <c r="BB24" s="31"/>
      <c r="BC24" s="31"/>
      <c r="BD24" s="31"/>
      <c r="BE24" s="31"/>
      <c r="BF24" s="31"/>
      <c r="BG24" s="31"/>
      <c r="BH24" s="31"/>
      <c r="BI24" s="31"/>
      <c r="BJ24" s="31"/>
      <c r="BK24" s="31"/>
      <c r="BL24" s="31"/>
      <c r="BM24" s="31"/>
      <c r="BN24" s="31"/>
      <c r="BO24" s="31"/>
      <c r="BP24" s="31"/>
      <c r="BQ24" s="31"/>
      <c r="BR24" s="31"/>
      <c r="BS24" s="31"/>
      <c r="BT24" s="31"/>
      <c r="BU24" s="31"/>
      <c r="BV24" s="31"/>
      <c r="BW24" s="31"/>
      <c r="BX24" s="31"/>
      <c r="BY24" s="31"/>
      <c r="BZ24" s="31"/>
      <c r="CA24" s="31"/>
      <c r="CB24" s="31"/>
      <c r="CC24" s="31"/>
      <c r="CD24" s="31"/>
      <c r="CE24" s="31"/>
      <c r="CF24" s="31"/>
      <c r="CG24" s="31"/>
      <c r="CH24" s="31"/>
      <c r="CI24" s="31"/>
      <c r="CJ24" s="31"/>
      <c r="CK24" s="31"/>
      <c r="CL24" s="31"/>
      <c r="CM24" s="31"/>
      <c r="CN24" s="31"/>
      <c r="CO24" s="31"/>
      <c r="CP24" s="31"/>
      <c r="CQ24" s="31"/>
      <c r="CR24" s="31"/>
      <c r="CS24" s="31"/>
      <c r="CT24" s="31"/>
      <c r="CU24" s="31"/>
      <c r="CV24" s="31"/>
      <c r="CW24" s="31"/>
      <c r="CX24" s="31"/>
      <c r="CY24" s="31"/>
      <c r="CZ24" s="31"/>
      <c r="DA24" s="31"/>
      <c r="DB24" s="31"/>
      <c r="DC24" s="31"/>
      <c r="DD24" s="31"/>
      <c r="DE24" s="31"/>
      <c r="DF24" s="31"/>
      <c r="DG24" s="31"/>
      <c r="DH24" s="31"/>
      <c r="DI24" s="31"/>
      <c r="DJ24" s="31"/>
      <c r="DK24" s="31"/>
      <c r="DL24" s="31"/>
      <c r="DM24" s="31"/>
      <c r="DN24" s="31"/>
      <c r="DO24" s="31"/>
      <c r="DP24" s="31"/>
      <c r="DQ24" s="31"/>
      <c r="DR24" s="31"/>
      <c r="DS24" s="31"/>
      <c r="DT24" s="31"/>
      <c r="DU24" s="31"/>
      <c r="DV24" s="31"/>
      <c r="DW24" s="31"/>
      <c r="DX24" s="31"/>
      <c r="DY24" s="31"/>
      <c r="DZ24" s="31"/>
      <c r="EA24" s="31"/>
      <c r="EB24" s="31"/>
      <c r="EC24" s="31"/>
      <c r="ED24" s="31"/>
      <c r="EE24" s="31"/>
      <c r="EF24" s="31"/>
      <c r="EG24" s="31"/>
      <c r="EH24" s="31"/>
      <c r="EI24" s="31"/>
      <c r="EJ24" s="31"/>
      <c r="EK24" s="31"/>
      <c r="EL24" s="31"/>
      <c r="EM24" s="31"/>
      <c r="EN24" s="31"/>
      <c r="EO24" s="31"/>
      <c r="EP24" s="31"/>
      <c r="EQ24" s="31"/>
      <c r="ER24" s="31"/>
      <c r="ES24" s="31"/>
      <c r="ET24" s="31"/>
      <c r="EU24" s="31"/>
      <c r="EV24" s="31"/>
      <c r="EW24" s="31"/>
      <c r="EX24" s="31"/>
      <c r="EY24" s="31"/>
      <c r="EZ24" s="31"/>
      <c r="FA24" s="31"/>
      <c r="FB24" s="31"/>
      <c r="FC24" s="31"/>
      <c r="FD24" s="31"/>
      <c r="FE24" s="31"/>
      <c r="FF24" s="31"/>
      <c r="FG24" s="31"/>
      <c r="FH24" s="31"/>
      <c r="FI24" s="31"/>
      <c r="FJ24" s="31"/>
      <c r="FK24" s="31"/>
      <c r="FL24" s="31"/>
      <c r="FM24" s="31"/>
      <c r="FN24" s="31"/>
      <c r="FO24" s="31"/>
      <c r="FP24" s="31"/>
      <c r="FQ24" s="31"/>
      <c r="FR24" s="31"/>
      <c r="FS24" s="31"/>
      <c r="FT24" s="31"/>
      <c r="FU24" s="31"/>
      <c r="FV24" s="31"/>
      <c r="FW24" s="31"/>
      <c r="FX24" s="31"/>
      <c r="FY24" s="31"/>
      <c r="FZ24" s="31"/>
      <c r="GA24" s="31"/>
      <c r="GB24" s="31"/>
      <c r="GC24" s="31"/>
      <c r="GD24" s="31"/>
      <c r="GE24" s="31"/>
      <c r="GF24" s="31"/>
      <c r="GG24" s="31"/>
      <c r="GH24" s="31"/>
      <c r="GI24" s="31"/>
      <c r="GJ24" s="31"/>
      <c r="GK24" s="31"/>
      <c r="GL24" s="31"/>
      <c r="GM24" s="31"/>
      <c r="GN24" s="31"/>
      <c r="GO24" s="31"/>
      <c r="GP24" s="31"/>
      <c r="GQ24" s="31"/>
      <c r="GR24" s="31"/>
      <c r="GS24" s="31"/>
      <c r="GT24" s="31"/>
      <c r="GU24" s="31"/>
      <c r="GV24" s="31"/>
      <c r="GW24" s="31"/>
      <c r="GX24" s="31"/>
      <c r="GY24" s="31"/>
      <c r="GZ24" s="31"/>
      <c r="HA24" s="31"/>
      <c r="HB24" s="31"/>
      <c r="HC24" s="31"/>
      <c r="HD24" s="31"/>
      <c r="HE24" s="31"/>
      <c r="HF24" s="31"/>
      <c r="HG24" s="31"/>
      <c r="HH24" s="31"/>
      <c r="HI24" s="31"/>
      <c r="HJ24" s="31"/>
      <c r="HK24" s="31"/>
      <c r="HL24" s="31"/>
      <c r="HM24" s="31"/>
      <c r="HN24" s="31"/>
      <c r="HO24" s="31"/>
      <c r="HP24" s="31"/>
      <c r="HQ24" s="31"/>
      <c r="HR24" s="31"/>
      <c r="HS24" s="31"/>
      <c r="HT24" s="31"/>
      <c r="HU24" s="31"/>
      <c r="HV24" s="31"/>
      <c r="HW24" s="31"/>
      <c r="HX24" s="31"/>
      <c r="HY24" s="31"/>
      <c r="HZ24" s="31"/>
      <c r="IA24" s="31"/>
      <c r="IB24" s="31"/>
      <c r="IC24" s="31"/>
      <c r="ID24" s="31"/>
      <c r="IE24" s="31"/>
      <c r="IF24" s="31"/>
      <c r="IG24" s="31"/>
      <c r="IH24" s="31"/>
      <c r="II24" s="31"/>
      <c r="IJ24" s="31"/>
      <c r="IK24" s="31"/>
      <c r="IL24" s="31"/>
      <c r="IM24" s="31"/>
      <c r="IN24" s="31"/>
      <c r="IO24" s="31"/>
      <c r="IP24" s="31"/>
      <c r="IQ24" s="31"/>
      <c r="IR24" s="31"/>
      <c r="IS24" s="31"/>
      <c r="IT24" s="31"/>
      <c r="IU24" s="31"/>
    </row>
    <row r="25" customFormat="false" ht="12.75" hidden="false" customHeight="false" outlineLevel="1" collapsed="false">
      <c r="A25" s="7"/>
      <c r="B25" s="7"/>
      <c r="C25" s="32"/>
      <c r="D25" s="7"/>
      <c r="E25" s="7"/>
      <c r="F25" s="7"/>
      <c r="G25" s="7"/>
      <c r="H25" s="7"/>
      <c r="I25" s="7"/>
      <c r="J25" s="7"/>
      <c r="K25" s="7"/>
      <c r="L25" s="7"/>
      <c r="M25" s="7"/>
      <c r="N25" s="7"/>
      <c r="O25" s="7"/>
      <c r="P25" s="7"/>
      <c r="Q25" s="7"/>
      <c r="R25" s="7"/>
      <c r="S25" s="7"/>
      <c r="T25" s="7"/>
      <c r="U25" s="7"/>
      <c r="V25" s="7"/>
      <c r="W25" s="7"/>
      <c r="X25" s="7"/>
      <c r="Y25" s="7"/>
      <c r="Z25" s="7"/>
      <c r="AA25" s="7"/>
      <c r="AB25" s="33"/>
      <c r="AC25" s="33"/>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2"/>
      <c r="BM25" s="32"/>
      <c r="BN25" s="32"/>
      <c r="BO25" s="32"/>
      <c r="BP25" s="32"/>
      <c r="BQ25" s="32"/>
      <c r="BR25" s="32"/>
      <c r="BS25" s="32"/>
      <c r="BT25" s="32"/>
      <c r="BU25" s="32"/>
      <c r="BV25" s="32"/>
      <c r="BW25" s="32"/>
      <c r="BX25" s="32"/>
      <c r="BY25" s="32"/>
      <c r="BZ25" s="32"/>
      <c r="CA25" s="32"/>
      <c r="CB25" s="32"/>
      <c r="CC25" s="32"/>
      <c r="CD25" s="32"/>
      <c r="CE25" s="32"/>
      <c r="CF25" s="32"/>
      <c r="CG25" s="32"/>
      <c r="CH25" s="32"/>
      <c r="CI25" s="32"/>
      <c r="CJ25" s="32"/>
      <c r="CK25" s="32"/>
      <c r="CL25" s="32"/>
      <c r="CM25" s="32"/>
      <c r="CN25" s="32"/>
      <c r="CO25" s="32"/>
      <c r="CP25" s="32"/>
      <c r="CQ25" s="32"/>
      <c r="CR25" s="32"/>
      <c r="CS25" s="32"/>
      <c r="CT25" s="32"/>
      <c r="CU25" s="32"/>
      <c r="CV25" s="32"/>
      <c r="CW25" s="32"/>
      <c r="CX25" s="32"/>
      <c r="CY25" s="32"/>
      <c r="CZ25" s="32"/>
      <c r="DA25" s="32"/>
      <c r="DB25" s="32"/>
      <c r="DC25" s="32"/>
      <c r="DD25" s="32"/>
      <c r="DE25" s="32"/>
      <c r="DF25" s="32"/>
      <c r="DG25" s="32"/>
      <c r="DH25" s="32"/>
      <c r="DI25" s="32"/>
      <c r="DJ25" s="32"/>
      <c r="DK25" s="32"/>
      <c r="DL25" s="32"/>
      <c r="DM25" s="32"/>
      <c r="DN25" s="32"/>
      <c r="DO25" s="32"/>
      <c r="DP25" s="32"/>
      <c r="DQ25" s="32"/>
      <c r="DR25" s="32"/>
      <c r="DS25" s="32"/>
      <c r="DT25" s="32"/>
      <c r="DU25" s="32"/>
      <c r="DV25" s="32"/>
      <c r="DW25" s="32"/>
      <c r="DX25" s="32"/>
      <c r="DY25" s="32"/>
      <c r="DZ25" s="32"/>
      <c r="EA25" s="32"/>
      <c r="EB25" s="32"/>
      <c r="EC25" s="32"/>
      <c r="ED25" s="32"/>
      <c r="EE25" s="32"/>
      <c r="EF25" s="32"/>
      <c r="EG25" s="32"/>
      <c r="EH25" s="32"/>
      <c r="EI25" s="32"/>
      <c r="EJ25" s="32"/>
      <c r="EK25" s="32"/>
      <c r="EL25" s="32"/>
      <c r="EM25" s="32"/>
      <c r="EN25" s="32"/>
      <c r="EO25" s="32"/>
      <c r="EP25" s="32"/>
      <c r="EQ25" s="32"/>
      <c r="ER25" s="32"/>
      <c r="ES25" s="32"/>
      <c r="ET25" s="32"/>
      <c r="EU25" s="32"/>
      <c r="EV25" s="32"/>
      <c r="EW25" s="32"/>
      <c r="EX25" s="32"/>
      <c r="EY25" s="32"/>
      <c r="EZ25" s="32"/>
      <c r="FA25" s="32"/>
      <c r="FB25" s="32"/>
      <c r="FC25" s="32"/>
      <c r="FD25" s="32"/>
      <c r="FE25" s="32"/>
      <c r="FF25" s="32"/>
      <c r="FG25" s="32"/>
      <c r="FH25" s="32"/>
      <c r="FI25" s="32"/>
      <c r="FJ25" s="32"/>
      <c r="FK25" s="32"/>
      <c r="FL25" s="32"/>
      <c r="FM25" s="32"/>
      <c r="FN25" s="32"/>
      <c r="FO25" s="32"/>
      <c r="FP25" s="32"/>
      <c r="FQ25" s="32"/>
      <c r="FR25" s="32"/>
      <c r="FS25" s="32"/>
      <c r="FT25" s="32"/>
      <c r="FU25" s="32"/>
      <c r="FV25" s="32"/>
      <c r="FW25" s="32"/>
      <c r="FX25" s="32"/>
      <c r="FY25" s="32"/>
      <c r="FZ25" s="32"/>
      <c r="GA25" s="32"/>
      <c r="GB25" s="32"/>
      <c r="GC25" s="32"/>
      <c r="GD25" s="32"/>
      <c r="GE25" s="32"/>
      <c r="GF25" s="32"/>
      <c r="GG25" s="32"/>
      <c r="GH25" s="32"/>
      <c r="GI25" s="32"/>
      <c r="GJ25" s="32"/>
      <c r="GK25" s="32"/>
      <c r="GL25" s="32"/>
      <c r="GM25" s="32"/>
      <c r="GN25" s="32"/>
      <c r="GO25" s="32"/>
      <c r="GP25" s="32"/>
      <c r="GQ25" s="32"/>
      <c r="GR25" s="32"/>
      <c r="GS25" s="32"/>
      <c r="GT25" s="32"/>
      <c r="GU25" s="32"/>
      <c r="GV25" s="32"/>
      <c r="GW25" s="32"/>
      <c r="GX25" s="32"/>
      <c r="GY25" s="32"/>
      <c r="GZ25" s="32"/>
      <c r="HA25" s="32"/>
      <c r="HB25" s="32"/>
      <c r="HC25" s="32"/>
      <c r="HD25" s="32"/>
      <c r="HE25" s="32"/>
      <c r="HF25" s="32"/>
      <c r="HG25" s="32"/>
      <c r="HH25" s="32"/>
      <c r="HI25" s="32"/>
      <c r="HJ25" s="32"/>
      <c r="HK25" s="32"/>
      <c r="HL25" s="32"/>
      <c r="HM25" s="32"/>
      <c r="HN25" s="32"/>
      <c r="HO25" s="32"/>
      <c r="HP25" s="32"/>
      <c r="HQ25" s="32"/>
      <c r="HR25" s="32"/>
      <c r="HS25" s="32"/>
      <c r="HT25" s="32"/>
      <c r="HU25" s="32"/>
      <c r="HV25" s="32"/>
      <c r="HW25" s="32"/>
      <c r="HX25" s="32"/>
      <c r="HY25" s="32"/>
      <c r="HZ25" s="32"/>
      <c r="IA25" s="32"/>
      <c r="IB25" s="32"/>
      <c r="IC25" s="32"/>
      <c r="ID25" s="32"/>
      <c r="IE25" s="32"/>
      <c r="IF25" s="32"/>
      <c r="IG25" s="32"/>
      <c r="IH25" s="32"/>
      <c r="II25" s="32"/>
      <c r="IJ25" s="32"/>
      <c r="IK25" s="32"/>
      <c r="IL25" s="32"/>
      <c r="IM25" s="32"/>
      <c r="IN25" s="32"/>
      <c r="IO25" s="32"/>
      <c r="IP25" s="32"/>
      <c r="IQ25" s="32"/>
      <c r="IR25" s="32"/>
      <c r="IS25" s="32"/>
      <c r="IT25" s="32"/>
      <c r="IU25" s="32"/>
      <c r="IV25" s="32"/>
      <c r="IW25" s="32"/>
    </row>
    <row r="26" customFormat="false" ht="12.75" hidden="false" customHeight="false" outlineLevel="1" collapsed="false">
      <c r="A26" s="10" t="s">
        <v>3</v>
      </c>
      <c r="B26" s="11" t="n">
        <v>74575.6340223329</v>
      </c>
      <c r="C26" s="32"/>
      <c r="D26" s="7"/>
      <c r="E26" s="7"/>
      <c r="F26" s="7"/>
      <c r="G26" s="7"/>
      <c r="H26" s="7"/>
      <c r="I26" s="7"/>
      <c r="J26" s="7"/>
      <c r="K26" s="7"/>
      <c r="L26" s="7"/>
      <c r="M26" s="7"/>
      <c r="N26" s="7"/>
      <c r="O26" s="7"/>
      <c r="P26" s="7"/>
      <c r="Q26" s="7"/>
      <c r="R26" s="7"/>
      <c r="S26" s="7"/>
      <c r="T26" s="7"/>
      <c r="U26" s="7"/>
      <c r="V26" s="7"/>
      <c r="W26" s="7"/>
      <c r="X26" s="7"/>
      <c r="Y26" s="7"/>
      <c r="Z26" s="7"/>
      <c r="AA26" s="7"/>
      <c r="AB26" s="33"/>
      <c r="AC26" s="33"/>
      <c r="AD26" s="32"/>
      <c r="AE26" s="32"/>
      <c r="AF26" s="32"/>
      <c r="AG26" s="32"/>
      <c r="AH26" s="32"/>
      <c r="AI26" s="32"/>
      <c r="AJ26" s="32"/>
      <c r="AK26" s="32"/>
      <c r="AL26" s="32"/>
      <c r="AM26" s="32"/>
      <c r="AN26" s="32"/>
      <c r="AO26" s="32"/>
      <c r="AP26" s="32"/>
      <c r="AQ26" s="32"/>
      <c r="AR26" s="32"/>
      <c r="AS26" s="32"/>
      <c r="AT26" s="32"/>
      <c r="AU26" s="32"/>
      <c r="AV26" s="32"/>
      <c r="AW26" s="32"/>
      <c r="AX26" s="32"/>
      <c r="AY26" s="32"/>
      <c r="AZ26" s="32"/>
      <c r="BA26" s="32"/>
      <c r="BB26" s="32"/>
      <c r="BC26" s="32"/>
      <c r="BD26" s="32"/>
      <c r="BE26" s="32"/>
      <c r="BF26" s="32"/>
      <c r="BG26" s="32"/>
      <c r="BH26" s="32"/>
      <c r="BI26" s="32"/>
      <c r="BJ26" s="32"/>
      <c r="BK26" s="32"/>
      <c r="BL26" s="32"/>
      <c r="BM26" s="32"/>
      <c r="BN26" s="32"/>
      <c r="BO26" s="32"/>
      <c r="BP26" s="32"/>
      <c r="BQ26" s="32"/>
      <c r="BR26" s="32"/>
      <c r="BS26" s="32"/>
      <c r="BT26" s="32"/>
      <c r="BU26" s="32"/>
      <c r="BV26" s="32"/>
      <c r="BW26" s="32"/>
      <c r="BX26" s="32"/>
      <c r="BY26" s="32"/>
      <c r="BZ26" s="32"/>
      <c r="CA26" s="32"/>
      <c r="CB26" s="32"/>
      <c r="CC26" s="32"/>
      <c r="CD26" s="32"/>
      <c r="CE26" s="32"/>
      <c r="CF26" s="32"/>
      <c r="CG26" s="32"/>
      <c r="CH26" s="32"/>
      <c r="CI26" s="32"/>
      <c r="CJ26" s="32"/>
      <c r="CK26" s="32"/>
      <c r="CL26" s="32"/>
      <c r="CM26" s="32"/>
      <c r="CN26" s="32"/>
      <c r="CO26" s="32"/>
      <c r="CP26" s="32"/>
      <c r="CQ26" s="32"/>
      <c r="CR26" s="32"/>
      <c r="CS26" s="32"/>
      <c r="CT26" s="32"/>
      <c r="CU26" s="32"/>
      <c r="CV26" s="32"/>
      <c r="CW26" s="32"/>
      <c r="CX26" s="32"/>
      <c r="CY26" s="32"/>
      <c r="CZ26" s="32"/>
      <c r="DA26" s="32"/>
      <c r="DB26" s="32"/>
      <c r="DC26" s="32"/>
      <c r="DD26" s="32"/>
      <c r="DE26" s="32"/>
      <c r="DF26" s="32"/>
      <c r="DG26" s="32"/>
      <c r="DH26" s="32"/>
      <c r="DI26" s="32"/>
      <c r="DJ26" s="32"/>
      <c r="DK26" s="32"/>
      <c r="DL26" s="32"/>
      <c r="DM26" s="32"/>
      <c r="DN26" s="32"/>
      <c r="DO26" s="32"/>
      <c r="DP26" s="32"/>
      <c r="DQ26" s="32"/>
      <c r="DR26" s="32"/>
      <c r="DS26" s="32"/>
      <c r="DT26" s="32"/>
      <c r="DU26" s="32"/>
      <c r="DV26" s="32"/>
      <c r="DW26" s="32"/>
      <c r="DX26" s="32"/>
      <c r="DY26" s="32"/>
      <c r="DZ26" s="32"/>
      <c r="EA26" s="32"/>
      <c r="EB26" s="32"/>
      <c r="EC26" s="32"/>
      <c r="ED26" s="32"/>
      <c r="EE26" s="32"/>
      <c r="EF26" s="32"/>
      <c r="EG26" s="32"/>
      <c r="EH26" s="32"/>
      <c r="EI26" s="32"/>
      <c r="EJ26" s="32"/>
      <c r="EK26" s="32"/>
      <c r="EL26" s="32"/>
      <c r="EM26" s="32"/>
      <c r="EN26" s="32"/>
      <c r="EO26" s="32"/>
      <c r="EP26" s="32"/>
      <c r="EQ26" s="32"/>
      <c r="ER26" s="32"/>
      <c r="ES26" s="32"/>
      <c r="ET26" s="32"/>
      <c r="EU26" s="32"/>
      <c r="EV26" s="32"/>
      <c r="EW26" s="32"/>
      <c r="EX26" s="32"/>
      <c r="EY26" s="32"/>
      <c r="EZ26" s="32"/>
      <c r="FA26" s="32"/>
      <c r="FB26" s="32"/>
      <c r="FC26" s="32"/>
      <c r="FD26" s="32"/>
      <c r="FE26" s="32"/>
      <c r="FF26" s="32"/>
      <c r="FG26" s="32"/>
      <c r="FH26" s="32"/>
      <c r="FI26" s="32"/>
      <c r="FJ26" s="32"/>
      <c r="FK26" s="32"/>
      <c r="FL26" s="32"/>
      <c r="FM26" s="32"/>
      <c r="FN26" s="32"/>
      <c r="FO26" s="32"/>
      <c r="FP26" s="32"/>
      <c r="FQ26" s="32"/>
      <c r="FR26" s="32"/>
      <c r="FS26" s="32"/>
      <c r="FT26" s="32"/>
      <c r="FU26" s="32"/>
      <c r="FV26" s="32"/>
      <c r="FW26" s="32"/>
      <c r="FX26" s="32"/>
      <c r="FY26" s="32"/>
      <c r="FZ26" s="32"/>
      <c r="GA26" s="32"/>
      <c r="GB26" s="32"/>
      <c r="GC26" s="32"/>
      <c r="GD26" s="32"/>
      <c r="GE26" s="32"/>
      <c r="GF26" s="32"/>
      <c r="GG26" s="32"/>
      <c r="GH26" s="32"/>
      <c r="GI26" s="32"/>
      <c r="GJ26" s="32"/>
      <c r="GK26" s="32"/>
      <c r="GL26" s="32"/>
      <c r="GM26" s="32"/>
      <c r="GN26" s="32"/>
      <c r="GO26" s="32"/>
      <c r="GP26" s="32"/>
      <c r="GQ26" s="32"/>
      <c r="GR26" s="32"/>
      <c r="GS26" s="32"/>
      <c r="GT26" s="32"/>
      <c r="GU26" s="32"/>
      <c r="GV26" s="32"/>
      <c r="GW26" s="32"/>
      <c r="GX26" s="32"/>
      <c r="GY26" s="32"/>
      <c r="GZ26" s="32"/>
      <c r="HA26" s="32"/>
      <c r="HB26" s="32"/>
      <c r="HC26" s="32"/>
      <c r="HD26" s="32"/>
      <c r="HE26" s="32"/>
      <c r="HF26" s="32"/>
      <c r="HG26" s="32"/>
      <c r="HH26" s="32"/>
      <c r="HI26" s="32"/>
      <c r="HJ26" s="32"/>
      <c r="HK26" s="32"/>
      <c r="HL26" s="32"/>
      <c r="HM26" s="32"/>
      <c r="HN26" s="32"/>
      <c r="HO26" s="32"/>
      <c r="HP26" s="32"/>
      <c r="HQ26" s="32"/>
      <c r="HR26" s="32"/>
      <c r="HS26" s="32"/>
      <c r="HT26" s="32"/>
      <c r="HU26" s="32"/>
      <c r="HV26" s="32"/>
      <c r="HW26" s="32"/>
      <c r="HX26" s="32"/>
      <c r="HY26" s="32"/>
      <c r="HZ26" s="32"/>
      <c r="IA26" s="32"/>
      <c r="IB26" s="32"/>
      <c r="IC26" s="32"/>
      <c r="ID26" s="32"/>
      <c r="IE26" s="32"/>
      <c r="IF26" s="32"/>
      <c r="IG26" s="32"/>
      <c r="IH26" s="32"/>
      <c r="II26" s="32"/>
      <c r="IJ26" s="32"/>
      <c r="IK26" s="32"/>
      <c r="IL26" s="32"/>
      <c r="IM26" s="32"/>
      <c r="IN26" s="32"/>
      <c r="IO26" s="32"/>
      <c r="IP26" s="32"/>
      <c r="IQ26" s="32"/>
      <c r="IR26" s="32"/>
      <c r="IS26" s="32"/>
      <c r="IT26" s="32"/>
      <c r="IU26" s="32"/>
      <c r="IV26" s="32"/>
      <c r="IW26" s="32"/>
    </row>
    <row r="27" customFormat="false" ht="12.75" hidden="false" customHeight="false" outlineLevel="1" collapsed="false">
      <c r="A27" s="12" t="s">
        <v>4</v>
      </c>
      <c r="B27" s="13" t="n">
        <v>114106.16874308</v>
      </c>
      <c r="C27" s="32"/>
      <c r="D27" s="7"/>
      <c r="E27" s="7"/>
      <c r="F27" s="7"/>
      <c r="G27" s="7"/>
      <c r="H27" s="7"/>
      <c r="I27" s="7"/>
      <c r="J27" s="7"/>
      <c r="K27" s="7"/>
      <c r="L27" s="7"/>
      <c r="M27" s="7"/>
      <c r="N27" s="7"/>
      <c r="O27" s="7"/>
      <c r="P27" s="7"/>
      <c r="Q27" s="7"/>
      <c r="R27" s="7"/>
      <c r="S27" s="7"/>
      <c r="T27" s="7"/>
      <c r="U27" s="7"/>
      <c r="V27" s="7"/>
      <c r="W27" s="7"/>
      <c r="X27" s="7"/>
      <c r="Y27" s="7"/>
      <c r="Z27" s="7"/>
      <c r="AA27" s="7"/>
      <c r="AB27" s="33"/>
      <c r="AC27" s="33"/>
      <c r="AD27" s="32"/>
      <c r="AE27" s="32"/>
      <c r="AF27" s="32"/>
      <c r="AG27" s="32"/>
      <c r="AH27" s="32"/>
      <c r="AI27" s="32"/>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c r="BK27" s="32"/>
      <c r="BL27" s="32"/>
      <c r="BM27" s="32"/>
      <c r="BN27" s="32"/>
      <c r="BO27" s="32"/>
      <c r="BP27" s="32"/>
      <c r="BQ27" s="32"/>
      <c r="BR27" s="32"/>
      <c r="BS27" s="32"/>
      <c r="BT27" s="32"/>
      <c r="BU27" s="32"/>
      <c r="BV27" s="32"/>
      <c r="BW27" s="32"/>
      <c r="BX27" s="32"/>
      <c r="BY27" s="32"/>
      <c r="BZ27" s="32"/>
      <c r="CA27" s="32"/>
      <c r="CB27" s="32"/>
      <c r="CC27" s="32"/>
      <c r="CD27" s="32"/>
      <c r="CE27" s="32"/>
      <c r="CF27" s="32"/>
      <c r="CG27" s="32"/>
      <c r="CH27" s="32"/>
      <c r="CI27" s="32"/>
      <c r="CJ27" s="32"/>
      <c r="CK27" s="32"/>
      <c r="CL27" s="32"/>
      <c r="CM27" s="32"/>
      <c r="CN27" s="32"/>
      <c r="CO27" s="32"/>
      <c r="CP27" s="32"/>
      <c r="CQ27" s="32"/>
      <c r="CR27" s="32"/>
      <c r="CS27" s="32"/>
      <c r="CT27" s="32"/>
      <c r="CU27" s="32"/>
      <c r="CV27" s="32"/>
      <c r="CW27" s="32"/>
      <c r="CX27" s="32"/>
      <c r="CY27" s="32"/>
      <c r="CZ27" s="32"/>
      <c r="DA27" s="32"/>
      <c r="DB27" s="32"/>
      <c r="DC27" s="32"/>
      <c r="DD27" s="32"/>
      <c r="DE27" s="32"/>
      <c r="DF27" s="32"/>
      <c r="DG27" s="32"/>
      <c r="DH27" s="32"/>
      <c r="DI27" s="32"/>
      <c r="DJ27" s="32"/>
      <c r="DK27" s="32"/>
      <c r="DL27" s="32"/>
      <c r="DM27" s="32"/>
      <c r="DN27" s="32"/>
      <c r="DO27" s="32"/>
      <c r="DP27" s="32"/>
      <c r="DQ27" s="32"/>
      <c r="DR27" s="32"/>
      <c r="DS27" s="32"/>
      <c r="DT27" s="32"/>
      <c r="DU27" s="32"/>
      <c r="DV27" s="32"/>
      <c r="DW27" s="32"/>
      <c r="DX27" s="32"/>
      <c r="DY27" s="32"/>
      <c r="DZ27" s="32"/>
      <c r="EA27" s="32"/>
      <c r="EB27" s="32"/>
      <c r="EC27" s="32"/>
      <c r="ED27" s="32"/>
      <c r="EE27" s="32"/>
      <c r="EF27" s="32"/>
      <c r="EG27" s="32"/>
      <c r="EH27" s="32"/>
      <c r="EI27" s="32"/>
      <c r="EJ27" s="32"/>
      <c r="EK27" s="32"/>
      <c r="EL27" s="32"/>
      <c r="EM27" s="32"/>
      <c r="EN27" s="32"/>
      <c r="EO27" s="32"/>
      <c r="EP27" s="32"/>
      <c r="EQ27" s="32"/>
      <c r="ER27" s="32"/>
      <c r="ES27" s="32"/>
      <c r="ET27" s="32"/>
      <c r="EU27" s="32"/>
      <c r="EV27" s="32"/>
      <c r="EW27" s="32"/>
      <c r="EX27" s="32"/>
      <c r="EY27" s="32"/>
      <c r="EZ27" s="32"/>
      <c r="FA27" s="32"/>
      <c r="FB27" s="32"/>
      <c r="FC27" s="32"/>
      <c r="FD27" s="32"/>
      <c r="FE27" s="32"/>
      <c r="FF27" s="32"/>
      <c r="FG27" s="32"/>
      <c r="FH27" s="32"/>
      <c r="FI27" s="32"/>
      <c r="FJ27" s="32"/>
      <c r="FK27" s="32"/>
      <c r="FL27" s="32"/>
      <c r="FM27" s="32"/>
      <c r="FN27" s="32"/>
      <c r="FO27" s="32"/>
      <c r="FP27" s="32"/>
      <c r="FQ27" s="32"/>
      <c r="FR27" s="32"/>
      <c r="FS27" s="32"/>
      <c r="FT27" s="32"/>
      <c r="FU27" s="32"/>
      <c r="FV27" s="32"/>
      <c r="FW27" s="32"/>
      <c r="FX27" s="32"/>
      <c r="FY27" s="32"/>
      <c r="FZ27" s="32"/>
      <c r="GA27" s="32"/>
      <c r="GB27" s="32"/>
      <c r="GC27" s="32"/>
      <c r="GD27" s="32"/>
      <c r="GE27" s="32"/>
      <c r="GF27" s="32"/>
      <c r="GG27" s="32"/>
      <c r="GH27" s="32"/>
      <c r="GI27" s="32"/>
      <c r="GJ27" s="32"/>
      <c r="GK27" s="32"/>
      <c r="GL27" s="32"/>
      <c r="GM27" s="32"/>
      <c r="GN27" s="32"/>
      <c r="GO27" s="32"/>
      <c r="GP27" s="32"/>
      <c r="GQ27" s="32"/>
      <c r="GR27" s="32"/>
      <c r="GS27" s="32"/>
      <c r="GT27" s="32"/>
      <c r="GU27" s="32"/>
      <c r="GV27" s="32"/>
      <c r="GW27" s="32"/>
      <c r="GX27" s="32"/>
      <c r="GY27" s="32"/>
      <c r="GZ27" s="32"/>
      <c r="HA27" s="32"/>
      <c r="HB27" s="32"/>
      <c r="HC27" s="32"/>
      <c r="HD27" s="32"/>
      <c r="HE27" s="32"/>
      <c r="HF27" s="32"/>
      <c r="HG27" s="32"/>
      <c r="HH27" s="32"/>
      <c r="HI27" s="32"/>
      <c r="HJ27" s="32"/>
      <c r="HK27" s="32"/>
      <c r="HL27" s="32"/>
      <c r="HM27" s="32"/>
      <c r="HN27" s="32"/>
      <c r="HO27" s="32"/>
      <c r="HP27" s="32"/>
      <c r="HQ27" s="32"/>
      <c r="HR27" s="32"/>
      <c r="HS27" s="32"/>
      <c r="HT27" s="32"/>
      <c r="HU27" s="32"/>
      <c r="HV27" s="32"/>
      <c r="HW27" s="32"/>
      <c r="HX27" s="32"/>
      <c r="HY27" s="32"/>
      <c r="HZ27" s="32"/>
      <c r="IA27" s="32"/>
      <c r="IB27" s="32"/>
      <c r="IC27" s="32"/>
      <c r="ID27" s="32"/>
      <c r="IE27" s="32"/>
      <c r="IF27" s="32"/>
      <c r="IG27" s="32"/>
      <c r="IH27" s="32"/>
      <c r="II27" s="32"/>
      <c r="IJ27" s="32"/>
      <c r="IK27" s="32"/>
      <c r="IL27" s="32"/>
      <c r="IM27" s="32"/>
      <c r="IN27" s="32"/>
      <c r="IO27" s="32"/>
      <c r="IP27" s="32"/>
      <c r="IQ27" s="32"/>
      <c r="IR27" s="32"/>
      <c r="IS27" s="32"/>
      <c r="IT27" s="32"/>
      <c r="IU27" s="32"/>
      <c r="IV27" s="32"/>
      <c r="IW27" s="32"/>
    </row>
    <row r="28" customFormat="false" ht="12.75" hidden="false" customHeight="false" outlineLevel="1" collapsed="false">
      <c r="A28" s="14" t="s">
        <v>5</v>
      </c>
      <c r="B28" s="15" t="s">
        <v>6</v>
      </c>
      <c r="C28" s="15" t="s">
        <v>7</v>
      </c>
      <c r="D28" s="16" t="n">
        <v>2000</v>
      </c>
      <c r="E28" s="17" t="n">
        <v>2001</v>
      </c>
      <c r="F28" s="17" t="n">
        <v>2002</v>
      </c>
      <c r="G28" s="17" t="n">
        <v>2003</v>
      </c>
      <c r="H28" s="17" t="n">
        <v>2004</v>
      </c>
      <c r="I28" s="17" t="n">
        <v>2005</v>
      </c>
      <c r="J28" s="17" t="n">
        <v>2006</v>
      </c>
      <c r="K28" s="17" t="n">
        <v>2007</v>
      </c>
      <c r="L28" s="17" t="n">
        <v>2008</v>
      </c>
      <c r="M28" s="17" t="n">
        <v>2009</v>
      </c>
      <c r="N28" s="18" t="n">
        <v>2010</v>
      </c>
      <c r="O28" s="19" t="n">
        <v>2011</v>
      </c>
      <c r="P28" s="19" t="n">
        <v>2012</v>
      </c>
      <c r="Q28" s="19" t="n">
        <v>2013</v>
      </c>
      <c r="R28" s="19" t="n">
        <v>2014</v>
      </c>
      <c r="S28" s="19" t="n">
        <v>2015</v>
      </c>
      <c r="T28" s="19" t="n">
        <v>2016</v>
      </c>
      <c r="U28" s="19" t="n">
        <v>2017</v>
      </c>
      <c r="V28" s="19" t="n">
        <v>2018</v>
      </c>
      <c r="W28" s="19" t="n">
        <v>2019</v>
      </c>
      <c r="X28" s="19" t="n">
        <v>2020</v>
      </c>
      <c r="Y28" s="7"/>
      <c r="Z28" s="7"/>
      <c r="AA28" s="7"/>
      <c r="AB28" s="30"/>
      <c r="AC28" s="30"/>
      <c r="AD28" s="31"/>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T28" s="31"/>
      <c r="BU28" s="31"/>
      <c r="BV28" s="31"/>
      <c r="BW28" s="31"/>
      <c r="BX28" s="31"/>
      <c r="BY28" s="31"/>
      <c r="BZ28" s="31"/>
      <c r="CA28" s="31"/>
      <c r="CB28" s="31"/>
      <c r="CC28" s="31"/>
      <c r="CD28" s="31"/>
      <c r="CE28" s="31"/>
      <c r="CF28" s="31"/>
      <c r="CG28" s="31"/>
      <c r="CH28" s="31"/>
      <c r="CI28" s="31"/>
      <c r="CJ28" s="31"/>
      <c r="CK28" s="31"/>
      <c r="CL28" s="31"/>
      <c r="CM28" s="31"/>
      <c r="CN28" s="31"/>
      <c r="CO28" s="31"/>
      <c r="CP28" s="31"/>
      <c r="CQ28" s="31"/>
      <c r="CR28" s="31"/>
      <c r="CS28" s="31"/>
      <c r="CT28" s="31"/>
      <c r="CU28" s="31"/>
      <c r="CV28" s="31"/>
      <c r="CW28" s="31"/>
      <c r="CX28" s="31"/>
      <c r="CY28" s="31"/>
      <c r="CZ28" s="31"/>
      <c r="DA28" s="31"/>
      <c r="DB28" s="31"/>
      <c r="DC28" s="31"/>
      <c r="DD28" s="31"/>
      <c r="DE28" s="31"/>
      <c r="DF28" s="31"/>
      <c r="DG28" s="31"/>
      <c r="DH28" s="31"/>
      <c r="DI28" s="31"/>
      <c r="DJ28" s="31"/>
      <c r="DK28" s="31"/>
      <c r="DL28" s="31"/>
      <c r="DM28" s="31"/>
      <c r="DN28" s="31"/>
      <c r="DO28" s="31"/>
      <c r="DP28" s="31"/>
      <c r="DQ28" s="31"/>
      <c r="DR28" s="31"/>
      <c r="DS28" s="31"/>
      <c r="DT28" s="31"/>
      <c r="DU28" s="31"/>
      <c r="DV28" s="31"/>
      <c r="DW28" s="31"/>
      <c r="DX28" s="31"/>
      <c r="DY28" s="31"/>
      <c r="DZ28" s="31"/>
      <c r="EA28" s="31"/>
      <c r="EB28" s="31"/>
      <c r="EC28" s="31"/>
      <c r="ED28" s="31"/>
      <c r="EE28" s="31"/>
      <c r="EF28" s="31"/>
      <c r="EG28" s="31"/>
      <c r="EH28" s="31"/>
      <c r="EI28" s="31"/>
      <c r="EJ28" s="31"/>
      <c r="EK28" s="31"/>
      <c r="EL28" s="31"/>
      <c r="EM28" s="31"/>
      <c r="EN28" s="31"/>
      <c r="EO28" s="31"/>
      <c r="EP28" s="31"/>
      <c r="EQ28" s="31"/>
      <c r="ER28" s="31"/>
      <c r="ES28" s="31"/>
      <c r="ET28" s="31"/>
      <c r="EU28" s="31"/>
      <c r="EV28" s="31"/>
      <c r="EW28" s="31"/>
      <c r="EX28" s="31"/>
      <c r="EY28" s="31"/>
      <c r="EZ28" s="31"/>
      <c r="FA28" s="31"/>
      <c r="FB28" s="31"/>
      <c r="FC28" s="31"/>
      <c r="FD28" s="31"/>
      <c r="FE28" s="31"/>
      <c r="FF28" s="31"/>
      <c r="FG28" s="31"/>
      <c r="FH28" s="31"/>
      <c r="FI28" s="31"/>
      <c r="FJ28" s="31"/>
      <c r="FK28" s="31"/>
      <c r="FL28" s="31"/>
      <c r="FM28" s="31"/>
      <c r="FN28" s="31"/>
      <c r="FO28" s="31"/>
      <c r="FP28" s="31"/>
      <c r="FQ28" s="31"/>
      <c r="FR28" s="31"/>
      <c r="FS28" s="31"/>
      <c r="FT28" s="31"/>
      <c r="FU28" s="31"/>
      <c r="FV28" s="31"/>
      <c r="FW28" s="31"/>
      <c r="FX28" s="31"/>
      <c r="FY28" s="31"/>
      <c r="FZ28" s="31"/>
      <c r="GA28" s="31"/>
      <c r="GB28" s="31"/>
      <c r="GC28" s="31"/>
      <c r="GD28" s="31"/>
      <c r="GE28" s="31"/>
      <c r="GF28" s="31"/>
      <c r="GG28" s="31"/>
      <c r="GH28" s="31"/>
      <c r="GI28" s="31"/>
      <c r="GJ28" s="31"/>
      <c r="GK28" s="31"/>
      <c r="GL28" s="31"/>
      <c r="GM28" s="31"/>
      <c r="GN28" s="31"/>
      <c r="GO28" s="31"/>
      <c r="GP28" s="31"/>
      <c r="GQ28" s="31"/>
      <c r="GR28" s="31"/>
      <c r="GS28" s="31"/>
      <c r="GT28" s="31"/>
      <c r="GU28" s="31"/>
      <c r="GV28" s="31"/>
      <c r="GW28" s="31"/>
      <c r="GX28" s="31"/>
      <c r="GY28" s="31"/>
      <c r="GZ28" s="31"/>
      <c r="HA28" s="31"/>
      <c r="HB28" s="31"/>
      <c r="HC28" s="31"/>
      <c r="HD28" s="31"/>
      <c r="HE28" s="31"/>
      <c r="HF28" s="31"/>
      <c r="HG28" s="31"/>
      <c r="HH28" s="31"/>
      <c r="HI28" s="31"/>
      <c r="HJ28" s="31"/>
      <c r="HK28" s="31"/>
      <c r="HL28" s="31"/>
      <c r="HM28" s="31"/>
      <c r="HN28" s="31"/>
      <c r="HO28" s="31"/>
      <c r="HP28" s="31"/>
      <c r="HQ28" s="31"/>
      <c r="HR28" s="31"/>
      <c r="HS28" s="31"/>
      <c r="HT28" s="31"/>
      <c r="HU28" s="31"/>
      <c r="HV28" s="31"/>
      <c r="HW28" s="31"/>
      <c r="HX28" s="31"/>
      <c r="HY28" s="31"/>
      <c r="HZ28" s="31"/>
      <c r="IA28" s="31"/>
      <c r="IB28" s="31"/>
      <c r="IC28" s="31"/>
      <c r="ID28" s="31"/>
      <c r="IE28" s="31"/>
      <c r="IF28" s="31"/>
      <c r="IG28" s="31"/>
      <c r="IH28" s="31"/>
      <c r="II28" s="31"/>
      <c r="IJ28" s="31"/>
      <c r="IK28" s="31"/>
      <c r="IL28" s="31"/>
      <c r="IM28" s="31"/>
      <c r="IN28" s="31"/>
      <c r="IO28" s="31"/>
      <c r="IP28" s="31"/>
      <c r="IQ28" s="31"/>
      <c r="IR28" s="31"/>
      <c r="IS28" s="31"/>
      <c r="IT28" s="31"/>
      <c r="IU28" s="31"/>
    </row>
    <row r="29" customFormat="false" ht="12.75" hidden="false" customHeight="false" outlineLevel="1" collapsed="false">
      <c r="A29" s="14" t="s">
        <v>8</v>
      </c>
      <c r="B29" s="20" t="n">
        <f aca="false">NPV(0.1,D29:Y29)</f>
        <v>465827.093907344</v>
      </c>
      <c r="C29" s="20" t="n">
        <f aca="false">B29-B19</f>
        <v>22639.1252391136</v>
      </c>
      <c r="D29" s="21" t="n">
        <v>26764.4003077875</v>
      </c>
      <c r="E29" s="22" t="n">
        <v>37659.122867725</v>
      </c>
      <c r="F29" s="22" t="n">
        <v>37941.8914792</v>
      </c>
      <c r="G29" s="22" t="n">
        <v>48390.37196295</v>
      </c>
      <c r="H29" s="22" t="n">
        <v>57014.5482760997</v>
      </c>
      <c r="I29" s="22" t="n">
        <v>58428.6938194034</v>
      </c>
      <c r="J29" s="22" t="n">
        <v>59396.6290505288</v>
      </c>
      <c r="K29" s="22" t="n">
        <v>60466.4807637813</v>
      </c>
      <c r="L29" s="22" t="n">
        <v>61635.7768965781</v>
      </c>
      <c r="M29" s="22" t="n">
        <v>62908.4700930875</v>
      </c>
      <c r="N29" s="23" t="n">
        <v>64311.9782204315</v>
      </c>
      <c r="O29" s="24" t="n">
        <v>66011.6378049962</v>
      </c>
      <c r="P29" s="24" t="n">
        <v>67854.5436135047</v>
      </c>
      <c r="Q29" s="24" t="n">
        <v>69775.5523437126</v>
      </c>
      <c r="R29" s="24" t="n">
        <v>71768.255083452</v>
      </c>
      <c r="S29" s="24" t="n">
        <v>73799.7645716049</v>
      </c>
      <c r="T29" s="24" t="n">
        <v>75518.1618621807</v>
      </c>
      <c r="U29" s="24" t="n">
        <v>77413.8453261101</v>
      </c>
      <c r="V29" s="24" t="n">
        <v>79063.7992892665</v>
      </c>
      <c r="W29" s="24" t="n">
        <v>80708.4012780591</v>
      </c>
      <c r="X29" s="24" t="n">
        <v>20103.486715349</v>
      </c>
      <c r="Y29" s="7"/>
      <c r="Z29" s="7"/>
      <c r="AA29" s="7"/>
      <c r="AB29" s="33"/>
      <c r="AC29" s="33"/>
      <c r="AD29" s="32"/>
      <c r="AE29" s="32"/>
      <c r="AF29" s="32"/>
      <c r="AG29" s="32"/>
      <c r="AH29" s="32"/>
      <c r="AI29" s="32"/>
      <c r="AJ29" s="32"/>
      <c r="AK29" s="32"/>
      <c r="AL29" s="32"/>
      <c r="AM29" s="32"/>
      <c r="AN29" s="32"/>
      <c r="AO29" s="32"/>
      <c r="AP29" s="32"/>
      <c r="AQ29" s="32"/>
      <c r="AR29" s="32"/>
      <c r="AS29" s="32"/>
      <c r="AT29" s="32"/>
      <c r="AU29" s="32"/>
      <c r="AV29" s="32"/>
      <c r="AW29" s="32"/>
      <c r="AX29" s="32"/>
      <c r="AY29" s="32"/>
      <c r="AZ29" s="32"/>
      <c r="BA29" s="32"/>
      <c r="BB29" s="32"/>
      <c r="BC29" s="32"/>
      <c r="BD29" s="32"/>
      <c r="BE29" s="32"/>
      <c r="BF29" s="32"/>
      <c r="BG29" s="32"/>
      <c r="BH29" s="32"/>
      <c r="BI29" s="32"/>
      <c r="BJ29" s="32"/>
      <c r="BK29" s="32"/>
      <c r="BL29" s="32"/>
      <c r="BM29" s="32"/>
      <c r="BN29" s="32"/>
      <c r="BO29" s="32"/>
      <c r="BP29" s="32"/>
      <c r="BQ29" s="32"/>
      <c r="BR29" s="32"/>
      <c r="BS29" s="32"/>
      <c r="BT29" s="32"/>
      <c r="BU29" s="32"/>
      <c r="BV29" s="32"/>
      <c r="BW29" s="32"/>
      <c r="BX29" s="32"/>
      <c r="BY29" s="32"/>
      <c r="BZ29" s="32"/>
      <c r="CA29" s="32"/>
      <c r="CB29" s="32"/>
      <c r="CC29" s="32"/>
      <c r="CD29" s="32"/>
      <c r="CE29" s="32"/>
      <c r="CF29" s="32"/>
      <c r="CG29" s="32"/>
      <c r="CH29" s="32"/>
      <c r="CI29" s="32"/>
      <c r="CJ29" s="32"/>
      <c r="CK29" s="32"/>
      <c r="CL29" s="32"/>
      <c r="CM29" s="32"/>
      <c r="CN29" s="32"/>
      <c r="CO29" s="32"/>
      <c r="CP29" s="32"/>
      <c r="CQ29" s="32"/>
      <c r="CR29" s="32"/>
      <c r="CS29" s="32"/>
      <c r="CT29" s="32"/>
      <c r="CU29" s="32"/>
      <c r="CV29" s="32"/>
      <c r="CW29" s="32"/>
      <c r="CX29" s="32"/>
      <c r="CY29" s="32"/>
      <c r="CZ29" s="32"/>
      <c r="DA29" s="32"/>
      <c r="DB29" s="32"/>
      <c r="DC29" s="32"/>
      <c r="DD29" s="32"/>
      <c r="DE29" s="32"/>
      <c r="DF29" s="32"/>
      <c r="DG29" s="32"/>
      <c r="DH29" s="32"/>
      <c r="DI29" s="32"/>
      <c r="DJ29" s="32"/>
      <c r="DK29" s="32"/>
      <c r="DL29" s="32"/>
      <c r="DM29" s="32"/>
      <c r="DN29" s="32"/>
      <c r="DO29" s="32"/>
      <c r="DP29" s="32"/>
      <c r="DQ29" s="32"/>
      <c r="DR29" s="32"/>
      <c r="DS29" s="32"/>
      <c r="DT29" s="32"/>
      <c r="DU29" s="32"/>
      <c r="DV29" s="32"/>
      <c r="DW29" s="32"/>
      <c r="DX29" s="32"/>
      <c r="DY29" s="32"/>
      <c r="DZ29" s="32"/>
      <c r="EA29" s="32"/>
      <c r="EB29" s="32"/>
      <c r="EC29" s="32"/>
      <c r="ED29" s="32"/>
      <c r="EE29" s="32"/>
      <c r="EF29" s="32"/>
      <c r="EG29" s="32"/>
      <c r="EH29" s="32"/>
      <c r="EI29" s="32"/>
      <c r="EJ29" s="32"/>
      <c r="EK29" s="32"/>
      <c r="EL29" s="32"/>
      <c r="EM29" s="32"/>
      <c r="EN29" s="32"/>
      <c r="EO29" s="32"/>
      <c r="EP29" s="32"/>
      <c r="EQ29" s="32"/>
      <c r="ER29" s="32"/>
      <c r="ES29" s="32"/>
      <c r="ET29" s="32"/>
      <c r="EU29" s="32"/>
      <c r="EV29" s="32"/>
      <c r="EW29" s="32"/>
      <c r="EX29" s="32"/>
      <c r="EY29" s="32"/>
      <c r="EZ29" s="32"/>
      <c r="FA29" s="32"/>
      <c r="FB29" s="32"/>
      <c r="FC29" s="32"/>
      <c r="FD29" s="32"/>
      <c r="FE29" s="32"/>
      <c r="FF29" s="32"/>
      <c r="FG29" s="32"/>
      <c r="FH29" s="32"/>
      <c r="FI29" s="32"/>
      <c r="FJ29" s="32"/>
      <c r="FK29" s="32"/>
      <c r="FL29" s="32"/>
      <c r="FM29" s="32"/>
      <c r="FN29" s="32"/>
      <c r="FO29" s="32"/>
      <c r="FP29" s="32"/>
      <c r="FQ29" s="32"/>
      <c r="FR29" s="32"/>
      <c r="FS29" s="32"/>
      <c r="FT29" s="32"/>
      <c r="FU29" s="32"/>
      <c r="FV29" s="32"/>
      <c r="FW29" s="32"/>
      <c r="FX29" s="32"/>
      <c r="FY29" s="32"/>
      <c r="FZ29" s="32"/>
      <c r="GA29" s="32"/>
      <c r="GB29" s="32"/>
      <c r="GC29" s="32"/>
      <c r="GD29" s="32"/>
      <c r="GE29" s="32"/>
      <c r="GF29" s="32"/>
      <c r="GG29" s="32"/>
      <c r="GH29" s="32"/>
      <c r="GI29" s="32"/>
      <c r="GJ29" s="32"/>
      <c r="GK29" s="32"/>
      <c r="GL29" s="32"/>
      <c r="GM29" s="32"/>
      <c r="GN29" s="32"/>
      <c r="GO29" s="32"/>
      <c r="GP29" s="32"/>
      <c r="GQ29" s="32"/>
      <c r="GR29" s="32"/>
      <c r="GS29" s="32"/>
      <c r="GT29" s="32"/>
      <c r="GU29" s="32"/>
      <c r="GV29" s="32"/>
      <c r="GW29" s="32"/>
      <c r="GX29" s="32"/>
      <c r="GY29" s="32"/>
      <c r="GZ29" s="32"/>
      <c r="HA29" s="32"/>
      <c r="HB29" s="32"/>
      <c r="HC29" s="32"/>
      <c r="HD29" s="32"/>
      <c r="HE29" s="32"/>
      <c r="HF29" s="32"/>
      <c r="HG29" s="32"/>
      <c r="HH29" s="32"/>
      <c r="HI29" s="32"/>
      <c r="HJ29" s="32"/>
      <c r="HK29" s="32"/>
      <c r="HL29" s="32"/>
      <c r="HM29" s="32"/>
      <c r="HN29" s="32"/>
      <c r="HO29" s="32"/>
      <c r="HP29" s="32"/>
      <c r="HQ29" s="32"/>
      <c r="HR29" s="32"/>
      <c r="HS29" s="32"/>
      <c r="HT29" s="32"/>
      <c r="HU29" s="32"/>
      <c r="HV29" s="32"/>
      <c r="HW29" s="32"/>
      <c r="HX29" s="32"/>
      <c r="HY29" s="32"/>
      <c r="HZ29" s="32"/>
      <c r="IA29" s="32"/>
      <c r="IB29" s="32"/>
      <c r="IC29" s="32"/>
      <c r="ID29" s="32"/>
      <c r="IE29" s="32"/>
      <c r="IF29" s="32"/>
      <c r="IG29" s="32"/>
      <c r="IH29" s="32"/>
      <c r="II29" s="32"/>
      <c r="IJ29" s="32"/>
      <c r="IK29" s="32"/>
      <c r="IL29" s="32"/>
      <c r="IM29" s="32"/>
      <c r="IN29" s="32"/>
      <c r="IO29" s="32"/>
      <c r="IP29" s="32"/>
      <c r="IQ29" s="32"/>
      <c r="IR29" s="32"/>
      <c r="IS29" s="32"/>
      <c r="IT29" s="32"/>
      <c r="IU29" s="32"/>
      <c r="IV29" s="32"/>
      <c r="IW29" s="32"/>
    </row>
    <row r="30" customFormat="false" ht="12.75" hidden="false" customHeight="false" outlineLevel="1" collapsed="false">
      <c r="A30" s="25" t="s">
        <v>9</v>
      </c>
      <c r="B30" s="20" t="n">
        <f aca="false">NPV(0.1,D30:Y30)</f>
        <v>200994.111785991</v>
      </c>
      <c r="C30" s="20" t="n">
        <f aca="false">B30-B20</f>
        <v>7759.01529102409</v>
      </c>
      <c r="D30" s="21" t="n">
        <v>16565.1714077875</v>
      </c>
      <c r="E30" s="22" t="n">
        <v>20130.952567725</v>
      </c>
      <c r="F30" s="22" t="n">
        <v>20518.0819122</v>
      </c>
      <c r="G30" s="22" t="n">
        <v>20839.0125567</v>
      </c>
      <c r="H30" s="22" t="n">
        <v>21228.431539263</v>
      </c>
      <c r="I30" s="22" t="n">
        <v>21694.6815140284</v>
      </c>
      <c r="J30" s="22" t="n">
        <v>22233.1799895612</v>
      </c>
      <c r="K30" s="22" t="n">
        <v>22881.0721777006</v>
      </c>
      <c r="L30" s="22" t="n">
        <v>23636.7211427723</v>
      </c>
      <c r="M30" s="22" t="n">
        <v>24504.9580339605</v>
      </c>
      <c r="N30" s="23" t="n">
        <v>25514.1244525826</v>
      </c>
      <c r="O30" s="24" t="n">
        <v>26673.1731024186</v>
      </c>
      <c r="P30" s="24" t="n">
        <v>27978.1322132456</v>
      </c>
      <c r="Q30" s="24" t="n">
        <v>29364.5048868835</v>
      </c>
      <c r="R30" s="24" t="n">
        <v>30826.565001659</v>
      </c>
      <c r="S30" s="24" t="n">
        <v>32332.1460748013</v>
      </c>
      <c r="T30" s="24" t="n">
        <v>33894.9240606826</v>
      </c>
      <c r="U30" s="24" t="n">
        <v>35663.154743023</v>
      </c>
      <c r="V30" s="24" t="n">
        <v>37215.6524964565</v>
      </c>
      <c r="W30" s="24" t="n">
        <v>38794.7093492074</v>
      </c>
      <c r="X30" s="24" t="n">
        <v>0</v>
      </c>
      <c r="Y30" s="7"/>
      <c r="Z30" s="7"/>
      <c r="AA30" s="7"/>
      <c r="AB30" s="33"/>
      <c r="AC30" s="33"/>
      <c r="AD30" s="32"/>
      <c r="AE30" s="32"/>
      <c r="AF30" s="32"/>
      <c r="AG30" s="32"/>
      <c r="AH30" s="32"/>
      <c r="AI30" s="32"/>
      <c r="AJ30" s="32"/>
      <c r="AK30" s="32"/>
      <c r="AL30" s="32"/>
      <c r="AM30" s="32"/>
      <c r="AN30" s="32"/>
      <c r="AO30" s="32"/>
      <c r="AP30" s="32"/>
      <c r="AQ30" s="32"/>
      <c r="AR30" s="32"/>
      <c r="AS30" s="32"/>
      <c r="AT30" s="32"/>
      <c r="AU30" s="32"/>
      <c r="AV30" s="32"/>
      <c r="AW30" s="32"/>
      <c r="AX30" s="32"/>
      <c r="AY30" s="32"/>
      <c r="AZ30" s="32"/>
      <c r="BA30" s="32"/>
      <c r="BB30" s="32"/>
      <c r="BC30" s="32"/>
      <c r="BD30" s="32"/>
      <c r="BE30" s="32"/>
      <c r="BF30" s="32"/>
      <c r="BG30" s="32"/>
      <c r="BH30" s="32"/>
      <c r="BI30" s="32"/>
      <c r="BJ30" s="32"/>
      <c r="BK30" s="32"/>
      <c r="BL30" s="32"/>
      <c r="BM30" s="32"/>
      <c r="BN30" s="32"/>
      <c r="BO30" s="32"/>
      <c r="BP30" s="32"/>
      <c r="BQ30" s="32"/>
      <c r="BR30" s="32"/>
      <c r="BS30" s="32"/>
      <c r="BT30" s="32"/>
      <c r="BU30" s="32"/>
      <c r="BV30" s="32"/>
      <c r="BW30" s="32"/>
      <c r="BX30" s="32"/>
      <c r="BY30" s="32"/>
      <c r="BZ30" s="32"/>
      <c r="CA30" s="32"/>
      <c r="CB30" s="32"/>
      <c r="CC30" s="32"/>
      <c r="CD30" s="32"/>
      <c r="CE30" s="32"/>
      <c r="CF30" s="32"/>
      <c r="CG30" s="32"/>
      <c r="CH30" s="32"/>
      <c r="CI30" s="32"/>
      <c r="CJ30" s="32"/>
      <c r="CK30" s="32"/>
      <c r="CL30" s="32"/>
      <c r="CM30" s="32"/>
      <c r="CN30" s="32"/>
      <c r="CO30" s="32"/>
      <c r="CP30" s="32"/>
      <c r="CQ30" s="32"/>
      <c r="CR30" s="32"/>
      <c r="CS30" s="32"/>
      <c r="CT30" s="32"/>
      <c r="CU30" s="32"/>
      <c r="CV30" s="32"/>
      <c r="CW30" s="32"/>
      <c r="CX30" s="32"/>
      <c r="CY30" s="32"/>
      <c r="CZ30" s="32"/>
      <c r="DA30" s="32"/>
      <c r="DB30" s="32"/>
      <c r="DC30" s="32"/>
      <c r="DD30" s="32"/>
      <c r="DE30" s="32"/>
      <c r="DF30" s="32"/>
      <c r="DG30" s="32"/>
      <c r="DH30" s="32"/>
      <c r="DI30" s="32"/>
      <c r="DJ30" s="32"/>
      <c r="DK30" s="32"/>
      <c r="DL30" s="32"/>
      <c r="DM30" s="32"/>
      <c r="DN30" s="32"/>
      <c r="DO30" s="32"/>
      <c r="DP30" s="32"/>
      <c r="DQ30" s="32"/>
      <c r="DR30" s="32"/>
      <c r="DS30" s="32"/>
      <c r="DT30" s="32"/>
      <c r="DU30" s="32"/>
      <c r="DV30" s="32"/>
      <c r="DW30" s="32"/>
      <c r="DX30" s="32"/>
      <c r="DY30" s="32"/>
      <c r="DZ30" s="32"/>
      <c r="EA30" s="32"/>
      <c r="EB30" s="32"/>
      <c r="EC30" s="32"/>
      <c r="ED30" s="32"/>
      <c r="EE30" s="32"/>
      <c r="EF30" s="32"/>
      <c r="EG30" s="32"/>
      <c r="EH30" s="32"/>
      <c r="EI30" s="32"/>
      <c r="EJ30" s="32"/>
      <c r="EK30" s="32"/>
      <c r="EL30" s="32"/>
      <c r="EM30" s="32"/>
      <c r="EN30" s="32"/>
      <c r="EO30" s="32"/>
      <c r="EP30" s="32"/>
      <c r="EQ30" s="32"/>
      <c r="ER30" s="32"/>
      <c r="ES30" s="32"/>
      <c r="ET30" s="32"/>
      <c r="EU30" s="32"/>
      <c r="EV30" s="32"/>
      <c r="EW30" s="32"/>
      <c r="EX30" s="32"/>
      <c r="EY30" s="32"/>
      <c r="EZ30" s="32"/>
      <c r="FA30" s="32"/>
      <c r="FB30" s="32"/>
      <c r="FC30" s="32"/>
      <c r="FD30" s="32"/>
      <c r="FE30" s="32"/>
      <c r="FF30" s="32"/>
      <c r="FG30" s="32"/>
      <c r="FH30" s="32"/>
      <c r="FI30" s="32"/>
      <c r="FJ30" s="32"/>
      <c r="FK30" s="32"/>
      <c r="FL30" s="32"/>
      <c r="FM30" s="32"/>
      <c r="FN30" s="32"/>
      <c r="FO30" s="32"/>
      <c r="FP30" s="32"/>
      <c r="FQ30" s="32"/>
      <c r="FR30" s="32"/>
      <c r="FS30" s="32"/>
      <c r="FT30" s="32"/>
      <c r="FU30" s="32"/>
      <c r="FV30" s="32"/>
      <c r="FW30" s="32"/>
      <c r="FX30" s="32"/>
      <c r="FY30" s="32"/>
      <c r="FZ30" s="32"/>
      <c r="GA30" s="32"/>
      <c r="GB30" s="32"/>
      <c r="GC30" s="32"/>
      <c r="GD30" s="32"/>
      <c r="GE30" s="32"/>
      <c r="GF30" s="32"/>
      <c r="GG30" s="32"/>
      <c r="GH30" s="32"/>
      <c r="GI30" s="32"/>
      <c r="GJ30" s="32"/>
      <c r="GK30" s="32"/>
      <c r="GL30" s="32"/>
      <c r="GM30" s="32"/>
      <c r="GN30" s="32"/>
      <c r="GO30" s="32"/>
      <c r="GP30" s="32"/>
      <c r="GQ30" s="32"/>
      <c r="GR30" s="32"/>
      <c r="GS30" s="32"/>
      <c r="GT30" s="32"/>
      <c r="GU30" s="32"/>
      <c r="GV30" s="32"/>
      <c r="GW30" s="32"/>
      <c r="GX30" s="32"/>
      <c r="GY30" s="32"/>
      <c r="GZ30" s="32"/>
      <c r="HA30" s="32"/>
      <c r="HB30" s="32"/>
      <c r="HC30" s="32"/>
      <c r="HD30" s="32"/>
      <c r="HE30" s="32"/>
      <c r="HF30" s="32"/>
      <c r="HG30" s="32"/>
      <c r="HH30" s="32"/>
      <c r="HI30" s="32"/>
      <c r="HJ30" s="32"/>
      <c r="HK30" s="32"/>
      <c r="HL30" s="32"/>
      <c r="HM30" s="32"/>
      <c r="HN30" s="32"/>
      <c r="HO30" s="32"/>
      <c r="HP30" s="32"/>
      <c r="HQ30" s="32"/>
      <c r="HR30" s="32"/>
      <c r="HS30" s="32"/>
      <c r="HT30" s="32"/>
      <c r="HU30" s="32"/>
      <c r="HV30" s="32"/>
      <c r="HW30" s="32"/>
      <c r="HX30" s="32"/>
      <c r="HY30" s="32"/>
      <c r="HZ30" s="32"/>
      <c r="IA30" s="32"/>
      <c r="IB30" s="32"/>
      <c r="IC30" s="32"/>
      <c r="ID30" s="32"/>
      <c r="IE30" s="32"/>
      <c r="IF30" s="32"/>
      <c r="IG30" s="32"/>
      <c r="IH30" s="32"/>
      <c r="II30" s="32"/>
      <c r="IJ30" s="32"/>
      <c r="IK30" s="32"/>
      <c r="IL30" s="32"/>
      <c r="IM30" s="32"/>
      <c r="IN30" s="32"/>
      <c r="IO30" s="32"/>
      <c r="IP30" s="32"/>
      <c r="IQ30" s="32"/>
      <c r="IR30" s="32"/>
      <c r="IS30" s="32"/>
      <c r="IT30" s="32"/>
      <c r="IU30" s="32"/>
      <c r="IV30" s="32"/>
      <c r="IW30" s="32"/>
    </row>
    <row r="31" customFormat="false" ht="12.75" hidden="false" customHeight="false" outlineLevel="1" collapsed="false">
      <c r="A31" s="25" t="s">
        <v>10</v>
      </c>
      <c r="B31" s="20" t="n">
        <f aca="false">NPV(0.1,D31:Y31)</f>
        <v>85076.7496919186</v>
      </c>
      <c r="C31" s="20" t="n">
        <f aca="false">B31-B21</f>
        <v>6687.84144274778</v>
      </c>
      <c r="D31" s="21" t="n">
        <v>122.229233585113</v>
      </c>
      <c r="E31" s="22" t="n">
        <v>304.014637815958</v>
      </c>
      <c r="F31" s="22" t="n">
        <v>355.402456292784</v>
      </c>
      <c r="G31" s="22" t="n">
        <v>6477.70218143932</v>
      </c>
      <c r="H31" s="22" t="n">
        <v>11405.1499445512</v>
      </c>
      <c r="I31" s="22" t="n">
        <v>12367.6788086943</v>
      </c>
      <c r="J31" s="22" t="n">
        <v>12988.5309526144</v>
      </c>
      <c r="K31" s="22" t="n">
        <v>13408.6218929004</v>
      </c>
      <c r="L31" s="22" t="n">
        <v>13910.1352569897</v>
      </c>
      <c r="M31" s="22" t="n">
        <v>14433.6049796616</v>
      </c>
      <c r="N31" s="23" t="n">
        <v>14980.4745018646</v>
      </c>
      <c r="O31" s="24" t="n">
        <v>15577.7062044415</v>
      </c>
      <c r="P31" s="24" t="n">
        <v>16278.6429018951</v>
      </c>
      <c r="Q31" s="24" t="n">
        <v>17017.3327088148</v>
      </c>
      <c r="R31" s="24" t="n">
        <v>17796.4549997722</v>
      </c>
      <c r="S31" s="24" t="n">
        <v>18541.8736368589</v>
      </c>
      <c r="T31" s="24" t="n">
        <v>19193.1793115395</v>
      </c>
      <c r="U31" s="24" t="n">
        <v>19874.2696861769</v>
      </c>
      <c r="V31" s="24" t="n">
        <v>20587.210420761</v>
      </c>
      <c r="W31" s="24" t="n">
        <v>21066.616577443</v>
      </c>
      <c r="X31" s="24" t="n">
        <v>0</v>
      </c>
      <c r="Y31" s="7"/>
      <c r="Z31" s="7"/>
      <c r="AA31" s="7"/>
      <c r="AB31" s="34"/>
      <c r="AC31" s="34"/>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c r="BL31" s="35"/>
      <c r="BM31" s="35"/>
      <c r="BN31" s="35"/>
      <c r="BO31" s="35"/>
      <c r="BP31" s="35"/>
      <c r="BQ31" s="35"/>
      <c r="BR31" s="35"/>
      <c r="BS31" s="35"/>
      <c r="BT31" s="35"/>
      <c r="BU31" s="35"/>
      <c r="BV31" s="35"/>
      <c r="BW31" s="35"/>
      <c r="BX31" s="35"/>
      <c r="BY31" s="35"/>
      <c r="BZ31" s="35"/>
      <c r="CA31" s="35"/>
      <c r="CB31" s="35"/>
      <c r="CC31" s="35"/>
      <c r="CD31" s="35"/>
      <c r="CE31" s="35"/>
      <c r="CF31" s="35"/>
      <c r="CG31" s="35"/>
      <c r="CH31" s="35"/>
      <c r="CI31" s="35"/>
      <c r="CJ31" s="35"/>
      <c r="CK31" s="35"/>
      <c r="CL31" s="35"/>
      <c r="CM31" s="35"/>
      <c r="CN31" s="35"/>
      <c r="CO31" s="35"/>
      <c r="CP31" s="35"/>
      <c r="CQ31" s="35"/>
      <c r="CR31" s="35"/>
      <c r="CS31" s="35"/>
      <c r="CT31" s="35"/>
      <c r="CU31" s="35"/>
      <c r="CV31" s="35"/>
      <c r="CW31" s="35"/>
      <c r="CX31" s="35"/>
      <c r="CY31" s="35"/>
      <c r="CZ31" s="35"/>
      <c r="DA31" s="35"/>
      <c r="DB31" s="35"/>
      <c r="DC31" s="35"/>
      <c r="DD31" s="35"/>
      <c r="DE31" s="35"/>
      <c r="DF31" s="35"/>
      <c r="DG31" s="35"/>
      <c r="DH31" s="35"/>
      <c r="DI31" s="35"/>
      <c r="DJ31" s="35"/>
      <c r="DK31" s="35"/>
      <c r="DL31" s="35"/>
      <c r="DM31" s="35"/>
      <c r="DN31" s="35"/>
      <c r="DO31" s="35"/>
      <c r="DP31" s="35"/>
      <c r="DQ31" s="35"/>
      <c r="DR31" s="35"/>
      <c r="DS31" s="35"/>
      <c r="DT31" s="35"/>
      <c r="DU31" s="35"/>
      <c r="DV31" s="35"/>
      <c r="DW31" s="35"/>
      <c r="DX31" s="35"/>
      <c r="DY31" s="35"/>
      <c r="DZ31" s="35"/>
      <c r="EA31" s="35"/>
      <c r="EB31" s="35"/>
      <c r="EC31" s="35"/>
      <c r="ED31" s="35"/>
      <c r="EE31" s="35"/>
      <c r="EF31" s="35"/>
      <c r="EG31" s="35"/>
      <c r="EH31" s="35"/>
      <c r="EI31" s="35"/>
      <c r="EJ31" s="35"/>
      <c r="EK31" s="35"/>
      <c r="EL31" s="35"/>
      <c r="EM31" s="35"/>
      <c r="EN31" s="35"/>
      <c r="EO31" s="35"/>
      <c r="EP31" s="35"/>
      <c r="EQ31" s="35"/>
      <c r="ER31" s="35"/>
      <c r="ES31" s="35"/>
      <c r="ET31" s="35"/>
      <c r="EU31" s="35"/>
      <c r="EV31" s="35"/>
      <c r="EW31" s="35"/>
      <c r="EX31" s="35"/>
      <c r="EY31" s="35"/>
      <c r="EZ31" s="35"/>
      <c r="FA31" s="35"/>
      <c r="FB31" s="35"/>
      <c r="FC31" s="35"/>
      <c r="FD31" s="35"/>
      <c r="FE31" s="35"/>
      <c r="FF31" s="35"/>
      <c r="FG31" s="35"/>
      <c r="FH31" s="35"/>
      <c r="FI31" s="35"/>
      <c r="FJ31" s="35"/>
      <c r="FK31" s="35"/>
      <c r="FL31" s="35"/>
      <c r="FM31" s="35"/>
      <c r="FN31" s="35"/>
      <c r="FO31" s="35"/>
      <c r="FP31" s="35"/>
      <c r="FQ31" s="35"/>
      <c r="FR31" s="35"/>
      <c r="FS31" s="35"/>
      <c r="FT31" s="35"/>
      <c r="FU31" s="35"/>
      <c r="FV31" s="35"/>
      <c r="FW31" s="35"/>
      <c r="FX31" s="35"/>
      <c r="FY31" s="35"/>
      <c r="FZ31" s="35"/>
      <c r="GA31" s="35"/>
      <c r="GB31" s="35"/>
      <c r="GC31" s="35"/>
      <c r="GD31" s="35"/>
      <c r="GE31" s="35"/>
      <c r="GF31" s="35"/>
      <c r="GG31" s="35"/>
      <c r="GH31" s="35"/>
      <c r="GI31" s="35"/>
      <c r="GJ31" s="35"/>
      <c r="GK31" s="35"/>
      <c r="GL31" s="35"/>
      <c r="GM31" s="35"/>
      <c r="GN31" s="35"/>
      <c r="GO31" s="35"/>
      <c r="GP31" s="35"/>
      <c r="GQ31" s="35"/>
      <c r="GR31" s="35"/>
      <c r="GS31" s="35"/>
      <c r="GT31" s="35"/>
      <c r="GU31" s="35"/>
      <c r="GV31" s="35"/>
      <c r="GW31" s="35"/>
      <c r="GX31" s="35"/>
      <c r="GY31" s="35"/>
      <c r="GZ31" s="35"/>
      <c r="HA31" s="35"/>
      <c r="HB31" s="35"/>
      <c r="HC31" s="35"/>
      <c r="HD31" s="35"/>
      <c r="HE31" s="35"/>
      <c r="HF31" s="35"/>
      <c r="HG31" s="35"/>
      <c r="HH31" s="35"/>
      <c r="HI31" s="35"/>
      <c r="HJ31" s="35"/>
      <c r="HK31" s="35"/>
      <c r="HL31" s="35"/>
      <c r="HM31" s="35"/>
      <c r="HN31" s="35"/>
      <c r="HO31" s="35"/>
      <c r="HP31" s="35"/>
      <c r="HQ31" s="35"/>
      <c r="HR31" s="35"/>
      <c r="HS31" s="35"/>
      <c r="HT31" s="35"/>
      <c r="HU31" s="35"/>
      <c r="HV31" s="35"/>
      <c r="HW31" s="35"/>
      <c r="HX31" s="35"/>
      <c r="HY31" s="35"/>
      <c r="HZ31" s="35"/>
      <c r="IA31" s="35"/>
      <c r="IB31" s="35"/>
      <c r="IC31" s="35"/>
      <c r="ID31" s="35"/>
      <c r="IE31" s="35"/>
      <c r="IF31" s="35"/>
      <c r="IG31" s="35"/>
      <c r="IH31" s="35"/>
      <c r="II31" s="35"/>
      <c r="IJ31" s="35"/>
      <c r="IK31" s="35"/>
      <c r="IL31" s="35"/>
      <c r="IM31" s="35"/>
      <c r="IN31" s="35"/>
      <c r="IO31" s="35"/>
      <c r="IP31" s="35"/>
      <c r="IQ31" s="35"/>
      <c r="IR31" s="35"/>
      <c r="IS31" s="35"/>
      <c r="IT31" s="35"/>
      <c r="IU31" s="35"/>
      <c r="IV31" s="35"/>
      <c r="IW31" s="35"/>
    </row>
    <row r="32" customFormat="false" ht="12.75" hidden="false" customHeight="false" outlineLevel="1" collapsed="false">
      <c r="A32" s="25" t="s">
        <v>11</v>
      </c>
      <c r="B32" s="20" t="n">
        <f aca="false">NPV(0.1,D32:Y32)</f>
        <v>100759.501764103</v>
      </c>
      <c r="C32" s="20" t="n">
        <f aca="false">B32-B22</f>
        <v>3790.64941000017</v>
      </c>
      <c r="D32" s="26" t="n">
        <v>2741.36298081261</v>
      </c>
      <c r="E32" s="27" t="n">
        <v>4384.31603560582</v>
      </c>
      <c r="F32" s="27" t="n">
        <v>4383.89358657684</v>
      </c>
      <c r="G32" s="27" t="n">
        <v>16858.5584429786</v>
      </c>
      <c r="H32" s="27" t="n">
        <v>21073.4358642603</v>
      </c>
      <c r="I32" s="27" t="n">
        <v>15309.5778290912</v>
      </c>
      <c r="J32" s="27" t="n">
        <v>15127.4357645492</v>
      </c>
      <c r="K32" s="27" t="n">
        <v>15035.07445825</v>
      </c>
      <c r="L32" s="27" t="n">
        <v>14973.4895023815</v>
      </c>
      <c r="M32" s="27" t="n">
        <v>14904.2878168226</v>
      </c>
      <c r="N32" s="28" t="n">
        <v>14802.1432201752</v>
      </c>
      <c r="O32" s="24" t="n">
        <v>14651.7304163529</v>
      </c>
      <c r="P32" s="24" t="n">
        <v>14533.3019051135</v>
      </c>
      <c r="Q32" s="24" t="n">
        <v>14400.1999754514</v>
      </c>
      <c r="R32" s="24" t="n">
        <v>14226.4097269419</v>
      </c>
      <c r="S32" s="24" t="n">
        <v>10877.5736555774</v>
      </c>
      <c r="T32" s="24" t="n">
        <v>10132.6065680029</v>
      </c>
      <c r="U32" s="24" t="n">
        <v>9792.33337602671</v>
      </c>
      <c r="V32" s="24" t="n">
        <v>9413.61188529513</v>
      </c>
      <c r="W32" s="24" t="n">
        <v>15467.8030275279</v>
      </c>
      <c r="X32" s="24" t="n">
        <v>0</v>
      </c>
      <c r="Y32" s="7"/>
      <c r="Z32" s="7"/>
      <c r="AA32" s="7"/>
      <c r="AB32" s="34"/>
      <c r="AC32" s="34"/>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c r="BS32" s="35"/>
      <c r="BT32" s="35"/>
      <c r="BU32" s="35"/>
      <c r="BV32" s="35"/>
      <c r="BW32" s="35"/>
      <c r="BX32" s="35"/>
      <c r="BY32" s="35"/>
      <c r="BZ32" s="35"/>
      <c r="CA32" s="35"/>
      <c r="CB32" s="35"/>
      <c r="CC32" s="35"/>
      <c r="CD32" s="35"/>
      <c r="CE32" s="35"/>
      <c r="CF32" s="35"/>
      <c r="CG32" s="35"/>
      <c r="CH32" s="35"/>
      <c r="CI32" s="35"/>
      <c r="CJ32" s="35"/>
      <c r="CK32" s="35"/>
      <c r="CL32" s="35"/>
      <c r="CM32" s="35"/>
      <c r="CN32" s="35"/>
      <c r="CO32" s="35"/>
      <c r="CP32" s="35"/>
      <c r="CQ32" s="35"/>
      <c r="CR32" s="35"/>
      <c r="CS32" s="35"/>
      <c r="CT32" s="35"/>
      <c r="CU32" s="35"/>
      <c r="CV32" s="35"/>
      <c r="CW32" s="35"/>
      <c r="CX32" s="35"/>
      <c r="CY32" s="35"/>
      <c r="CZ32" s="35"/>
      <c r="DA32" s="35"/>
      <c r="DB32" s="35"/>
      <c r="DC32" s="35"/>
      <c r="DD32" s="35"/>
      <c r="DE32" s="35"/>
      <c r="DF32" s="35"/>
      <c r="DG32" s="35"/>
      <c r="DH32" s="35"/>
      <c r="DI32" s="35"/>
      <c r="DJ32" s="35"/>
      <c r="DK32" s="35"/>
      <c r="DL32" s="35"/>
      <c r="DM32" s="35"/>
      <c r="DN32" s="35"/>
      <c r="DO32" s="35"/>
      <c r="DP32" s="35"/>
      <c r="DQ32" s="35"/>
      <c r="DR32" s="35"/>
      <c r="DS32" s="35"/>
      <c r="DT32" s="35"/>
      <c r="DU32" s="35"/>
      <c r="DV32" s="35"/>
      <c r="DW32" s="35"/>
      <c r="DX32" s="35"/>
      <c r="DY32" s="35"/>
      <c r="DZ32" s="35"/>
      <c r="EA32" s="35"/>
      <c r="EB32" s="35"/>
      <c r="EC32" s="35"/>
      <c r="ED32" s="35"/>
      <c r="EE32" s="35"/>
      <c r="EF32" s="35"/>
      <c r="EG32" s="35"/>
      <c r="EH32" s="35"/>
      <c r="EI32" s="35"/>
      <c r="EJ32" s="35"/>
      <c r="EK32" s="35"/>
      <c r="EL32" s="35"/>
      <c r="EM32" s="35"/>
      <c r="EN32" s="35"/>
      <c r="EO32" s="35"/>
      <c r="EP32" s="35"/>
      <c r="EQ32" s="35"/>
      <c r="ER32" s="35"/>
      <c r="ES32" s="35"/>
      <c r="ET32" s="35"/>
      <c r="EU32" s="35"/>
      <c r="EV32" s="35"/>
      <c r="EW32" s="35"/>
      <c r="EX32" s="35"/>
      <c r="EY32" s="35"/>
      <c r="EZ32" s="35"/>
      <c r="FA32" s="35"/>
      <c r="FB32" s="35"/>
      <c r="FC32" s="35"/>
      <c r="FD32" s="35"/>
      <c r="FE32" s="35"/>
      <c r="FF32" s="35"/>
      <c r="FG32" s="35"/>
      <c r="FH32" s="35"/>
      <c r="FI32" s="35"/>
      <c r="FJ32" s="35"/>
      <c r="FK32" s="35"/>
      <c r="FL32" s="35"/>
      <c r="FM32" s="35"/>
      <c r="FN32" s="35"/>
      <c r="FO32" s="35"/>
      <c r="FP32" s="35"/>
      <c r="FQ32" s="35"/>
      <c r="FR32" s="35"/>
      <c r="FS32" s="35"/>
      <c r="FT32" s="35"/>
      <c r="FU32" s="35"/>
      <c r="FV32" s="35"/>
      <c r="FW32" s="35"/>
      <c r="FX32" s="35"/>
      <c r="FY32" s="35"/>
      <c r="FZ32" s="35"/>
      <c r="GA32" s="35"/>
      <c r="GB32" s="35"/>
      <c r="GC32" s="35"/>
      <c r="GD32" s="35"/>
      <c r="GE32" s="35"/>
      <c r="GF32" s="35"/>
      <c r="GG32" s="35"/>
      <c r="GH32" s="35"/>
      <c r="GI32" s="35"/>
      <c r="GJ32" s="35"/>
      <c r="GK32" s="35"/>
      <c r="GL32" s="35"/>
      <c r="GM32" s="35"/>
      <c r="GN32" s="35"/>
      <c r="GO32" s="35"/>
      <c r="GP32" s="35"/>
      <c r="GQ32" s="35"/>
      <c r="GR32" s="35"/>
      <c r="GS32" s="35"/>
      <c r="GT32" s="35"/>
      <c r="GU32" s="35"/>
      <c r="GV32" s="35"/>
      <c r="GW32" s="35"/>
      <c r="GX32" s="35"/>
      <c r="GY32" s="35"/>
      <c r="GZ32" s="35"/>
      <c r="HA32" s="35"/>
      <c r="HB32" s="35"/>
      <c r="HC32" s="35"/>
      <c r="HD32" s="35"/>
      <c r="HE32" s="35"/>
      <c r="HF32" s="35"/>
      <c r="HG32" s="35"/>
      <c r="HH32" s="35"/>
      <c r="HI32" s="35"/>
      <c r="HJ32" s="35"/>
      <c r="HK32" s="35"/>
      <c r="HL32" s="35"/>
      <c r="HM32" s="35"/>
      <c r="HN32" s="35"/>
      <c r="HO32" s="35"/>
      <c r="HP32" s="35"/>
      <c r="HQ32" s="35"/>
      <c r="HR32" s="35"/>
      <c r="HS32" s="35"/>
      <c r="HT32" s="35"/>
      <c r="HU32" s="35"/>
      <c r="HV32" s="35"/>
      <c r="HW32" s="35"/>
      <c r="HX32" s="35"/>
      <c r="HY32" s="35"/>
      <c r="HZ32" s="35"/>
      <c r="IA32" s="35"/>
      <c r="IB32" s="35"/>
      <c r="IC32" s="35"/>
      <c r="ID32" s="35"/>
      <c r="IE32" s="35"/>
      <c r="IF32" s="35"/>
      <c r="IG32" s="35"/>
      <c r="IH32" s="35"/>
      <c r="II32" s="35"/>
      <c r="IJ32" s="35"/>
      <c r="IK32" s="35"/>
      <c r="IL32" s="35"/>
      <c r="IM32" s="35"/>
      <c r="IN32" s="35"/>
      <c r="IO32" s="35"/>
      <c r="IP32" s="35"/>
      <c r="IQ32" s="35"/>
      <c r="IR32" s="35"/>
      <c r="IS32" s="35"/>
      <c r="IT32" s="35"/>
      <c r="IU32" s="35"/>
      <c r="IV32" s="35"/>
      <c r="IW32" s="35"/>
    </row>
    <row r="33" customFormat="false" ht="12.75" hidden="false" customHeight="false" outlineLevel="1" collapsed="false">
      <c r="A33" s="7"/>
      <c r="B33" s="7"/>
      <c r="C33" s="35"/>
      <c r="D33" s="7"/>
      <c r="E33" s="7"/>
      <c r="F33" s="7"/>
      <c r="G33" s="7"/>
      <c r="H33" s="7"/>
      <c r="I33" s="7"/>
      <c r="J33" s="7"/>
      <c r="K33" s="7"/>
      <c r="L33" s="7"/>
      <c r="M33" s="7"/>
      <c r="N33" s="7"/>
      <c r="O33" s="7"/>
      <c r="P33" s="7"/>
      <c r="Q33" s="7"/>
      <c r="R33" s="7"/>
      <c r="S33" s="7"/>
      <c r="T33" s="7"/>
      <c r="U33" s="7"/>
      <c r="V33" s="7"/>
      <c r="W33" s="7"/>
      <c r="X33" s="7"/>
      <c r="Y33" s="7"/>
      <c r="Z33" s="7"/>
      <c r="AA33" s="7"/>
      <c r="AB33" s="34"/>
      <c r="AC33" s="34"/>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5"/>
      <c r="BO33" s="35"/>
      <c r="BP33" s="35"/>
      <c r="BQ33" s="35"/>
      <c r="BR33" s="35"/>
      <c r="BS33" s="35"/>
      <c r="BT33" s="35"/>
      <c r="BU33" s="35"/>
      <c r="BV33" s="35"/>
      <c r="BW33" s="35"/>
      <c r="BX33" s="35"/>
      <c r="BY33" s="35"/>
      <c r="BZ33" s="35"/>
      <c r="CA33" s="35"/>
      <c r="CB33" s="35"/>
      <c r="CC33" s="35"/>
      <c r="CD33" s="35"/>
      <c r="CE33" s="35"/>
      <c r="CF33" s="35"/>
      <c r="CG33" s="35"/>
      <c r="CH33" s="35"/>
      <c r="CI33" s="35"/>
      <c r="CJ33" s="35"/>
      <c r="CK33" s="35"/>
      <c r="CL33" s="35"/>
      <c r="CM33" s="35"/>
      <c r="CN33" s="35"/>
      <c r="CO33" s="35"/>
      <c r="CP33" s="35"/>
      <c r="CQ33" s="35"/>
      <c r="CR33" s="35"/>
      <c r="CS33" s="35"/>
      <c r="CT33" s="35"/>
      <c r="CU33" s="35"/>
      <c r="CV33" s="35"/>
      <c r="CW33" s="35"/>
      <c r="CX33" s="35"/>
      <c r="CY33" s="35"/>
      <c r="CZ33" s="35"/>
      <c r="DA33" s="35"/>
      <c r="DB33" s="35"/>
      <c r="DC33" s="35"/>
      <c r="DD33" s="35"/>
      <c r="DE33" s="35"/>
      <c r="DF33" s="35"/>
      <c r="DG33" s="35"/>
      <c r="DH33" s="35"/>
      <c r="DI33" s="35"/>
      <c r="DJ33" s="35"/>
      <c r="DK33" s="35"/>
      <c r="DL33" s="35"/>
      <c r="DM33" s="35"/>
      <c r="DN33" s="35"/>
      <c r="DO33" s="35"/>
      <c r="DP33" s="35"/>
      <c r="DQ33" s="35"/>
      <c r="DR33" s="35"/>
      <c r="DS33" s="35"/>
      <c r="DT33" s="35"/>
      <c r="DU33" s="35"/>
      <c r="DV33" s="35"/>
      <c r="DW33" s="35"/>
      <c r="DX33" s="35"/>
      <c r="DY33" s="35"/>
      <c r="DZ33" s="35"/>
      <c r="EA33" s="35"/>
      <c r="EB33" s="35"/>
      <c r="EC33" s="35"/>
      <c r="ED33" s="35"/>
      <c r="EE33" s="35"/>
      <c r="EF33" s="35"/>
      <c r="EG33" s="35"/>
      <c r="EH33" s="35"/>
      <c r="EI33" s="35"/>
      <c r="EJ33" s="35"/>
      <c r="EK33" s="35"/>
      <c r="EL33" s="35"/>
      <c r="EM33" s="35"/>
      <c r="EN33" s="35"/>
      <c r="EO33" s="35"/>
      <c r="EP33" s="35"/>
      <c r="EQ33" s="35"/>
      <c r="ER33" s="35"/>
      <c r="ES33" s="35"/>
      <c r="ET33" s="35"/>
      <c r="EU33" s="35"/>
      <c r="EV33" s="35"/>
      <c r="EW33" s="35"/>
      <c r="EX33" s="35"/>
      <c r="EY33" s="35"/>
      <c r="EZ33" s="35"/>
      <c r="FA33" s="35"/>
      <c r="FB33" s="35"/>
      <c r="FC33" s="35"/>
      <c r="FD33" s="35"/>
      <c r="FE33" s="35"/>
      <c r="FF33" s="35"/>
      <c r="FG33" s="35"/>
      <c r="FH33" s="35"/>
      <c r="FI33" s="35"/>
      <c r="FJ33" s="35"/>
      <c r="FK33" s="35"/>
      <c r="FL33" s="35"/>
      <c r="FM33" s="35"/>
      <c r="FN33" s="35"/>
      <c r="FO33" s="35"/>
      <c r="FP33" s="35"/>
      <c r="FQ33" s="35"/>
      <c r="FR33" s="35"/>
      <c r="FS33" s="35"/>
      <c r="FT33" s="35"/>
      <c r="FU33" s="35"/>
      <c r="FV33" s="35"/>
      <c r="FW33" s="35"/>
      <c r="FX33" s="35"/>
      <c r="FY33" s="35"/>
      <c r="FZ33" s="35"/>
      <c r="GA33" s="35"/>
      <c r="GB33" s="35"/>
      <c r="GC33" s="35"/>
      <c r="GD33" s="35"/>
      <c r="GE33" s="35"/>
      <c r="GF33" s="35"/>
      <c r="GG33" s="35"/>
      <c r="GH33" s="35"/>
      <c r="GI33" s="35"/>
      <c r="GJ33" s="35"/>
      <c r="GK33" s="35"/>
      <c r="GL33" s="35"/>
      <c r="GM33" s="35"/>
      <c r="GN33" s="35"/>
      <c r="GO33" s="35"/>
      <c r="GP33" s="35"/>
      <c r="GQ33" s="35"/>
      <c r="GR33" s="35"/>
      <c r="GS33" s="35"/>
      <c r="GT33" s="35"/>
      <c r="GU33" s="35"/>
      <c r="GV33" s="35"/>
      <c r="GW33" s="35"/>
      <c r="GX33" s="35"/>
      <c r="GY33" s="35"/>
      <c r="GZ33" s="35"/>
      <c r="HA33" s="35"/>
      <c r="HB33" s="35"/>
      <c r="HC33" s="35"/>
      <c r="HD33" s="35"/>
      <c r="HE33" s="35"/>
      <c r="HF33" s="35"/>
      <c r="HG33" s="35"/>
      <c r="HH33" s="35"/>
      <c r="HI33" s="35"/>
      <c r="HJ33" s="35"/>
      <c r="HK33" s="35"/>
      <c r="HL33" s="35"/>
      <c r="HM33" s="35"/>
      <c r="HN33" s="35"/>
      <c r="HO33" s="35"/>
      <c r="HP33" s="35"/>
      <c r="HQ33" s="35"/>
      <c r="HR33" s="35"/>
      <c r="HS33" s="35"/>
      <c r="HT33" s="35"/>
      <c r="HU33" s="35"/>
      <c r="HV33" s="35"/>
      <c r="HW33" s="35"/>
      <c r="HX33" s="35"/>
      <c r="HY33" s="35"/>
      <c r="HZ33" s="35"/>
      <c r="IA33" s="35"/>
      <c r="IB33" s="35"/>
      <c r="IC33" s="35"/>
      <c r="ID33" s="35"/>
      <c r="IE33" s="35"/>
      <c r="IF33" s="35"/>
      <c r="IG33" s="35"/>
      <c r="IH33" s="35"/>
      <c r="II33" s="35"/>
      <c r="IJ33" s="35"/>
      <c r="IK33" s="35"/>
      <c r="IL33" s="35"/>
      <c r="IM33" s="35"/>
      <c r="IN33" s="35"/>
      <c r="IO33" s="35"/>
      <c r="IP33" s="35"/>
      <c r="IQ33" s="35"/>
      <c r="IR33" s="35"/>
      <c r="IS33" s="35"/>
      <c r="IT33" s="35"/>
      <c r="IU33" s="35"/>
      <c r="IV33" s="35"/>
      <c r="IW33" s="35"/>
    </row>
    <row r="34" customFormat="false" ht="12.75" hidden="false" customHeight="false" outlineLevel="1" collapsed="false">
      <c r="A34" s="29" t="s">
        <v>14</v>
      </c>
      <c r="B34" s="7"/>
      <c r="C34" s="35"/>
      <c r="D34" s="7"/>
      <c r="E34" s="7"/>
      <c r="F34" s="7"/>
      <c r="G34" s="7"/>
      <c r="H34" s="7"/>
      <c r="I34" s="7"/>
      <c r="J34" s="7"/>
      <c r="K34" s="7"/>
      <c r="L34" s="7"/>
      <c r="M34" s="7"/>
      <c r="N34" s="7"/>
      <c r="O34" s="7"/>
      <c r="P34" s="7"/>
      <c r="Q34" s="7"/>
      <c r="R34" s="7"/>
      <c r="S34" s="7"/>
      <c r="T34" s="7"/>
      <c r="U34" s="7"/>
      <c r="V34" s="7"/>
      <c r="W34" s="7"/>
      <c r="X34" s="7"/>
      <c r="Y34" s="7"/>
      <c r="Z34" s="7"/>
      <c r="AA34" s="7"/>
      <c r="AB34" s="34"/>
      <c r="AC34" s="34"/>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c r="BQ34" s="35"/>
      <c r="BR34" s="35"/>
      <c r="BS34" s="35"/>
      <c r="BT34" s="35"/>
      <c r="BU34" s="35"/>
      <c r="BV34" s="35"/>
      <c r="BW34" s="35"/>
      <c r="BX34" s="35"/>
      <c r="BY34" s="35"/>
      <c r="BZ34" s="35"/>
      <c r="CA34" s="35"/>
      <c r="CB34" s="35"/>
      <c r="CC34" s="35"/>
      <c r="CD34" s="35"/>
      <c r="CE34" s="35"/>
      <c r="CF34" s="35"/>
      <c r="CG34" s="35"/>
      <c r="CH34" s="35"/>
      <c r="CI34" s="35"/>
      <c r="CJ34" s="35"/>
      <c r="CK34" s="35"/>
      <c r="CL34" s="35"/>
      <c r="CM34" s="35"/>
      <c r="CN34" s="35"/>
      <c r="CO34" s="35"/>
      <c r="CP34" s="35"/>
      <c r="CQ34" s="35"/>
      <c r="CR34" s="35"/>
      <c r="CS34" s="35"/>
      <c r="CT34" s="35"/>
      <c r="CU34" s="35"/>
      <c r="CV34" s="35"/>
      <c r="CW34" s="35"/>
      <c r="CX34" s="35"/>
      <c r="CY34" s="35"/>
      <c r="CZ34" s="35"/>
      <c r="DA34" s="35"/>
      <c r="DB34" s="35"/>
      <c r="DC34" s="35"/>
      <c r="DD34" s="35"/>
      <c r="DE34" s="35"/>
      <c r="DF34" s="35"/>
      <c r="DG34" s="35"/>
      <c r="DH34" s="35"/>
      <c r="DI34" s="35"/>
      <c r="DJ34" s="35"/>
      <c r="DK34" s="35"/>
      <c r="DL34" s="35"/>
      <c r="DM34" s="35"/>
      <c r="DN34" s="35"/>
      <c r="DO34" s="35"/>
      <c r="DP34" s="35"/>
      <c r="DQ34" s="35"/>
      <c r="DR34" s="35"/>
      <c r="DS34" s="35"/>
      <c r="DT34" s="35"/>
      <c r="DU34" s="35"/>
      <c r="DV34" s="35"/>
      <c r="DW34" s="35"/>
      <c r="DX34" s="35"/>
      <c r="DY34" s="35"/>
      <c r="DZ34" s="35"/>
      <c r="EA34" s="35"/>
      <c r="EB34" s="35"/>
      <c r="EC34" s="35"/>
      <c r="ED34" s="35"/>
      <c r="EE34" s="35"/>
      <c r="EF34" s="35"/>
      <c r="EG34" s="35"/>
      <c r="EH34" s="35"/>
      <c r="EI34" s="35"/>
      <c r="EJ34" s="35"/>
      <c r="EK34" s="35"/>
      <c r="EL34" s="35"/>
      <c r="EM34" s="35"/>
      <c r="EN34" s="35"/>
      <c r="EO34" s="35"/>
      <c r="EP34" s="35"/>
      <c r="EQ34" s="35"/>
      <c r="ER34" s="35"/>
      <c r="ES34" s="35"/>
      <c r="ET34" s="35"/>
      <c r="EU34" s="35"/>
      <c r="EV34" s="35"/>
      <c r="EW34" s="35"/>
      <c r="EX34" s="35"/>
      <c r="EY34" s="35"/>
      <c r="EZ34" s="35"/>
      <c r="FA34" s="35"/>
      <c r="FB34" s="35"/>
      <c r="FC34" s="35"/>
      <c r="FD34" s="35"/>
      <c r="FE34" s="35"/>
      <c r="FF34" s="35"/>
      <c r="FG34" s="35"/>
      <c r="FH34" s="35"/>
      <c r="FI34" s="35"/>
      <c r="FJ34" s="35"/>
      <c r="FK34" s="35"/>
      <c r="FL34" s="35"/>
      <c r="FM34" s="35"/>
      <c r="FN34" s="35"/>
      <c r="FO34" s="35"/>
      <c r="FP34" s="35"/>
      <c r="FQ34" s="35"/>
      <c r="FR34" s="35"/>
      <c r="FS34" s="35"/>
      <c r="FT34" s="35"/>
      <c r="FU34" s="35"/>
      <c r="FV34" s="35"/>
      <c r="FW34" s="35"/>
      <c r="FX34" s="35"/>
      <c r="FY34" s="35"/>
      <c r="FZ34" s="35"/>
      <c r="GA34" s="35"/>
      <c r="GB34" s="35"/>
      <c r="GC34" s="35"/>
      <c r="GD34" s="35"/>
      <c r="GE34" s="35"/>
      <c r="GF34" s="35"/>
      <c r="GG34" s="35"/>
      <c r="GH34" s="35"/>
      <c r="GI34" s="35"/>
      <c r="GJ34" s="35"/>
      <c r="GK34" s="35"/>
      <c r="GL34" s="35"/>
      <c r="GM34" s="35"/>
      <c r="GN34" s="35"/>
      <c r="GO34" s="35"/>
      <c r="GP34" s="35"/>
      <c r="GQ34" s="35"/>
      <c r="GR34" s="35"/>
      <c r="GS34" s="35"/>
      <c r="GT34" s="35"/>
      <c r="GU34" s="35"/>
      <c r="GV34" s="35"/>
      <c r="GW34" s="35"/>
      <c r="GX34" s="35"/>
      <c r="GY34" s="35"/>
      <c r="GZ34" s="35"/>
      <c r="HA34" s="35"/>
      <c r="HB34" s="35"/>
      <c r="HC34" s="35"/>
      <c r="HD34" s="35"/>
      <c r="HE34" s="35"/>
      <c r="HF34" s="35"/>
      <c r="HG34" s="35"/>
      <c r="HH34" s="35"/>
      <c r="HI34" s="35"/>
      <c r="HJ34" s="35"/>
      <c r="HK34" s="35"/>
      <c r="HL34" s="35"/>
      <c r="HM34" s="35"/>
      <c r="HN34" s="35"/>
      <c r="HO34" s="35"/>
      <c r="HP34" s="35"/>
      <c r="HQ34" s="35"/>
      <c r="HR34" s="35"/>
      <c r="HS34" s="35"/>
      <c r="HT34" s="35"/>
      <c r="HU34" s="35"/>
      <c r="HV34" s="35"/>
      <c r="HW34" s="35"/>
      <c r="HX34" s="35"/>
      <c r="HY34" s="35"/>
      <c r="HZ34" s="35"/>
      <c r="IA34" s="35"/>
      <c r="IB34" s="35"/>
      <c r="IC34" s="35"/>
      <c r="ID34" s="35"/>
      <c r="IE34" s="35"/>
      <c r="IF34" s="35"/>
      <c r="IG34" s="35"/>
      <c r="IH34" s="35"/>
      <c r="II34" s="35"/>
      <c r="IJ34" s="35"/>
      <c r="IK34" s="35"/>
      <c r="IL34" s="35"/>
      <c r="IM34" s="35"/>
      <c r="IN34" s="35"/>
      <c r="IO34" s="35"/>
      <c r="IP34" s="35"/>
      <c r="IQ34" s="35"/>
      <c r="IR34" s="35"/>
      <c r="IS34" s="35"/>
      <c r="IT34" s="35"/>
      <c r="IU34" s="35"/>
      <c r="IV34" s="35"/>
      <c r="IW34" s="35"/>
    </row>
    <row r="35" customFormat="false" ht="12.75" hidden="false" customHeight="false" outlineLevel="1" collapsed="false">
      <c r="A35" s="7"/>
      <c r="B35" s="7"/>
      <c r="C35" s="35"/>
      <c r="D35" s="7"/>
      <c r="E35" s="7"/>
      <c r="F35" s="7"/>
      <c r="G35" s="7"/>
      <c r="H35" s="7"/>
      <c r="I35" s="7"/>
      <c r="J35" s="7"/>
      <c r="K35" s="7"/>
      <c r="L35" s="7"/>
      <c r="M35" s="7"/>
      <c r="N35" s="7"/>
      <c r="O35" s="7"/>
      <c r="P35" s="7"/>
      <c r="Q35" s="7"/>
      <c r="R35" s="7"/>
      <c r="S35" s="7"/>
      <c r="T35" s="7"/>
      <c r="U35" s="7"/>
      <c r="V35" s="7"/>
      <c r="W35" s="7"/>
      <c r="X35" s="7"/>
      <c r="Y35" s="7"/>
      <c r="Z35" s="7"/>
      <c r="AA35" s="7"/>
      <c r="AB35" s="34"/>
      <c r="AC35" s="34"/>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c r="BS35" s="35"/>
      <c r="BT35" s="35"/>
      <c r="BU35" s="35"/>
      <c r="BV35" s="35"/>
      <c r="BW35" s="35"/>
      <c r="BX35" s="35"/>
      <c r="BY35" s="35"/>
      <c r="BZ35" s="35"/>
      <c r="CA35" s="35"/>
      <c r="CB35" s="35"/>
      <c r="CC35" s="35"/>
      <c r="CD35" s="35"/>
      <c r="CE35" s="35"/>
      <c r="CF35" s="35"/>
      <c r="CG35" s="35"/>
      <c r="CH35" s="35"/>
      <c r="CI35" s="35"/>
      <c r="CJ35" s="35"/>
      <c r="CK35" s="35"/>
      <c r="CL35" s="35"/>
      <c r="CM35" s="35"/>
      <c r="CN35" s="35"/>
      <c r="CO35" s="35"/>
      <c r="CP35" s="35"/>
      <c r="CQ35" s="35"/>
      <c r="CR35" s="35"/>
      <c r="CS35" s="35"/>
      <c r="CT35" s="35"/>
      <c r="CU35" s="35"/>
      <c r="CV35" s="35"/>
      <c r="CW35" s="35"/>
      <c r="CX35" s="35"/>
      <c r="CY35" s="35"/>
      <c r="CZ35" s="35"/>
      <c r="DA35" s="35"/>
      <c r="DB35" s="35"/>
      <c r="DC35" s="35"/>
      <c r="DD35" s="35"/>
      <c r="DE35" s="35"/>
      <c r="DF35" s="35"/>
      <c r="DG35" s="35"/>
      <c r="DH35" s="35"/>
      <c r="DI35" s="35"/>
      <c r="DJ35" s="35"/>
      <c r="DK35" s="35"/>
      <c r="DL35" s="35"/>
      <c r="DM35" s="35"/>
      <c r="DN35" s="35"/>
      <c r="DO35" s="35"/>
      <c r="DP35" s="35"/>
      <c r="DQ35" s="35"/>
      <c r="DR35" s="35"/>
      <c r="DS35" s="35"/>
      <c r="DT35" s="35"/>
      <c r="DU35" s="35"/>
      <c r="DV35" s="35"/>
      <c r="DW35" s="35"/>
      <c r="DX35" s="35"/>
      <c r="DY35" s="35"/>
      <c r="DZ35" s="35"/>
      <c r="EA35" s="35"/>
      <c r="EB35" s="35"/>
      <c r="EC35" s="35"/>
      <c r="ED35" s="35"/>
      <c r="EE35" s="35"/>
      <c r="EF35" s="35"/>
      <c r="EG35" s="35"/>
      <c r="EH35" s="35"/>
      <c r="EI35" s="35"/>
      <c r="EJ35" s="35"/>
      <c r="EK35" s="35"/>
      <c r="EL35" s="35"/>
      <c r="EM35" s="35"/>
      <c r="EN35" s="35"/>
      <c r="EO35" s="35"/>
      <c r="EP35" s="35"/>
      <c r="EQ35" s="35"/>
      <c r="ER35" s="35"/>
      <c r="ES35" s="35"/>
      <c r="ET35" s="35"/>
      <c r="EU35" s="35"/>
      <c r="EV35" s="35"/>
      <c r="EW35" s="35"/>
      <c r="EX35" s="35"/>
      <c r="EY35" s="35"/>
      <c r="EZ35" s="35"/>
      <c r="FA35" s="35"/>
      <c r="FB35" s="35"/>
      <c r="FC35" s="35"/>
      <c r="FD35" s="35"/>
      <c r="FE35" s="35"/>
      <c r="FF35" s="35"/>
      <c r="FG35" s="35"/>
      <c r="FH35" s="35"/>
      <c r="FI35" s="35"/>
      <c r="FJ35" s="35"/>
      <c r="FK35" s="35"/>
      <c r="FL35" s="35"/>
      <c r="FM35" s="35"/>
      <c r="FN35" s="35"/>
      <c r="FO35" s="35"/>
      <c r="FP35" s="35"/>
      <c r="FQ35" s="35"/>
      <c r="FR35" s="35"/>
      <c r="FS35" s="35"/>
      <c r="FT35" s="35"/>
      <c r="FU35" s="35"/>
      <c r="FV35" s="35"/>
      <c r="FW35" s="35"/>
      <c r="FX35" s="35"/>
      <c r="FY35" s="35"/>
      <c r="FZ35" s="35"/>
      <c r="GA35" s="35"/>
      <c r="GB35" s="35"/>
      <c r="GC35" s="35"/>
      <c r="GD35" s="35"/>
      <c r="GE35" s="35"/>
      <c r="GF35" s="35"/>
      <c r="GG35" s="35"/>
      <c r="GH35" s="35"/>
      <c r="GI35" s="35"/>
      <c r="GJ35" s="35"/>
      <c r="GK35" s="35"/>
      <c r="GL35" s="35"/>
      <c r="GM35" s="35"/>
      <c r="GN35" s="35"/>
      <c r="GO35" s="35"/>
      <c r="GP35" s="35"/>
      <c r="GQ35" s="35"/>
      <c r="GR35" s="35"/>
      <c r="GS35" s="35"/>
      <c r="GT35" s="35"/>
      <c r="GU35" s="35"/>
      <c r="GV35" s="35"/>
      <c r="GW35" s="35"/>
      <c r="GX35" s="35"/>
      <c r="GY35" s="35"/>
      <c r="GZ35" s="35"/>
      <c r="HA35" s="35"/>
      <c r="HB35" s="35"/>
      <c r="HC35" s="35"/>
      <c r="HD35" s="35"/>
      <c r="HE35" s="35"/>
      <c r="HF35" s="35"/>
      <c r="HG35" s="35"/>
      <c r="HH35" s="35"/>
      <c r="HI35" s="35"/>
      <c r="HJ35" s="35"/>
      <c r="HK35" s="35"/>
      <c r="HL35" s="35"/>
      <c r="HM35" s="35"/>
      <c r="HN35" s="35"/>
      <c r="HO35" s="35"/>
      <c r="HP35" s="35"/>
      <c r="HQ35" s="35"/>
      <c r="HR35" s="35"/>
      <c r="HS35" s="35"/>
      <c r="HT35" s="35"/>
      <c r="HU35" s="35"/>
      <c r="HV35" s="35"/>
      <c r="HW35" s="35"/>
      <c r="HX35" s="35"/>
      <c r="HY35" s="35"/>
      <c r="HZ35" s="35"/>
      <c r="IA35" s="35"/>
      <c r="IB35" s="35"/>
      <c r="IC35" s="35"/>
      <c r="ID35" s="35"/>
      <c r="IE35" s="35"/>
      <c r="IF35" s="35"/>
      <c r="IG35" s="35"/>
      <c r="IH35" s="35"/>
      <c r="II35" s="35"/>
      <c r="IJ35" s="35"/>
      <c r="IK35" s="35"/>
      <c r="IL35" s="35"/>
      <c r="IM35" s="35"/>
      <c r="IN35" s="35"/>
      <c r="IO35" s="35"/>
      <c r="IP35" s="35"/>
      <c r="IQ35" s="35"/>
      <c r="IR35" s="35"/>
      <c r="IS35" s="35"/>
      <c r="IT35" s="35"/>
      <c r="IU35" s="35"/>
      <c r="IV35" s="35"/>
      <c r="IW35" s="35"/>
    </row>
    <row r="36" customFormat="false" ht="12.75" hidden="false" customHeight="false" outlineLevel="1" collapsed="false">
      <c r="A36" s="10" t="s">
        <v>3</v>
      </c>
      <c r="B36" s="11" t="n">
        <v>74567.1528392712</v>
      </c>
      <c r="C36" s="35"/>
      <c r="D36" s="7"/>
      <c r="E36" s="7"/>
      <c r="F36" s="7"/>
      <c r="G36" s="7"/>
      <c r="H36" s="7"/>
      <c r="I36" s="7"/>
      <c r="J36" s="7"/>
      <c r="K36" s="7"/>
      <c r="L36" s="7"/>
      <c r="M36" s="7"/>
      <c r="N36" s="7"/>
      <c r="O36" s="7"/>
      <c r="P36" s="7"/>
      <c r="Q36" s="7"/>
      <c r="R36" s="7"/>
      <c r="S36" s="7"/>
      <c r="T36" s="7"/>
      <c r="U36" s="7"/>
      <c r="V36" s="7"/>
      <c r="W36" s="7"/>
      <c r="X36" s="7"/>
      <c r="Y36" s="7"/>
      <c r="Z36" s="7"/>
      <c r="AA36" s="7"/>
      <c r="AB36" s="34"/>
      <c r="AC36" s="34"/>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c r="BQ36" s="35"/>
      <c r="BR36" s="35"/>
      <c r="BS36" s="35"/>
      <c r="BT36" s="35"/>
      <c r="BU36" s="35"/>
      <c r="BV36" s="35"/>
      <c r="BW36" s="35"/>
      <c r="BX36" s="35"/>
      <c r="BY36" s="35"/>
      <c r="BZ36" s="35"/>
      <c r="CA36" s="35"/>
      <c r="CB36" s="35"/>
      <c r="CC36" s="35"/>
      <c r="CD36" s="35"/>
      <c r="CE36" s="35"/>
      <c r="CF36" s="35"/>
      <c r="CG36" s="35"/>
      <c r="CH36" s="35"/>
      <c r="CI36" s="35"/>
      <c r="CJ36" s="35"/>
      <c r="CK36" s="35"/>
      <c r="CL36" s="35"/>
      <c r="CM36" s="35"/>
      <c r="CN36" s="35"/>
      <c r="CO36" s="35"/>
      <c r="CP36" s="35"/>
      <c r="CQ36" s="35"/>
      <c r="CR36" s="35"/>
      <c r="CS36" s="35"/>
      <c r="CT36" s="35"/>
      <c r="CU36" s="35"/>
      <c r="CV36" s="35"/>
      <c r="CW36" s="35"/>
      <c r="CX36" s="35"/>
      <c r="CY36" s="35"/>
      <c r="CZ36" s="35"/>
      <c r="DA36" s="35"/>
      <c r="DB36" s="35"/>
      <c r="DC36" s="35"/>
      <c r="DD36" s="35"/>
      <c r="DE36" s="35"/>
      <c r="DF36" s="35"/>
      <c r="DG36" s="35"/>
      <c r="DH36" s="35"/>
      <c r="DI36" s="35"/>
      <c r="DJ36" s="35"/>
      <c r="DK36" s="35"/>
      <c r="DL36" s="35"/>
      <c r="DM36" s="35"/>
      <c r="DN36" s="35"/>
      <c r="DO36" s="35"/>
      <c r="DP36" s="35"/>
      <c r="DQ36" s="35"/>
      <c r="DR36" s="35"/>
      <c r="DS36" s="35"/>
      <c r="DT36" s="35"/>
      <c r="DU36" s="35"/>
      <c r="DV36" s="35"/>
      <c r="DW36" s="35"/>
      <c r="DX36" s="35"/>
      <c r="DY36" s="35"/>
      <c r="DZ36" s="35"/>
      <c r="EA36" s="35"/>
      <c r="EB36" s="35"/>
      <c r="EC36" s="35"/>
      <c r="ED36" s="35"/>
      <c r="EE36" s="35"/>
      <c r="EF36" s="35"/>
      <c r="EG36" s="35"/>
      <c r="EH36" s="35"/>
      <c r="EI36" s="35"/>
      <c r="EJ36" s="35"/>
      <c r="EK36" s="35"/>
      <c r="EL36" s="35"/>
      <c r="EM36" s="35"/>
      <c r="EN36" s="35"/>
      <c r="EO36" s="35"/>
      <c r="EP36" s="35"/>
      <c r="EQ36" s="35"/>
      <c r="ER36" s="35"/>
      <c r="ES36" s="35"/>
      <c r="ET36" s="35"/>
      <c r="EU36" s="35"/>
      <c r="EV36" s="35"/>
      <c r="EW36" s="35"/>
      <c r="EX36" s="35"/>
      <c r="EY36" s="35"/>
      <c r="EZ36" s="35"/>
      <c r="FA36" s="35"/>
      <c r="FB36" s="35"/>
      <c r="FC36" s="35"/>
      <c r="FD36" s="35"/>
      <c r="FE36" s="35"/>
      <c r="FF36" s="35"/>
      <c r="FG36" s="35"/>
      <c r="FH36" s="35"/>
      <c r="FI36" s="35"/>
      <c r="FJ36" s="35"/>
      <c r="FK36" s="35"/>
      <c r="FL36" s="35"/>
      <c r="FM36" s="35"/>
      <c r="FN36" s="35"/>
      <c r="FO36" s="35"/>
      <c r="FP36" s="35"/>
      <c r="FQ36" s="35"/>
      <c r="FR36" s="35"/>
      <c r="FS36" s="35"/>
      <c r="FT36" s="35"/>
      <c r="FU36" s="35"/>
      <c r="FV36" s="35"/>
      <c r="FW36" s="35"/>
      <c r="FX36" s="35"/>
      <c r="FY36" s="35"/>
      <c r="FZ36" s="35"/>
      <c r="GA36" s="35"/>
      <c r="GB36" s="35"/>
      <c r="GC36" s="35"/>
      <c r="GD36" s="35"/>
      <c r="GE36" s="35"/>
      <c r="GF36" s="35"/>
      <c r="GG36" s="35"/>
      <c r="GH36" s="35"/>
      <c r="GI36" s="35"/>
      <c r="GJ36" s="35"/>
      <c r="GK36" s="35"/>
      <c r="GL36" s="35"/>
      <c r="GM36" s="35"/>
      <c r="GN36" s="35"/>
      <c r="GO36" s="35"/>
      <c r="GP36" s="35"/>
      <c r="GQ36" s="35"/>
      <c r="GR36" s="35"/>
      <c r="GS36" s="35"/>
      <c r="GT36" s="35"/>
      <c r="GU36" s="35"/>
      <c r="GV36" s="35"/>
      <c r="GW36" s="35"/>
      <c r="GX36" s="35"/>
      <c r="GY36" s="35"/>
      <c r="GZ36" s="35"/>
      <c r="HA36" s="35"/>
      <c r="HB36" s="35"/>
      <c r="HC36" s="35"/>
      <c r="HD36" s="35"/>
      <c r="HE36" s="35"/>
      <c r="HF36" s="35"/>
      <c r="HG36" s="35"/>
      <c r="HH36" s="35"/>
      <c r="HI36" s="35"/>
      <c r="HJ36" s="35"/>
      <c r="HK36" s="35"/>
      <c r="HL36" s="35"/>
      <c r="HM36" s="35"/>
      <c r="HN36" s="35"/>
      <c r="HO36" s="35"/>
      <c r="HP36" s="35"/>
      <c r="HQ36" s="35"/>
      <c r="HR36" s="35"/>
      <c r="HS36" s="35"/>
      <c r="HT36" s="35"/>
      <c r="HU36" s="35"/>
      <c r="HV36" s="35"/>
      <c r="HW36" s="35"/>
      <c r="HX36" s="35"/>
      <c r="HY36" s="35"/>
      <c r="HZ36" s="35"/>
      <c r="IA36" s="35"/>
      <c r="IB36" s="35"/>
      <c r="IC36" s="35"/>
      <c r="ID36" s="35"/>
      <c r="IE36" s="35"/>
      <c r="IF36" s="35"/>
      <c r="IG36" s="35"/>
      <c r="IH36" s="35"/>
      <c r="II36" s="35"/>
      <c r="IJ36" s="35"/>
      <c r="IK36" s="35"/>
      <c r="IL36" s="35"/>
      <c r="IM36" s="35"/>
      <c r="IN36" s="35"/>
      <c r="IO36" s="35"/>
      <c r="IP36" s="35"/>
      <c r="IQ36" s="35"/>
      <c r="IR36" s="35"/>
      <c r="IS36" s="35"/>
      <c r="IT36" s="35"/>
      <c r="IU36" s="35"/>
      <c r="IV36" s="35"/>
      <c r="IW36" s="35"/>
    </row>
    <row r="37" customFormat="false" ht="12.75" hidden="false" customHeight="false" outlineLevel="1" collapsed="false">
      <c r="A37" s="12" t="s">
        <v>4</v>
      </c>
      <c r="B37" s="13" t="n">
        <v>114106.16874308</v>
      </c>
      <c r="C37" s="35"/>
      <c r="D37" s="7"/>
      <c r="E37" s="7"/>
      <c r="F37" s="7"/>
      <c r="G37" s="7"/>
      <c r="H37" s="7"/>
      <c r="I37" s="7"/>
      <c r="J37" s="7"/>
      <c r="K37" s="7"/>
      <c r="L37" s="7"/>
      <c r="M37" s="7"/>
      <c r="N37" s="7"/>
      <c r="O37" s="7"/>
      <c r="P37" s="7"/>
      <c r="Q37" s="7"/>
      <c r="R37" s="7"/>
      <c r="S37" s="7"/>
      <c r="T37" s="7"/>
      <c r="U37" s="7"/>
      <c r="V37" s="7"/>
      <c r="W37" s="7"/>
      <c r="X37" s="7"/>
      <c r="Y37" s="7"/>
      <c r="Z37" s="7"/>
      <c r="AA37" s="7"/>
      <c r="AB37" s="34"/>
      <c r="AC37" s="34"/>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c r="BL37" s="35"/>
      <c r="BM37" s="35"/>
      <c r="BN37" s="35"/>
      <c r="BO37" s="35"/>
      <c r="BP37" s="35"/>
      <c r="BQ37" s="35"/>
      <c r="BR37" s="35"/>
      <c r="BS37" s="35"/>
      <c r="BT37" s="35"/>
      <c r="BU37" s="35"/>
      <c r="BV37" s="35"/>
      <c r="BW37" s="35"/>
      <c r="BX37" s="35"/>
      <c r="BY37" s="35"/>
      <c r="BZ37" s="35"/>
      <c r="CA37" s="35"/>
      <c r="CB37" s="35"/>
      <c r="CC37" s="35"/>
      <c r="CD37" s="35"/>
      <c r="CE37" s="35"/>
      <c r="CF37" s="35"/>
      <c r="CG37" s="35"/>
      <c r="CH37" s="35"/>
      <c r="CI37" s="35"/>
      <c r="CJ37" s="35"/>
      <c r="CK37" s="35"/>
      <c r="CL37" s="35"/>
      <c r="CM37" s="35"/>
      <c r="CN37" s="35"/>
      <c r="CO37" s="35"/>
      <c r="CP37" s="35"/>
      <c r="CQ37" s="35"/>
      <c r="CR37" s="35"/>
      <c r="CS37" s="35"/>
      <c r="CT37" s="35"/>
      <c r="CU37" s="35"/>
      <c r="CV37" s="35"/>
      <c r="CW37" s="35"/>
      <c r="CX37" s="35"/>
      <c r="CY37" s="35"/>
      <c r="CZ37" s="35"/>
      <c r="DA37" s="35"/>
      <c r="DB37" s="35"/>
      <c r="DC37" s="35"/>
      <c r="DD37" s="35"/>
      <c r="DE37" s="35"/>
      <c r="DF37" s="35"/>
      <c r="DG37" s="35"/>
      <c r="DH37" s="35"/>
      <c r="DI37" s="35"/>
      <c r="DJ37" s="35"/>
      <c r="DK37" s="35"/>
      <c r="DL37" s="35"/>
      <c r="DM37" s="35"/>
      <c r="DN37" s="35"/>
      <c r="DO37" s="35"/>
      <c r="DP37" s="35"/>
      <c r="DQ37" s="35"/>
      <c r="DR37" s="35"/>
      <c r="DS37" s="35"/>
      <c r="DT37" s="35"/>
      <c r="DU37" s="35"/>
      <c r="DV37" s="35"/>
      <c r="DW37" s="35"/>
      <c r="DX37" s="35"/>
      <c r="DY37" s="35"/>
      <c r="DZ37" s="35"/>
      <c r="EA37" s="35"/>
      <c r="EB37" s="35"/>
      <c r="EC37" s="35"/>
      <c r="ED37" s="35"/>
      <c r="EE37" s="35"/>
      <c r="EF37" s="35"/>
      <c r="EG37" s="35"/>
      <c r="EH37" s="35"/>
      <c r="EI37" s="35"/>
      <c r="EJ37" s="35"/>
      <c r="EK37" s="35"/>
      <c r="EL37" s="35"/>
      <c r="EM37" s="35"/>
      <c r="EN37" s="35"/>
      <c r="EO37" s="35"/>
      <c r="EP37" s="35"/>
      <c r="EQ37" s="35"/>
      <c r="ER37" s="35"/>
      <c r="ES37" s="35"/>
      <c r="ET37" s="35"/>
      <c r="EU37" s="35"/>
      <c r="EV37" s="35"/>
      <c r="EW37" s="35"/>
      <c r="EX37" s="35"/>
      <c r="EY37" s="35"/>
      <c r="EZ37" s="35"/>
      <c r="FA37" s="35"/>
      <c r="FB37" s="35"/>
      <c r="FC37" s="35"/>
      <c r="FD37" s="35"/>
      <c r="FE37" s="35"/>
      <c r="FF37" s="35"/>
      <c r="FG37" s="35"/>
      <c r="FH37" s="35"/>
      <c r="FI37" s="35"/>
      <c r="FJ37" s="35"/>
      <c r="FK37" s="35"/>
      <c r="FL37" s="35"/>
      <c r="FM37" s="35"/>
      <c r="FN37" s="35"/>
      <c r="FO37" s="35"/>
      <c r="FP37" s="35"/>
      <c r="FQ37" s="35"/>
      <c r="FR37" s="35"/>
      <c r="FS37" s="35"/>
      <c r="FT37" s="35"/>
      <c r="FU37" s="35"/>
      <c r="FV37" s="35"/>
      <c r="FW37" s="35"/>
      <c r="FX37" s="35"/>
      <c r="FY37" s="35"/>
      <c r="FZ37" s="35"/>
      <c r="GA37" s="35"/>
      <c r="GB37" s="35"/>
      <c r="GC37" s="35"/>
      <c r="GD37" s="35"/>
      <c r="GE37" s="35"/>
      <c r="GF37" s="35"/>
      <c r="GG37" s="35"/>
      <c r="GH37" s="35"/>
      <c r="GI37" s="35"/>
      <c r="GJ37" s="35"/>
      <c r="GK37" s="35"/>
      <c r="GL37" s="35"/>
      <c r="GM37" s="35"/>
      <c r="GN37" s="35"/>
      <c r="GO37" s="35"/>
      <c r="GP37" s="35"/>
      <c r="GQ37" s="35"/>
      <c r="GR37" s="35"/>
      <c r="GS37" s="35"/>
      <c r="GT37" s="35"/>
      <c r="GU37" s="35"/>
      <c r="GV37" s="35"/>
      <c r="GW37" s="35"/>
      <c r="GX37" s="35"/>
      <c r="GY37" s="35"/>
      <c r="GZ37" s="35"/>
      <c r="HA37" s="35"/>
      <c r="HB37" s="35"/>
      <c r="HC37" s="35"/>
      <c r="HD37" s="35"/>
      <c r="HE37" s="35"/>
      <c r="HF37" s="35"/>
      <c r="HG37" s="35"/>
      <c r="HH37" s="35"/>
      <c r="HI37" s="35"/>
      <c r="HJ37" s="35"/>
      <c r="HK37" s="35"/>
      <c r="HL37" s="35"/>
      <c r="HM37" s="35"/>
      <c r="HN37" s="35"/>
      <c r="HO37" s="35"/>
      <c r="HP37" s="35"/>
      <c r="HQ37" s="35"/>
      <c r="HR37" s="35"/>
      <c r="HS37" s="35"/>
      <c r="HT37" s="35"/>
      <c r="HU37" s="35"/>
      <c r="HV37" s="35"/>
      <c r="HW37" s="35"/>
      <c r="HX37" s="35"/>
      <c r="HY37" s="35"/>
      <c r="HZ37" s="35"/>
      <c r="IA37" s="35"/>
      <c r="IB37" s="35"/>
      <c r="IC37" s="35"/>
      <c r="ID37" s="35"/>
      <c r="IE37" s="35"/>
      <c r="IF37" s="35"/>
      <c r="IG37" s="35"/>
      <c r="IH37" s="35"/>
      <c r="II37" s="35"/>
      <c r="IJ37" s="35"/>
      <c r="IK37" s="35"/>
      <c r="IL37" s="35"/>
      <c r="IM37" s="35"/>
      <c r="IN37" s="35"/>
      <c r="IO37" s="35"/>
      <c r="IP37" s="35"/>
      <c r="IQ37" s="35"/>
      <c r="IR37" s="35"/>
      <c r="IS37" s="35"/>
      <c r="IT37" s="35"/>
      <c r="IU37" s="35"/>
      <c r="IV37" s="35"/>
      <c r="IW37" s="35"/>
    </row>
    <row r="38" customFormat="false" ht="12.75" hidden="false" customHeight="false" outlineLevel="1" collapsed="false">
      <c r="A38" s="14" t="s">
        <v>5</v>
      </c>
      <c r="B38" s="15" t="s">
        <v>6</v>
      </c>
      <c r="C38" s="15" t="s">
        <v>7</v>
      </c>
      <c r="D38" s="16" t="n">
        <v>2000</v>
      </c>
      <c r="E38" s="17" t="n">
        <v>2001</v>
      </c>
      <c r="F38" s="17" t="n">
        <v>2002</v>
      </c>
      <c r="G38" s="17" t="n">
        <v>2003</v>
      </c>
      <c r="H38" s="17" t="n">
        <v>2004</v>
      </c>
      <c r="I38" s="17" t="n">
        <v>2005</v>
      </c>
      <c r="J38" s="17" t="n">
        <v>2006</v>
      </c>
      <c r="K38" s="17" t="n">
        <v>2007</v>
      </c>
      <c r="L38" s="17" t="n">
        <v>2008</v>
      </c>
      <c r="M38" s="17" t="n">
        <v>2009</v>
      </c>
      <c r="N38" s="18" t="n">
        <v>2010</v>
      </c>
      <c r="O38" s="19" t="n">
        <v>2011</v>
      </c>
      <c r="P38" s="19" t="n">
        <v>2012</v>
      </c>
      <c r="Q38" s="19" t="n">
        <v>2013</v>
      </c>
      <c r="R38" s="19" t="n">
        <v>2014</v>
      </c>
      <c r="S38" s="19" t="n">
        <v>2015</v>
      </c>
      <c r="T38" s="19" t="n">
        <v>2016</v>
      </c>
      <c r="U38" s="19" t="n">
        <v>2017</v>
      </c>
      <c r="V38" s="19" t="n">
        <v>2018</v>
      </c>
      <c r="W38" s="19" t="n">
        <v>2019</v>
      </c>
      <c r="X38" s="19" t="n">
        <v>2020</v>
      </c>
      <c r="Y38" s="7"/>
      <c r="Z38" s="7"/>
      <c r="AA38" s="7"/>
      <c r="AB38" s="34"/>
      <c r="AC38" s="34"/>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c r="BL38" s="35"/>
      <c r="BM38" s="35"/>
      <c r="BN38" s="35"/>
      <c r="BO38" s="35"/>
      <c r="BP38" s="35"/>
      <c r="BQ38" s="35"/>
      <c r="BR38" s="35"/>
      <c r="BS38" s="35"/>
      <c r="BT38" s="35"/>
      <c r="BU38" s="35"/>
      <c r="BV38" s="35"/>
      <c r="BW38" s="35"/>
      <c r="BX38" s="35"/>
      <c r="BY38" s="35"/>
      <c r="BZ38" s="35"/>
      <c r="CA38" s="35"/>
      <c r="CB38" s="35"/>
      <c r="CC38" s="35"/>
      <c r="CD38" s="35"/>
      <c r="CE38" s="35"/>
      <c r="CF38" s="35"/>
      <c r="CG38" s="35"/>
      <c r="CH38" s="35"/>
      <c r="CI38" s="35"/>
      <c r="CJ38" s="35"/>
      <c r="CK38" s="35"/>
      <c r="CL38" s="35"/>
      <c r="CM38" s="35"/>
      <c r="CN38" s="35"/>
      <c r="CO38" s="35"/>
      <c r="CP38" s="35"/>
      <c r="CQ38" s="35"/>
      <c r="CR38" s="35"/>
      <c r="CS38" s="35"/>
      <c r="CT38" s="35"/>
      <c r="CU38" s="35"/>
      <c r="CV38" s="35"/>
      <c r="CW38" s="35"/>
      <c r="CX38" s="35"/>
      <c r="CY38" s="35"/>
      <c r="CZ38" s="35"/>
      <c r="DA38" s="35"/>
      <c r="DB38" s="35"/>
      <c r="DC38" s="35"/>
      <c r="DD38" s="35"/>
      <c r="DE38" s="35"/>
      <c r="DF38" s="35"/>
      <c r="DG38" s="35"/>
      <c r="DH38" s="35"/>
      <c r="DI38" s="35"/>
      <c r="DJ38" s="35"/>
      <c r="DK38" s="35"/>
      <c r="DL38" s="35"/>
      <c r="DM38" s="35"/>
      <c r="DN38" s="35"/>
      <c r="DO38" s="35"/>
      <c r="DP38" s="35"/>
      <c r="DQ38" s="35"/>
      <c r="DR38" s="35"/>
      <c r="DS38" s="35"/>
      <c r="DT38" s="35"/>
      <c r="DU38" s="35"/>
      <c r="DV38" s="35"/>
      <c r="DW38" s="35"/>
      <c r="DX38" s="35"/>
      <c r="DY38" s="35"/>
      <c r="DZ38" s="35"/>
      <c r="EA38" s="35"/>
      <c r="EB38" s="35"/>
      <c r="EC38" s="35"/>
      <c r="ED38" s="35"/>
      <c r="EE38" s="35"/>
      <c r="EF38" s="35"/>
      <c r="EG38" s="35"/>
      <c r="EH38" s="35"/>
      <c r="EI38" s="35"/>
      <c r="EJ38" s="35"/>
      <c r="EK38" s="35"/>
      <c r="EL38" s="35"/>
      <c r="EM38" s="35"/>
      <c r="EN38" s="35"/>
      <c r="EO38" s="35"/>
      <c r="EP38" s="35"/>
      <c r="EQ38" s="35"/>
      <c r="ER38" s="35"/>
      <c r="ES38" s="35"/>
      <c r="ET38" s="35"/>
      <c r="EU38" s="35"/>
      <c r="EV38" s="35"/>
      <c r="EW38" s="35"/>
      <c r="EX38" s="35"/>
      <c r="EY38" s="35"/>
      <c r="EZ38" s="35"/>
      <c r="FA38" s="35"/>
      <c r="FB38" s="35"/>
      <c r="FC38" s="35"/>
      <c r="FD38" s="35"/>
      <c r="FE38" s="35"/>
      <c r="FF38" s="35"/>
      <c r="FG38" s="35"/>
      <c r="FH38" s="35"/>
      <c r="FI38" s="35"/>
      <c r="FJ38" s="35"/>
      <c r="FK38" s="35"/>
      <c r="FL38" s="35"/>
      <c r="FM38" s="35"/>
      <c r="FN38" s="35"/>
      <c r="FO38" s="35"/>
      <c r="FP38" s="35"/>
      <c r="FQ38" s="35"/>
      <c r="FR38" s="35"/>
      <c r="FS38" s="35"/>
      <c r="FT38" s="35"/>
      <c r="FU38" s="35"/>
      <c r="FV38" s="35"/>
      <c r="FW38" s="35"/>
      <c r="FX38" s="35"/>
      <c r="FY38" s="35"/>
      <c r="FZ38" s="35"/>
      <c r="GA38" s="35"/>
      <c r="GB38" s="35"/>
      <c r="GC38" s="35"/>
      <c r="GD38" s="35"/>
      <c r="GE38" s="35"/>
      <c r="GF38" s="35"/>
      <c r="GG38" s="35"/>
      <c r="GH38" s="35"/>
      <c r="GI38" s="35"/>
      <c r="GJ38" s="35"/>
      <c r="GK38" s="35"/>
      <c r="GL38" s="35"/>
      <c r="GM38" s="35"/>
      <c r="GN38" s="35"/>
      <c r="GO38" s="35"/>
      <c r="GP38" s="35"/>
      <c r="GQ38" s="35"/>
      <c r="GR38" s="35"/>
      <c r="GS38" s="35"/>
      <c r="GT38" s="35"/>
      <c r="GU38" s="35"/>
      <c r="GV38" s="35"/>
      <c r="GW38" s="35"/>
      <c r="GX38" s="35"/>
      <c r="GY38" s="35"/>
      <c r="GZ38" s="35"/>
      <c r="HA38" s="35"/>
      <c r="HB38" s="35"/>
      <c r="HC38" s="35"/>
      <c r="HD38" s="35"/>
      <c r="HE38" s="35"/>
      <c r="HF38" s="35"/>
      <c r="HG38" s="35"/>
      <c r="HH38" s="35"/>
      <c r="HI38" s="35"/>
      <c r="HJ38" s="35"/>
      <c r="HK38" s="35"/>
      <c r="HL38" s="35"/>
      <c r="HM38" s="35"/>
      <c r="HN38" s="35"/>
      <c r="HO38" s="35"/>
      <c r="HP38" s="35"/>
      <c r="HQ38" s="35"/>
      <c r="HR38" s="35"/>
      <c r="HS38" s="35"/>
      <c r="HT38" s="35"/>
      <c r="HU38" s="35"/>
      <c r="HV38" s="35"/>
      <c r="HW38" s="35"/>
      <c r="HX38" s="35"/>
      <c r="HY38" s="35"/>
      <c r="HZ38" s="35"/>
      <c r="IA38" s="35"/>
      <c r="IB38" s="35"/>
      <c r="IC38" s="35"/>
      <c r="ID38" s="35"/>
      <c r="IE38" s="35"/>
      <c r="IF38" s="35"/>
      <c r="IG38" s="35"/>
      <c r="IH38" s="35"/>
      <c r="II38" s="35"/>
      <c r="IJ38" s="35"/>
      <c r="IK38" s="35"/>
      <c r="IL38" s="35"/>
      <c r="IM38" s="35"/>
      <c r="IN38" s="35"/>
      <c r="IO38" s="35"/>
      <c r="IP38" s="35"/>
      <c r="IQ38" s="35"/>
      <c r="IR38" s="35"/>
      <c r="IS38" s="35"/>
      <c r="IT38" s="35"/>
      <c r="IU38" s="35"/>
      <c r="IV38" s="35"/>
      <c r="IW38" s="35"/>
    </row>
    <row r="39" customFormat="false" ht="12.75" hidden="false" customHeight="false" outlineLevel="1" collapsed="false">
      <c r="A39" s="14" t="s">
        <v>8</v>
      </c>
      <c r="B39" s="20" t="n">
        <f aca="false">NPV(0.1,D39:Y39)</f>
        <v>462628.037074253</v>
      </c>
      <c r="C39" s="20" t="n">
        <f aca="false">B39-B29</f>
        <v>-3199.05683309108</v>
      </c>
      <c r="D39" s="21" t="n">
        <v>26458.2843077875</v>
      </c>
      <c r="E39" s="22" t="n">
        <v>37343.823387725</v>
      </c>
      <c r="F39" s="22" t="n">
        <v>37617.1330148</v>
      </c>
      <c r="G39" s="22" t="n">
        <v>48055.870744618</v>
      </c>
      <c r="H39" s="22" t="n">
        <v>56670.0120212177</v>
      </c>
      <c r="I39" s="22" t="n">
        <v>58073.821476875</v>
      </c>
      <c r="J39" s="22" t="n">
        <v>59031.1105377245</v>
      </c>
      <c r="K39" s="22" t="n">
        <v>60089.9966955929</v>
      </c>
      <c r="L39" s="22" t="n">
        <v>61247.9983063441</v>
      </c>
      <c r="M39" s="22" t="n">
        <v>62509.0581451464</v>
      </c>
      <c r="N39" s="23" t="n">
        <v>63900.5839140522</v>
      </c>
      <c r="O39" s="24" t="n">
        <v>65587.9016694256</v>
      </c>
      <c r="P39" s="24" t="n">
        <v>67418.0953938669</v>
      </c>
      <c r="Q39" s="24" t="n">
        <v>69326.0106774856</v>
      </c>
      <c r="R39" s="24" t="n">
        <v>71305.2271672383</v>
      </c>
      <c r="S39" s="24" t="n">
        <v>73322.8458179048</v>
      </c>
      <c r="T39" s="24" t="n">
        <v>75026.9355458695</v>
      </c>
      <c r="U39" s="24" t="n">
        <v>76907.8822203096</v>
      </c>
      <c r="V39" s="24" t="n">
        <v>78542.657290292</v>
      </c>
      <c r="W39" s="24" t="n">
        <v>80171.6250191153</v>
      </c>
      <c r="X39" s="24" t="n">
        <v>20103.486715349</v>
      </c>
      <c r="Y39" s="7"/>
      <c r="Z39" s="7"/>
      <c r="AA39" s="7"/>
      <c r="AB39" s="34"/>
      <c r="AC39" s="34"/>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c r="BK39" s="35"/>
      <c r="BL39" s="35"/>
      <c r="BM39" s="35"/>
      <c r="BN39" s="35"/>
      <c r="BO39" s="35"/>
      <c r="BP39" s="35"/>
      <c r="BQ39" s="35"/>
      <c r="BR39" s="35"/>
      <c r="BS39" s="35"/>
      <c r="BT39" s="35"/>
      <c r="BU39" s="35"/>
      <c r="BV39" s="35"/>
      <c r="BW39" s="35"/>
      <c r="BX39" s="35"/>
      <c r="BY39" s="35"/>
      <c r="BZ39" s="35"/>
      <c r="CA39" s="35"/>
      <c r="CB39" s="35"/>
      <c r="CC39" s="35"/>
      <c r="CD39" s="35"/>
      <c r="CE39" s="35"/>
      <c r="CF39" s="35"/>
      <c r="CG39" s="35"/>
      <c r="CH39" s="35"/>
      <c r="CI39" s="35"/>
      <c r="CJ39" s="35"/>
      <c r="CK39" s="35"/>
      <c r="CL39" s="35"/>
      <c r="CM39" s="35"/>
      <c r="CN39" s="35"/>
      <c r="CO39" s="35"/>
      <c r="CP39" s="35"/>
      <c r="CQ39" s="35"/>
      <c r="CR39" s="35"/>
      <c r="CS39" s="35"/>
      <c r="CT39" s="35"/>
      <c r="CU39" s="35"/>
      <c r="CV39" s="35"/>
      <c r="CW39" s="35"/>
      <c r="CX39" s="35"/>
      <c r="CY39" s="35"/>
      <c r="CZ39" s="35"/>
      <c r="DA39" s="35"/>
      <c r="DB39" s="35"/>
      <c r="DC39" s="35"/>
      <c r="DD39" s="35"/>
      <c r="DE39" s="35"/>
      <c r="DF39" s="35"/>
      <c r="DG39" s="35"/>
      <c r="DH39" s="35"/>
      <c r="DI39" s="35"/>
      <c r="DJ39" s="35"/>
      <c r="DK39" s="35"/>
      <c r="DL39" s="35"/>
      <c r="DM39" s="35"/>
      <c r="DN39" s="35"/>
      <c r="DO39" s="35"/>
      <c r="DP39" s="35"/>
      <c r="DQ39" s="35"/>
      <c r="DR39" s="35"/>
      <c r="DS39" s="35"/>
      <c r="DT39" s="35"/>
      <c r="DU39" s="35"/>
      <c r="DV39" s="35"/>
      <c r="DW39" s="35"/>
      <c r="DX39" s="35"/>
      <c r="DY39" s="35"/>
      <c r="DZ39" s="35"/>
      <c r="EA39" s="35"/>
      <c r="EB39" s="35"/>
      <c r="EC39" s="35"/>
      <c r="ED39" s="35"/>
      <c r="EE39" s="35"/>
      <c r="EF39" s="35"/>
      <c r="EG39" s="35"/>
      <c r="EH39" s="35"/>
      <c r="EI39" s="35"/>
      <c r="EJ39" s="35"/>
      <c r="EK39" s="35"/>
      <c r="EL39" s="35"/>
      <c r="EM39" s="35"/>
      <c r="EN39" s="35"/>
      <c r="EO39" s="35"/>
      <c r="EP39" s="35"/>
      <c r="EQ39" s="35"/>
      <c r="ER39" s="35"/>
      <c r="ES39" s="35"/>
      <c r="ET39" s="35"/>
      <c r="EU39" s="35"/>
      <c r="EV39" s="35"/>
      <c r="EW39" s="35"/>
      <c r="EX39" s="35"/>
      <c r="EY39" s="35"/>
      <c r="EZ39" s="35"/>
      <c r="FA39" s="35"/>
      <c r="FB39" s="35"/>
      <c r="FC39" s="35"/>
      <c r="FD39" s="35"/>
      <c r="FE39" s="35"/>
      <c r="FF39" s="35"/>
      <c r="FG39" s="35"/>
      <c r="FH39" s="35"/>
      <c r="FI39" s="35"/>
      <c r="FJ39" s="35"/>
      <c r="FK39" s="35"/>
      <c r="FL39" s="35"/>
      <c r="FM39" s="35"/>
      <c r="FN39" s="35"/>
      <c r="FO39" s="35"/>
      <c r="FP39" s="35"/>
      <c r="FQ39" s="35"/>
      <c r="FR39" s="35"/>
      <c r="FS39" s="35"/>
      <c r="FT39" s="35"/>
      <c r="FU39" s="35"/>
      <c r="FV39" s="35"/>
      <c r="FW39" s="35"/>
      <c r="FX39" s="35"/>
      <c r="FY39" s="35"/>
      <c r="FZ39" s="35"/>
      <c r="GA39" s="35"/>
      <c r="GB39" s="35"/>
      <c r="GC39" s="35"/>
      <c r="GD39" s="35"/>
      <c r="GE39" s="35"/>
      <c r="GF39" s="35"/>
      <c r="GG39" s="35"/>
      <c r="GH39" s="35"/>
      <c r="GI39" s="35"/>
      <c r="GJ39" s="35"/>
      <c r="GK39" s="35"/>
      <c r="GL39" s="35"/>
      <c r="GM39" s="35"/>
      <c r="GN39" s="35"/>
      <c r="GO39" s="35"/>
      <c r="GP39" s="35"/>
      <c r="GQ39" s="35"/>
      <c r="GR39" s="35"/>
      <c r="GS39" s="35"/>
      <c r="GT39" s="35"/>
      <c r="GU39" s="35"/>
      <c r="GV39" s="35"/>
      <c r="GW39" s="35"/>
      <c r="GX39" s="35"/>
      <c r="GY39" s="35"/>
      <c r="GZ39" s="35"/>
      <c r="HA39" s="35"/>
      <c r="HB39" s="35"/>
      <c r="HC39" s="35"/>
      <c r="HD39" s="35"/>
      <c r="HE39" s="35"/>
      <c r="HF39" s="35"/>
      <c r="HG39" s="35"/>
      <c r="HH39" s="35"/>
      <c r="HI39" s="35"/>
      <c r="HJ39" s="35"/>
      <c r="HK39" s="35"/>
      <c r="HL39" s="35"/>
      <c r="HM39" s="35"/>
      <c r="HN39" s="35"/>
      <c r="HO39" s="35"/>
      <c r="HP39" s="35"/>
      <c r="HQ39" s="35"/>
      <c r="HR39" s="35"/>
      <c r="HS39" s="35"/>
      <c r="HT39" s="35"/>
      <c r="HU39" s="35"/>
      <c r="HV39" s="35"/>
      <c r="HW39" s="35"/>
      <c r="HX39" s="35"/>
      <c r="HY39" s="35"/>
      <c r="HZ39" s="35"/>
      <c r="IA39" s="35"/>
      <c r="IB39" s="35"/>
      <c r="IC39" s="35"/>
      <c r="ID39" s="35"/>
      <c r="IE39" s="35"/>
      <c r="IF39" s="35"/>
      <c r="IG39" s="35"/>
      <c r="IH39" s="35"/>
      <c r="II39" s="35"/>
      <c r="IJ39" s="35"/>
      <c r="IK39" s="35"/>
      <c r="IL39" s="35"/>
      <c r="IM39" s="35"/>
      <c r="IN39" s="35"/>
      <c r="IO39" s="35"/>
      <c r="IP39" s="35"/>
      <c r="IQ39" s="35"/>
      <c r="IR39" s="35"/>
      <c r="IS39" s="35"/>
      <c r="IT39" s="35"/>
      <c r="IU39" s="35"/>
      <c r="IV39" s="35"/>
      <c r="IW39" s="35"/>
    </row>
    <row r="40" customFormat="false" ht="12.75" hidden="false" customHeight="false" outlineLevel="1" collapsed="false">
      <c r="A40" s="25" t="s">
        <v>9</v>
      </c>
      <c r="B40" s="20" t="n">
        <f aca="false">NPV(0.1,D40:Y40)</f>
        <v>197872.040894845</v>
      </c>
      <c r="C40" s="20" t="n">
        <f aca="false">B40-B30</f>
        <v>-3122.07089114623</v>
      </c>
      <c r="D40" s="21" t="n">
        <v>16259.0554077875</v>
      </c>
      <c r="E40" s="22" t="n">
        <v>19815.653087725</v>
      </c>
      <c r="F40" s="22" t="n">
        <v>20193.3234478</v>
      </c>
      <c r="G40" s="22" t="n">
        <v>20504.511338368</v>
      </c>
      <c r="H40" s="22" t="n">
        <v>20883.895284381</v>
      </c>
      <c r="I40" s="22" t="n">
        <v>21339.8091715</v>
      </c>
      <c r="J40" s="22" t="n">
        <v>21867.661476757</v>
      </c>
      <c r="K40" s="22" t="n">
        <v>22504.5881095122</v>
      </c>
      <c r="L40" s="22" t="n">
        <v>23248.9425525383</v>
      </c>
      <c r="M40" s="22" t="n">
        <v>24105.5460860194</v>
      </c>
      <c r="N40" s="23" t="n">
        <v>25102.7301462033</v>
      </c>
      <c r="O40" s="24" t="n">
        <v>26249.4369668479</v>
      </c>
      <c r="P40" s="24" t="n">
        <v>27541.6839936078</v>
      </c>
      <c r="Q40" s="24" t="n">
        <v>28914.9632206565</v>
      </c>
      <c r="R40" s="24" t="n">
        <v>30363.5370854453</v>
      </c>
      <c r="S40" s="24" t="n">
        <v>31855.2273211011</v>
      </c>
      <c r="T40" s="24" t="n">
        <v>33403.6977443714</v>
      </c>
      <c r="U40" s="24" t="n">
        <v>35157.1916372225</v>
      </c>
      <c r="V40" s="24" t="n">
        <v>36694.510497482</v>
      </c>
      <c r="W40" s="24" t="n">
        <v>38257.9330902637</v>
      </c>
      <c r="X40" s="24" t="n">
        <v>569.715212586033</v>
      </c>
      <c r="Y40" s="7"/>
      <c r="Z40" s="7"/>
      <c r="AA40" s="7"/>
      <c r="AB40" s="34"/>
      <c r="AC40" s="34"/>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c r="BL40" s="35"/>
      <c r="BM40" s="35"/>
      <c r="BN40" s="35"/>
      <c r="BO40" s="35"/>
      <c r="BP40" s="35"/>
      <c r="BQ40" s="35"/>
      <c r="BR40" s="35"/>
      <c r="BS40" s="35"/>
      <c r="BT40" s="35"/>
      <c r="BU40" s="35"/>
      <c r="BV40" s="35"/>
      <c r="BW40" s="35"/>
      <c r="BX40" s="35"/>
      <c r="BY40" s="35"/>
      <c r="BZ40" s="35"/>
      <c r="CA40" s="35"/>
      <c r="CB40" s="35"/>
      <c r="CC40" s="35"/>
      <c r="CD40" s="35"/>
      <c r="CE40" s="35"/>
      <c r="CF40" s="35"/>
      <c r="CG40" s="35"/>
      <c r="CH40" s="35"/>
      <c r="CI40" s="35"/>
      <c r="CJ40" s="35"/>
      <c r="CK40" s="35"/>
      <c r="CL40" s="35"/>
      <c r="CM40" s="35"/>
      <c r="CN40" s="35"/>
      <c r="CO40" s="35"/>
      <c r="CP40" s="35"/>
      <c r="CQ40" s="35"/>
      <c r="CR40" s="35"/>
      <c r="CS40" s="35"/>
      <c r="CT40" s="35"/>
      <c r="CU40" s="35"/>
      <c r="CV40" s="35"/>
      <c r="CW40" s="35"/>
      <c r="CX40" s="35"/>
      <c r="CY40" s="35"/>
      <c r="CZ40" s="35"/>
      <c r="DA40" s="35"/>
      <c r="DB40" s="35"/>
      <c r="DC40" s="35"/>
      <c r="DD40" s="35"/>
      <c r="DE40" s="35"/>
      <c r="DF40" s="35"/>
      <c r="DG40" s="35"/>
      <c r="DH40" s="35"/>
      <c r="DI40" s="35"/>
      <c r="DJ40" s="35"/>
      <c r="DK40" s="35"/>
      <c r="DL40" s="35"/>
      <c r="DM40" s="35"/>
      <c r="DN40" s="35"/>
      <c r="DO40" s="35"/>
      <c r="DP40" s="35"/>
      <c r="DQ40" s="35"/>
      <c r="DR40" s="35"/>
      <c r="DS40" s="35"/>
      <c r="DT40" s="35"/>
      <c r="DU40" s="35"/>
      <c r="DV40" s="35"/>
      <c r="DW40" s="35"/>
      <c r="DX40" s="35"/>
      <c r="DY40" s="35"/>
      <c r="DZ40" s="35"/>
      <c r="EA40" s="35"/>
      <c r="EB40" s="35"/>
      <c r="EC40" s="35"/>
      <c r="ED40" s="35"/>
      <c r="EE40" s="35"/>
      <c r="EF40" s="35"/>
      <c r="EG40" s="35"/>
      <c r="EH40" s="35"/>
      <c r="EI40" s="35"/>
      <c r="EJ40" s="35"/>
      <c r="EK40" s="35"/>
      <c r="EL40" s="35"/>
      <c r="EM40" s="35"/>
      <c r="EN40" s="35"/>
      <c r="EO40" s="35"/>
      <c r="EP40" s="35"/>
      <c r="EQ40" s="35"/>
      <c r="ER40" s="35"/>
      <c r="ES40" s="35"/>
      <c r="ET40" s="35"/>
      <c r="EU40" s="35"/>
      <c r="EV40" s="35"/>
      <c r="EW40" s="35"/>
      <c r="EX40" s="35"/>
      <c r="EY40" s="35"/>
      <c r="EZ40" s="35"/>
      <c r="FA40" s="35"/>
      <c r="FB40" s="35"/>
      <c r="FC40" s="35"/>
      <c r="FD40" s="35"/>
      <c r="FE40" s="35"/>
      <c r="FF40" s="35"/>
      <c r="FG40" s="35"/>
      <c r="FH40" s="35"/>
      <c r="FI40" s="35"/>
      <c r="FJ40" s="35"/>
      <c r="FK40" s="35"/>
      <c r="FL40" s="35"/>
      <c r="FM40" s="35"/>
      <c r="FN40" s="35"/>
      <c r="FO40" s="35"/>
      <c r="FP40" s="35"/>
      <c r="FQ40" s="35"/>
      <c r="FR40" s="35"/>
      <c r="FS40" s="35"/>
      <c r="FT40" s="35"/>
      <c r="FU40" s="35"/>
      <c r="FV40" s="35"/>
      <c r="FW40" s="35"/>
      <c r="FX40" s="35"/>
      <c r="FY40" s="35"/>
      <c r="FZ40" s="35"/>
      <c r="GA40" s="35"/>
      <c r="GB40" s="35"/>
      <c r="GC40" s="35"/>
      <c r="GD40" s="35"/>
      <c r="GE40" s="35"/>
      <c r="GF40" s="35"/>
      <c r="GG40" s="35"/>
      <c r="GH40" s="35"/>
      <c r="GI40" s="35"/>
      <c r="GJ40" s="35"/>
      <c r="GK40" s="35"/>
      <c r="GL40" s="35"/>
      <c r="GM40" s="35"/>
      <c r="GN40" s="35"/>
      <c r="GO40" s="35"/>
      <c r="GP40" s="35"/>
      <c r="GQ40" s="35"/>
      <c r="GR40" s="35"/>
      <c r="GS40" s="35"/>
      <c r="GT40" s="35"/>
      <c r="GU40" s="35"/>
      <c r="GV40" s="35"/>
      <c r="GW40" s="35"/>
      <c r="GX40" s="35"/>
      <c r="GY40" s="35"/>
      <c r="GZ40" s="35"/>
      <c r="HA40" s="35"/>
      <c r="HB40" s="35"/>
      <c r="HC40" s="35"/>
      <c r="HD40" s="35"/>
      <c r="HE40" s="35"/>
      <c r="HF40" s="35"/>
      <c r="HG40" s="35"/>
      <c r="HH40" s="35"/>
      <c r="HI40" s="35"/>
      <c r="HJ40" s="35"/>
      <c r="HK40" s="35"/>
      <c r="HL40" s="35"/>
      <c r="HM40" s="35"/>
      <c r="HN40" s="35"/>
      <c r="HO40" s="35"/>
      <c r="HP40" s="35"/>
      <c r="HQ40" s="35"/>
      <c r="HR40" s="35"/>
      <c r="HS40" s="35"/>
      <c r="HT40" s="35"/>
      <c r="HU40" s="35"/>
      <c r="HV40" s="35"/>
      <c r="HW40" s="35"/>
      <c r="HX40" s="35"/>
      <c r="HY40" s="35"/>
      <c r="HZ40" s="35"/>
      <c r="IA40" s="35"/>
      <c r="IB40" s="35"/>
      <c r="IC40" s="35"/>
      <c r="ID40" s="35"/>
      <c r="IE40" s="35"/>
      <c r="IF40" s="35"/>
      <c r="IG40" s="35"/>
      <c r="IH40" s="35"/>
      <c r="II40" s="35"/>
      <c r="IJ40" s="35"/>
      <c r="IK40" s="35"/>
      <c r="IL40" s="35"/>
      <c r="IM40" s="35"/>
      <c r="IN40" s="35"/>
      <c r="IO40" s="35"/>
      <c r="IP40" s="35"/>
      <c r="IQ40" s="35"/>
      <c r="IR40" s="35"/>
      <c r="IS40" s="35"/>
      <c r="IT40" s="35"/>
      <c r="IU40" s="35"/>
      <c r="IV40" s="35"/>
      <c r="IW40" s="35"/>
    </row>
    <row r="41" customFormat="false" ht="12.75" hidden="false" customHeight="false" outlineLevel="1" collapsed="false">
      <c r="A41" s="25" t="s">
        <v>10</v>
      </c>
      <c r="B41" s="20" t="n">
        <f aca="false">NPV(0.1,D41:Y41)</f>
        <v>84996.3948832481</v>
      </c>
      <c r="C41" s="20" t="n">
        <f aca="false">B41-B31</f>
        <v>-80.3548086705268</v>
      </c>
      <c r="D41" s="21" t="n">
        <v>-272.869203914889</v>
      </c>
      <c r="E41" s="22" t="n">
        <v>393.470887815958</v>
      </c>
      <c r="F41" s="22" t="n">
        <v>444.858706292784</v>
      </c>
      <c r="G41" s="22" t="n">
        <v>6567.15843143932</v>
      </c>
      <c r="H41" s="22" t="n">
        <v>11494.6061945512</v>
      </c>
      <c r="I41" s="22" t="n">
        <v>12404.9522461943</v>
      </c>
      <c r="J41" s="22" t="n">
        <v>12988.5309526144</v>
      </c>
      <c r="K41" s="22" t="n">
        <v>13408.6218929004</v>
      </c>
      <c r="L41" s="22" t="n">
        <v>13910.1352569897</v>
      </c>
      <c r="M41" s="22" t="n">
        <v>14433.6049796616</v>
      </c>
      <c r="N41" s="23" t="n">
        <v>14980.4745018646</v>
      </c>
      <c r="O41" s="24" t="n">
        <v>15577.7062044415</v>
      </c>
      <c r="P41" s="24" t="n">
        <v>16278.6429018951</v>
      </c>
      <c r="Q41" s="24" t="n">
        <v>17017.3327088148</v>
      </c>
      <c r="R41" s="24" t="n">
        <v>17796.4549997722</v>
      </c>
      <c r="S41" s="24" t="n">
        <v>18541.8736368589</v>
      </c>
      <c r="T41" s="24" t="n">
        <v>19193.1793115395</v>
      </c>
      <c r="U41" s="24" t="n">
        <v>19874.2696861769</v>
      </c>
      <c r="V41" s="24" t="n">
        <v>20587.210420761</v>
      </c>
      <c r="W41" s="24" t="n">
        <v>21066.616577443</v>
      </c>
      <c r="X41" s="24" t="n">
        <v>0</v>
      </c>
      <c r="Y41" s="7"/>
      <c r="Z41" s="7"/>
      <c r="AA41" s="7"/>
      <c r="AB41" s="34"/>
      <c r="AC41" s="34"/>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c r="BN41" s="35"/>
      <c r="BO41" s="35"/>
      <c r="BP41" s="35"/>
      <c r="BQ41" s="35"/>
      <c r="BR41" s="35"/>
      <c r="BS41" s="35"/>
      <c r="BT41" s="35"/>
      <c r="BU41" s="35"/>
      <c r="BV41" s="35"/>
      <c r="BW41" s="35"/>
      <c r="BX41" s="35"/>
      <c r="BY41" s="35"/>
      <c r="BZ41" s="35"/>
      <c r="CA41" s="35"/>
      <c r="CB41" s="35"/>
      <c r="CC41" s="35"/>
      <c r="CD41" s="35"/>
      <c r="CE41" s="35"/>
      <c r="CF41" s="35"/>
      <c r="CG41" s="35"/>
      <c r="CH41" s="35"/>
      <c r="CI41" s="35"/>
      <c r="CJ41" s="35"/>
      <c r="CK41" s="35"/>
      <c r="CL41" s="35"/>
      <c r="CM41" s="35"/>
      <c r="CN41" s="35"/>
      <c r="CO41" s="35"/>
      <c r="CP41" s="35"/>
      <c r="CQ41" s="35"/>
      <c r="CR41" s="35"/>
      <c r="CS41" s="35"/>
      <c r="CT41" s="35"/>
      <c r="CU41" s="35"/>
      <c r="CV41" s="35"/>
      <c r="CW41" s="35"/>
      <c r="CX41" s="35"/>
      <c r="CY41" s="35"/>
      <c r="CZ41" s="35"/>
      <c r="DA41" s="35"/>
      <c r="DB41" s="35"/>
      <c r="DC41" s="35"/>
      <c r="DD41" s="35"/>
      <c r="DE41" s="35"/>
      <c r="DF41" s="35"/>
      <c r="DG41" s="35"/>
      <c r="DH41" s="35"/>
      <c r="DI41" s="35"/>
      <c r="DJ41" s="35"/>
      <c r="DK41" s="35"/>
      <c r="DL41" s="35"/>
      <c r="DM41" s="35"/>
      <c r="DN41" s="35"/>
      <c r="DO41" s="35"/>
      <c r="DP41" s="35"/>
      <c r="DQ41" s="35"/>
      <c r="DR41" s="35"/>
      <c r="DS41" s="35"/>
      <c r="DT41" s="35"/>
      <c r="DU41" s="35"/>
      <c r="DV41" s="35"/>
      <c r="DW41" s="35"/>
      <c r="DX41" s="35"/>
      <c r="DY41" s="35"/>
      <c r="DZ41" s="35"/>
      <c r="EA41" s="35"/>
      <c r="EB41" s="35"/>
      <c r="EC41" s="35"/>
      <c r="ED41" s="35"/>
      <c r="EE41" s="35"/>
      <c r="EF41" s="35"/>
      <c r="EG41" s="35"/>
      <c r="EH41" s="35"/>
      <c r="EI41" s="35"/>
      <c r="EJ41" s="35"/>
      <c r="EK41" s="35"/>
      <c r="EL41" s="35"/>
      <c r="EM41" s="35"/>
      <c r="EN41" s="35"/>
      <c r="EO41" s="35"/>
      <c r="EP41" s="35"/>
      <c r="EQ41" s="35"/>
      <c r="ER41" s="35"/>
      <c r="ES41" s="35"/>
      <c r="ET41" s="35"/>
      <c r="EU41" s="35"/>
      <c r="EV41" s="35"/>
      <c r="EW41" s="35"/>
      <c r="EX41" s="35"/>
      <c r="EY41" s="35"/>
      <c r="EZ41" s="35"/>
      <c r="FA41" s="35"/>
      <c r="FB41" s="35"/>
      <c r="FC41" s="35"/>
      <c r="FD41" s="35"/>
      <c r="FE41" s="35"/>
      <c r="FF41" s="35"/>
      <c r="FG41" s="35"/>
      <c r="FH41" s="35"/>
      <c r="FI41" s="35"/>
      <c r="FJ41" s="35"/>
      <c r="FK41" s="35"/>
      <c r="FL41" s="35"/>
      <c r="FM41" s="35"/>
      <c r="FN41" s="35"/>
      <c r="FO41" s="35"/>
      <c r="FP41" s="35"/>
      <c r="FQ41" s="35"/>
      <c r="FR41" s="35"/>
      <c r="FS41" s="35"/>
      <c r="FT41" s="35"/>
      <c r="FU41" s="35"/>
      <c r="FV41" s="35"/>
      <c r="FW41" s="35"/>
      <c r="FX41" s="35"/>
      <c r="FY41" s="35"/>
      <c r="FZ41" s="35"/>
      <c r="GA41" s="35"/>
      <c r="GB41" s="35"/>
      <c r="GC41" s="35"/>
      <c r="GD41" s="35"/>
      <c r="GE41" s="35"/>
      <c r="GF41" s="35"/>
      <c r="GG41" s="35"/>
      <c r="GH41" s="35"/>
      <c r="GI41" s="35"/>
      <c r="GJ41" s="35"/>
      <c r="GK41" s="35"/>
      <c r="GL41" s="35"/>
      <c r="GM41" s="35"/>
      <c r="GN41" s="35"/>
      <c r="GO41" s="35"/>
      <c r="GP41" s="35"/>
      <c r="GQ41" s="35"/>
      <c r="GR41" s="35"/>
      <c r="GS41" s="35"/>
      <c r="GT41" s="35"/>
      <c r="GU41" s="35"/>
      <c r="GV41" s="35"/>
      <c r="GW41" s="35"/>
      <c r="GX41" s="35"/>
      <c r="GY41" s="35"/>
      <c r="GZ41" s="35"/>
      <c r="HA41" s="35"/>
      <c r="HB41" s="35"/>
      <c r="HC41" s="35"/>
      <c r="HD41" s="35"/>
      <c r="HE41" s="35"/>
      <c r="HF41" s="35"/>
      <c r="HG41" s="35"/>
      <c r="HH41" s="35"/>
      <c r="HI41" s="35"/>
      <c r="HJ41" s="35"/>
      <c r="HK41" s="35"/>
      <c r="HL41" s="35"/>
      <c r="HM41" s="35"/>
      <c r="HN41" s="35"/>
      <c r="HO41" s="35"/>
      <c r="HP41" s="35"/>
      <c r="HQ41" s="35"/>
      <c r="HR41" s="35"/>
      <c r="HS41" s="35"/>
      <c r="HT41" s="35"/>
      <c r="HU41" s="35"/>
      <c r="HV41" s="35"/>
      <c r="HW41" s="35"/>
      <c r="HX41" s="35"/>
      <c r="HY41" s="35"/>
      <c r="HZ41" s="35"/>
      <c r="IA41" s="35"/>
      <c r="IB41" s="35"/>
      <c r="IC41" s="35"/>
      <c r="ID41" s="35"/>
      <c r="IE41" s="35"/>
      <c r="IF41" s="35"/>
      <c r="IG41" s="35"/>
      <c r="IH41" s="35"/>
      <c r="II41" s="35"/>
      <c r="IJ41" s="35"/>
      <c r="IK41" s="35"/>
      <c r="IL41" s="35"/>
      <c r="IM41" s="35"/>
      <c r="IN41" s="35"/>
      <c r="IO41" s="35"/>
      <c r="IP41" s="35"/>
      <c r="IQ41" s="35"/>
      <c r="IR41" s="35"/>
      <c r="IS41" s="35"/>
      <c r="IT41" s="35"/>
      <c r="IU41" s="35"/>
      <c r="IV41" s="35"/>
      <c r="IW41" s="35"/>
    </row>
    <row r="42" customFormat="false" ht="12.75" hidden="false" customHeight="false" outlineLevel="1" collapsed="false">
      <c r="A42" s="25" t="s">
        <v>11</v>
      </c>
      <c r="B42" s="20" t="n">
        <f aca="false">NPV(0.1,D42:Y42)</f>
        <v>100750.391807545</v>
      </c>
      <c r="C42" s="20" t="n">
        <f aca="false">B42-B32</f>
        <v>-9.10995655809529</v>
      </c>
      <c r="D42" s="26" t="n">
        <v>2741.36298081261</v>
      </c>
      <c r="E42" s="27" t="n">
        <v>4384.31603560582</v>
      </c>
      <c r="F42" s="27" t="n">
        <v>4383.89358657684</v>
      </c>
      <c r="G42" s="27" t="n">
        <v>16858.5584429786</v>
      </c>
      <c r="H42" s="27" t="n">
        <v>21081.6974267603</v>
      </c>
      <c r="I42" s="27" t="n">
        <v>15284.3512665912</v>
      </c>
      <c r="J42" s="27" t="n">
        <v>15127.4357645492</v>
      </c>
      <c r="K42" s="27" t="n">
        <v>15035.07445825</v>
      </c>
      <c r="L42" s="27" t="n">
        <v>14973.4895023815</v>
      </c>
      <c r="M42" s="27" t="n">
        <v>14904.2878168226</v>
      </c>
      <c r="N42" s="28" t="n">
        <v>14802.1432201752</v>
      </c>
      <c r="O42" s="24" t="n">
        <v>14651.7304163529</v>
      </c>
      <c r="P42" s="24" t="n">
        <v>14533.3019051135</v>
      </c>
      <c r="Q42" s="24" t="n">
        <v>14400.1999754514</v>
      </c>
      <c r="R42" s="24" t="n">
        <v>14226.4097269419</v>
      </c>
      <c r="S42" s="24" t="n">
        <v>10877.5736555774</v>
      </c>
      <c r="T42" s="24" t="n">
        <v>10132.6065680029</v>
      </c>
      <c r="U42" s="24" t="n">
        <v>9792.3333760267</v>
      </c>
      <c r="V42" s="24" t="n">
        <v>9413.61188529513</v>
      </c>
      <c r="W42" s="24" t="n">
        <v>15467.8030275279</v>
      </c>
      <c r="X42" s="24" t="n">
        <v>0</v>
      </c>
      <c r="Y42" s="7"/>
      <c r="Z42" s="7"/>
      <c r="AA42" s="7"/>
      <c r="AB42" s="34"/>
      <c r="AC42" s="34"/>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c r="BS42" s="35"/>
      <c r="BT42" s="35"/>
      <c r="BU42" s="35"/>
      <c r="BV42" s="35"/>
      <c r="BW42" s="35"/>
      <c r="BX42" s="35"/>
      <c r="BY42" s="35"/>
      <c r="BZ42" s="35"/>
      <c r="CA42" s="35"/>
      <c r="CB42" s="35"/>
      <c r="CC42" s="35"/>
      <c r="CD42" s="35"/>
      <c r="CE42" s="35"/>
      <c r="CF42" s="35"/>
      <c r="CG42" s="35"/>
      <c r="CH42" s="35"/>
      <c r="CI42" s="35"/>
      <c r="CJ42" s="35"/>
      <c r="CK42" s="35"/>
      <c r="CL42" s="35"/>
      <c r="CM42" s="35"/>
      <c r="CN42" s="35"/>
      <c r="CO42" s="35"/>
      <c r="CP42" s="35"/>
      <c r="CQ42" s="35"/>
      <c r="CR42" s="35"/>
      <c r="CS42" s="35"/>
      <c r="CT42" s="35"/>
      <c r="CU42" s="35"/>
      <c r="CV42" s="35"/>
      <c r="CW42" s="35"/>
      <c r="CX42" s="35"/>
      <c r="CY42" s="35"/>
      <c r="CZ42" s="35"/>
      <c r="DA42" s="35"/>
      <c r="DB42" s="35"/>
      <c r="DC42" s="35"/>
      <c r="DD42" s="35"/>
      <c r="DE42" s="35"/>
      <c r="DF42" s="35"/>
      <c r="DG42" s="35"/>
      <c r="DH42" s="35"/>
      <c r="DI42" s="35"/>
      <c r="DJ42" s="35"/>
      <c r="DK42" s="35"/>
      <c r="DL42" s="35"/>
      <c r="DM42" s="35"/>
      <c r="DN42" s="35"/>
      <c r="DO42" s="35"/>
      <c r="DP42" s="35"/>
      <c r="DQ42" s="35"/>
      <c r="DR42" s="35"/>
      <c r="DS42" s="35"/>
      <c r="DT42" s="35"/>
      <c r="DU42" s="35"/>
      <c r="DV42" s="35"/>
      <c r="DW42" s="35"/>
      <c r="DX42" s="35"/>
      <c r="DY42" s="35"/>
      <c r="DZ42" s="35"/>
      <c r="EA42" s="35"/>
      <c r="EB42" s="35"/>
      <c r="EC42" s="35"/>
      <c r="ED42" s="35"/>
      <c r="EE42" s="35"/>
      <c r="EF42" s="35"/>
      <c r="EG42" s="35"/>
      <c r="EH42" s="35"/>
      <c r="EI42" s="35"/>
      <c r="EJ42" s="35"/>
      <c r="EK42" s="35"/>
      <c r="EL42" s="35"/>
      <c r="EM42" s="35"/>
      <c r="EN42" s="35"/>
      <c r="EO42" s="35"/>
      <c r="EP42" s="35"/>
      <c r="EQ42" s="35"/>
      <c r="ER42" s="35"/>
      <c r="ES42" s="35"/>
      <c r="ET42" s="35"/>
      <c r="EU42" s="35"/>
      <c r="EV42" s="35"/>
      <c r="EW42" s="35"/>
      <c r="EX42" s="35"/>
      <c r="EY42" s="35"/>
      <c r="EZ42" s="35"/>
      <c r="FA42" s="35"/>
      <c r="FB42" s="35"/>
      <c r="FC42" s="35"/>
      <c r="FD42" s="35"/>
      <c r="FE42" s="35"/>
      <c r="FF42" s="35"/>
      <c r="FG42" s="35"/>
      <c r="FH42" s="35"/>
      <c r="FI42" s="35"/>
      <c r="FJ42" s="35"/>
      <c r="FK42" s="35"/>
      <c r="FL42" s="35"/>
      <c r="FM42" s="35"/>
      <c r="FN42" s="35"/>
      <c r="FO42" s="35"/>
      <c r="FP42" s="35"/>
      <c r="FQ42" s="35"/>
      <c r="FR42" s="35"/>
      <c r="FS42" s="35"/>
      <c r="FT42" s="35"/>
      <c r="FU42" s="35"/>
      <c r="FV42" s="35"/>
      <c r="FW42" s="35"/>
      <c r="FX42" s="35"/>
      <c r="FY42" s="35"/>
      <c r="FZ42" s="35"/>
      <c r="GA42" s="35"/>
      <c r="GB42" s="35"/>
      <c r="GC42" s="35"/>
      <c r="GD42" s="35"/>
      <c r="GE42" s="35"/>
      <c r="GF42" s="35"/>
      <c r="GG42" s="35"/>
      <c r="GH42" s="35"/>
      <c r="GI42" s="35"/>
      <c r="GJ42" s="35"/>
      <c r="GK42" s="35"/>
      <c r="GL42" s="35"/>
      <c r="GM42" s="35"/>
      <c r="GN42" s="35"/>
      <c r="GO42" s="35"/>
      <c r="GP42" s="35"/>
      <c r="GQ42" s="35"/>
      <c r="GR42" s="35"/>
      <c r="GS42" s="35"/>
      <c r="GT42" s="35"/>
      <c r="GU42" s="35"/>
      <c r="GV42" s="35"/>
      <c r="GW42" s="35"/>
      <c r="GX42" s="35"/>
      <c r="GY42" s="35"/>
      <c r="GZ42" s="35"/>
      <c r="HA42" s="35"/>
      <c r="HB42" s="35"/>
      <c r="HC42" s="35"/>
      <c r="HD42" s="35"/>
      <c r="HE42" s="35"/>
      <c r="HF42" s="35"/>
      <c r="HG42" s="35"/>
      <c r="HH42" s="35"/>
      <c r="HI42" s="35"/>
      <c r="HJ42" s="35"/>
      <c r="HK42" s="35"/>
      <c r="HL42" s="35"/>
      <c r="HM42" s="35"/>
      <c r="HN42" s="35"/>
      <c r="HO42" s="35"/>
      <c r="HP42" s="35"/>
      <c r="HQ42" s="35"/>
      <c r="HR42" s="35"/>
      <c r="HS42" s="35"/>
      <c r="HT42" s="35"/>
      <c r="HU42" s="35"/>
      <c r="HV42" s="35"/>
      <c r="HW42" s="35"/>
      <c r="HX42" s="35"/>
      <c r="HY42" s="35"/>
      <c r="HZ42" s="35"/>
      <c r="IA42" s="35"/>
      <c r="IB42" s="35"/>
      <c r="IC42" s="35"/>
      <c r="ID42" s="35"/>
      <c r="IE42" s="35"/>
      <c r="IF42" s="35"/>
      <c r="IG42" s="35"/>
      <c r="IH42" s="35"/>
      <c r="II42" s="35"/>
      <c r="IJ42" s="35"/>
      <c r="IK42" s="35"/>
      <c r="IL42" s="35"/>
      <c r="IM42" s="35"/>
      <c r="IN42" s="35"/>
      <c r="IO42" s="35"/>
      <c r="IP42" s="35"/>
      <c r="IQ42" s="35"/>
      <c r="IR42" s="35"/>
      <c r="IS42" s="35"/>
      <c r="IT42" s="35"/>
      <c r="IU42" s="35"/>
      <c r="IV42" s="35"/>
      <c r="IW42" s="35"/>
    </row>
    <row r="43" customFormat="false" ht="12.75" hidden="false" customHeight="false" outlineLevel="1" collapsed="false">
      <c r="A43" s="7"/>
      <c r="B43" s="7"/>
      <c r="D43" s="7"/>
      <c r="E43" s="7"/>
      <c r="F43" s="7"/>
      <c r="G43" s="7"/>
      <c r="H43" s="7"/>
      <c r="I43" s="7"/>
      <c r="J43" s="7"/>
      <c r="K43" s="7"/>
      <c r="L43" s="7"/>
      <c r="M43" s="7"/>
      <c r="N43" s="7"/>
      <c r="O43" s="7"/>
      <c r="P43" s="7"/>
      <c r="Q43" s="7"/>
      <c r="R43" s="7"/>
      <c r="S43" s="7"/>
      <c r="T43" s="7"/>
      <c r="U43" s="7"/>
      <c r="V43" s="7"/>
      <c r="W43" s="7"/>
      <c r="X43" s="7"/>
      <c r="Y43" s="7"/>
      <c r="Z43" s="7"/>
      <c r="AA43" s="7"/>
    </row>
    <row r="44" customFormat="false" ht="12.75" hidden="false" customHeight="false" outlineLevel="1" collapsed="false">
      <c r="A44" s="29" t="s">
        <v>15</v>
      </c>
      <c r="B44" s="7"/>
      <c r="D44" s="7"/>
      <c r="E44" s="7"/>
      <c r="F44" s="7"/>
      <c r="G44" s="7"/>
      <c r="H44" s="7"/>
      <c r="I44" s="7"/>
      <c r="J44" s="7"/>
      <c r="K44" s="7"/>
      <c r="L44" s="7"/>
      <c r="M44" s="7"/>
      <c r="N44" s="7"/>
      <c r="O44" s="7"/>
      <c r="P44" s="7"/>
      <c r="Q44" s="7"/>
      <c r="R44" s="7"/>
      <c r="S44" s="7"/>
      <c r="T44" s="7"/>
      <c r="U44" s="7"/>
      <c r="V44" s="7"/>
      <c r="W44" s="7"/>
      <c r="X44" s="7"/>
      <c r="Y44" s="7"/>
      <c r="Z44" s="7"/>
      <c r="AA44" s="7"/>
    </row>
    <row r="45" customFormat="false" ht="12.75" hidden="false" customHeight="false" outlineLevel="0" collapsed="false">
      <c r="A45" s="7"/>
      <c r="B45" s="7"/>
      <c r="D45" s="7"/>
      <c r="E45" s="7"/>
      <c r="F45" s="7"/>
      <c r="G45" s="7"/>
      <c r="H45" s="7"/>
      <c r="I45" s="7"/>
      <c r="J45" s="7"/>
      <c r="K45" s="7"/>
      <c r="L45" s="7"/>
      <c r="M45" s="7"/>
      <c r="N45" s="7"/>
      <c r="O45" s="7"/>
      <c r="P45" s="7"/>
      <c r="Q45" s="7"/>
      <c r="R45" s="7"/>
      <c r="S45" s="7"/>
      <c r="T45" s="7"/>
      <c r="U45" s="7"/>
      <c r="V45" s="7"/>
      <c r="W45" s="7"/>
      <c r="X45" s="7"/>
      <c r="Y45" s="7"/>
      <c r="Z45" s="7"/>
      <c r="AA45" s="7"/>
    </row>
    <row r="46" customFormat="false" ht="12.75" hidden="false" customHeight="false" outlineLevel="0" collapsed="false">
      <c r="A46" s="10" t="s">
        <v>3</v>
      </c>
      <c r="B46" s="11" t="n">
        <v>72972.0950062858</v>
      </c>
      <c r="D46" s="7"/>
      <c r="E46" s="7"/>
      <c r="F46" s="7"/>
      <c r="G46" s="7"/>
      <c r="H46" s="7"/>
      <c r="I46" s="7"/>
      <c r="J46" s="7"/>
      <c r="K46" s="7"/>
      <c r="L46" s="7"/>
      <c r="M46" s="7"/>
      <c r="N46" s="7"/>
      <c r="O46" s="7"/>
      <c r="P46" s="7"/>
      <c r="Q46" s="7"/>
      <c r="R46" s="7"/>
      <c r="S46" s="7"/>
      <c r="T46" s="7"/>
      <c r="U46" s="7"/>
      <c r="V46" s="7"/>
      <c r="W46" s="7"/>
      <c r="X46" s="7"/>
      <c r="Y46" s="7"/>
      <c r="Z46" s="7"/>
      <c r="AA46" s="7"/>
    </row>
    <row r="47" customFormat="false" ht="12.75" hidden="false" customHeight="false" outlineLevel="0" collapsed="false">
      <c r="A47" s="12" t="s">
        <v>4</v>
      </c>
      <c r="B47" s="13" t="n">
        <v>112010.46112267</v>
      </c>
      <c r="D47" s="7"/>
      <c r="E47" s="7"/>
      <c r="F47" s="7"/>
      <c r="G47" s="7"/>
      <c r="H47" s="7"/>
      <c r="I47" s="7"/>
      <c r="J47" s="7"/>
      <c r="K47" s="7"/>
      <c r="L47" s="7"/>
      <c r="M47" s="7"/>
      <c r="N47" s="7"/>
      <c r="O47" s="7"/>
      <c r="P47" s="7"/>
      <c r="Q47" s="7"/>
      <c r="R47" s="7"/>
      <c r="S47" s="7"/>
      <c r="T47" s="7"/>
      <c r="U47" s="7"/>
      <c r="V47" s="7"/>
      <c r="W47" s="7"/>
      <c r="X47" s="7"/>
      <c r="Y47" s="7"/>
      <c r="Z47" s="7"/>
      <c r="AA47" s="7"/>
    </row>
    <row r="48" customFormat="false" ht="12.75" hidden="false" customHeight="false" outlineLevel="1" collapsed="false">
      <c r="A48" s="14" t="s">
        <v>5</v>
      </c>
      <c r="B48" s="15" t="s">
        <v>6</v>
      </c>
      <c r="C48" s="15" t="s">
        <v>7</v>
      </c>
      <c r="D48" s="16" t="n">
        <v>2000</v>
      </c>
      <c r="E48" s="17" t="n">
        <v>2001</v>
      </c>
      <c r="F48" s="17" t="n">
        <v>2002</v>
      </c>
      <c r="G48" s="17" t="n">
        <v>2003</v>
      </c>
      <c r="H48" s="17" t="n">
        <v>2004</v>
      </c>
      <c r="I48" s="17" t="n">
        <v>2005</v>
      </c>
      <c r="J48" s="17" t="n">
        <v>2006</v>
      </c>
      <c r="K48" s="17" t="n">
        <v>2007</v>
      </c>
      <c r="L48" s="17" t="n">
        <v>2008</v>
      </c>
      <c r="M48" s="17" t="n">
        <v>2009</v>
      </c>
      <c r="N48" s="18" t="n">
        <v>2010</v>
      </c>
      <c r="O48" s="19" t="n">
        <v>2011</v>
      </c>
      <c r="P48" s="19" t="n">
        <v>2012</v>
      </c>
      <c r="Q48" s="19" t="n">
        <v>2013</v>
      </c>
      <c r="R48" s="19" t="n">
        <v>2014</v>
      </c>
      <c r="S48" s="19" t="n">
        <v>2015</v>
      </c>
      <c r="T48" s="19" t="n">
        <v>2016</v>
      </c>
      <c r="U48" s="19" t="n">
        <v>2017</v>
      </c>
      <c r="V48" s="19" t="n">
        <v>2018</v>
      </c>
      <c r="W48" s="19" t="n">
        <v>2019</v>
      </c>
      <c r="X48" s="19" t="n">
        <v>2020</v>
      </c>
      <c r="Y48" s="7"/>
      <c r="Z48" s="7"/>
      <c r="AA48" s="7"/>
    </row>
    <row r="49" customFormat="false" ht="12.75" hidden="false" customHeight="false" outlineLevel="1" collapsed="false">
      <c r="A49" s="14" t="s">
        <v>8</v>
      </c>
      <c r="B49" s="20" t="n">
        <f aca="false">NPV(0.1,D49:Y49)</f>
        <v>462628.037074253</v>
      </c>
      <c r="C49" s="20" t="n">
        <f aca="false">B49-B39</f>
        <v>0</v>
      </c>
      <c r="D49" s="21" t="n">
        <v>26458.2843077875</v>
      </c>
      <c r="E49" s="22" t="n">
        <v>37343.823387725</v>
      </c>
      <c r="F49" s="22" t="n">
        <v>37617.1330148</v>
      </c>
      <c r="G49" s="22" t="n">
        <v>48055.870744618</v>
      </c>
      <c r="H49" s="22" t="n">
        <v>56670.0120212177</v>
      </c>
      <c r="I49" s="22" t="n">
        <v>58073.821476875</v>
      </c>
      <c r="J49" s="22" t="n">
        <v>59031.1105377245</v>
      </c>
      <c r="K49" s="22" t="n">
        <v>60089.9966955929</v>
      </c>
      <c r="L49" s="22" t="n">
        <v>61247.9983063441</v>
      </c>
      <c r="M49" s="22" t="n">
        <v>62509.0581451464</v>
      </c>
      <c r="N49" s="23" t="n">
        <v>63900.5839140522</v>
      </c>
      <c r="O49" s="24" t="n">
        <v>65587.9016694256</v>
      </c>
      <c r="P49" s="24" t="n">
        <v>67418.0953938669</v>
      </c>
      <c r="Q49" s="24" t="n">
        <v>69326.0106774856</v>
      </c>
      <c r="R49" s="24" t="n">
        <v>71305.2271672383</v>
      </c>
      <c r="S49" s="24" t="n">
        <v>73322.8458179048</v>
      </c>
      <c r="T49" s="24" t="n">
        <v>75026.9355458695</v>
      </c>
      <c r="U49" s="24" t="n">
        <v>76907.8822203096</v>
      </c>
      <c r="V49" s="24" t="n">
        <v>78542.657290292</v>
      </c>
      <c r="W49" s="24" t="n">
        <v>80171.6250191153</v>
      </c>
      <c r="X49" s="24" t="n">
        <v>20103.486715349</v>
      </c>
      <c r="Y49" s="7"/>
      <c r="Z49" s="7"/>
      <c r="AA49" s="7"/>
    </row>
    <row r="50" customFormat="false" ht="12.75" hidden="false" customHeight="false" outlineLevel="1" collapsed="false">
      <c r="A50" s="25" t="s">
        <v>9</v>
      </c>
      <c r="B50" s="20" t="n">
        <f aca="false">NPV(0.1,D50:Y50)</f>
        <v>199967.756477925</v>
      </c>
      <c r="C50" s="20" t="n">
        <f aca="false">B50-B40</f>
        <v>2095.71558307949</v>
      </c>
      <c r="D50" s="21" t="n">
        <v>16379.2220744542</v>
      </c>
      <c r="E50" s="22" t="n">
        <v>20027.833087725</v>
      </c>
      <c r="F50" s="22" t="n">
        <v>20411.8688478</v>
      </c>
      <c r="G50" s="22" t="n">
        <v>20729.613100368</v>
      </c>
      <c r="H50" s="22" t="n">
        <v>21115.750099241</v>
      </c>
      <c r="I50" s="22" t="n">
        <v>21578.6196308058</v>
      </c>
      <c r="J50" s="22" t="n">
        <v>22113.6362498419</v>
      </c>
      <c r="K50" s="22" t="n">
        <v>22757.9421257897</v>
      </c>
      <c r="L50" s="22" t="n">
        <v>23509.8971893041</v>
      </c>
      <c r="M50" s="22" t="n">
        <v>24374.3293618883</v>
      </c>
      <c r="N50" s="23" t="n">
        <v>25379.5769203482</v>
      </c>
      <c r="O50" s="24" t="n">
        <v>26534.5891442171</v>
      </c>
      <c r="P50" s="24" t="n">
        <v>27835.3907362981</v>
      </c>
      <c r="Q50" s="24" t="n">
        <v>29217.4811656276</v>
      </c>
      <c r="R50" s="24" t="n">
        <v>30675.1305687654</v>
      </c>
      <c r="S50" s="24" t="n">
        <v>32176.1686089209</v>
      </c>
      <c r="T50" s="24" t="n">
        <v>33734.2672708257</v>
      </c>
      <c r="U50" s="24" t="n">
        <v>35497.6782494705</v>
      </c>
      <c r="V50" s="24" t="n">
        <v>37045.2117080974</v>
      </c>
      <c r="W50" s="24" t="n">
        <v>38619.1553371975</v>
      </c>
      <c r="X50" s="24" t="n">
        <v>724.739760228491</v>
      </c>
      <c r="Y50" s="7"/>
      <c r="Z50" s="7"/>
      <c r="AA50" s="7"/>
    </row>
    <row r="51" customFormat="false" ht="12.75" hidden="false" customHeight="false" outlineLevel="1" collapsed="false">
      <c r="A51" s="25" t="s">
        <v>10</v>
      </c>
      <c r="B51" s="20" t="n">
        <f aca="false">NPV(0.1,D51:Y51)</f>
        <v>84089.4192034424</v>
      </c>
      <c r="C51" s="20" t="n">
        <f aca="false">B51-B41</f>
        <v>-906.975679805692</v>
      </c>
      <c r="D51" s="21" t="n">
        <v>-312.933246690943</v>
      </c>
      <c r="E51" s="22" t="n">
        <v>319.379811534115</v>
      </c>
      <c r="F51" s="22" t="n">
        <v>363.662237189255</v>
      </c>
      <c r="G51" s="22" t="n">
        <v>6478.25990956623</v>
      </c>
      <c r="H51" s="22" t="n">
        <v>11401.1874097029</v>
      </c>
      <c r="I51" s="22" t="n">
        <v>12306.724069667</v>
      </c>
      <c r="J51" s="22" t="n">
        <v>12885.1833001779</v>
      </c>
      <c r="K51" s="22" t="n">
        <v>13299.8221135994</v>
      </c>
      <c r="L51" s="22" t="n">
        <v>13795.5263950058</v>
      </c>
      <c r="M51" s="22" t="n">
        <v>14312.803899141</v>
      </c>
      <c r="N51" s="23" t="n">
        <v>14853.069863808</v>
      </c>
      <c r="O51" s="24" t="n">
        <v>15443.2562838841</v>
      </c>
      <c r="P51" s="24" t="n">
        <v>16136.6732326641</v>
      </c>
      <c r="Q51" s="24" t="n">
        <v>16867.3335421365</v>
      </c>
      <c r="R51" s="24" t="n">
        <v>17637.8785619044</v>
      </c>
      <c r="S51" s="24" t="n">
        <v>18374.1311697417</v>
      </c>
      <c r="T51" s="24" t="n">
        <v>19015.6378791774</v>
      </c>
      <c r="U51" s="24" t="n">
        <v>19686.2487280849</v>
      </c>
      <c r="V51" s="24" t="n">
        <v>20387.9780323174</v>
      </c>
      <c r="W51" s="24" t="n">
        <v>20857.5755908172</v>
      </c>
      <c r="X51" s="24" t="n">
        <v>0</v>
      </c>
      <c r="Y51" s="7"/>
      <c r="Z51" s="7"/>
      <c r="AA51" s="7"/>
    </row>
    <row r="52" customFormat="false" ht="12.75" hidden="false" customHeight="false" outlineLevel="1" collapsed="false">
      <c r="A52" s="25" t="s">
        <v>11</v>
      </c>
      <c r="B52" s="20" t="n">
        <f aca="false">NPV(0.1,D52:Y52)</f>
        <v>100203.6925154</v>
      </c>
      <c r="C52" s="20" t="n">
        <f aca="false">B52-B42</f>
        <v>-546.699292144796</v>
      </c>
      <c r="D52" s="26" t="n">
        <v>2711.49000965876</v>
      </c>
      <c r="E52" s="27" t="n">
        <v>4331.67907406735</v>
      </c>
      <c r="F52" s="27" t="n">
        <v>4329.78768657684</v>
      </c>
      <c r="G52" s="27" t="n">
        <v>16719.8250396247</v>
      </c>
      <c r="H52" s="27" t="n">
        <v>21176.9518123686</v>
      </c>
      <c r="I52" s="27" t="n">
        <v>15203.8732111936</v>
      </c>
      <c r="J52" s="27" t="n">
        <v>15046.1239684445</v>
      </c>
      <c r="K52" s="27" t="n">
        <v>14953.0251010643</v>
      </c>
      <c r="L52" s="27" t="n">
        <v>14890.8113444775</v>
      </c>
      <c r="M52" s="27" t="n">
        <v>14821.1033523495</v>
      </c>
      <c r="N52" s="28" t="n">
        <v>14718.5899267603</v>
      </c>
      <c r="O52" s="24" t="n">
        <v>14567.9621092983</v>
      </c>
      <c r="P52" s="24" t="n">
        <v>14449.490204594</v>
      </c>
      <c r="Q52" s="24" t="n">
        <v>14316.5358958937</v>
      </c>
      <c r="R52" s="24" t="n">
        <v>14143.1053985041</v>
      </c>
      <c r="S52" s="24" t="n">
        <v>10794.8641884444</v>
      </c>
      <c r="T52" s="24" t="n">
        <v>10050.7520710775</v>
      </c>
      <c r="U52" s="24" t="n">
        <v>9711.62114252387</v>
      </c>
      <c r="V52" s="24" t="n">
        <v>9334.35875875488</v>
      </c>
      <c r="W52" s="24" t="n">
        <v>15310.9403659773</v>
      </c>
      <c r="X52" s="24" t="n">
        <v>0</v>
      </c>
      <c r="Y52" s="7"/>
      <c r="Z52" s="7"/>
      <c r="AA52" s="7"/>
    </row>
    <row r="53" customFormat="false" ht="12.75" hidden="false" customHeight="false" outlineLevel="1" collapsed="false">
      <c r="A53" s="7"/>
      <c r="B53" s="7"/>
      <c r="D53" s="7"/>
      <c r="E53" s="7"/>
      <c r="F53" s="7"/>
      <c r="G53" s="7"/>
      <c r="H53" s="7"/>
      <c r="I53" s="7"/>
      <c r="J53" s="7"/>
      <c r="K53" s="7"/>
      <c r="L53" s="7"/>
      <c r="M53" s="7"/>
      <c r="N53" s="7"/>
      <c r="O53" s="7"/>
      <c r="P53" s="7"/>
      <c r="Q53" s="7"/>
      <c r="R53" s="7"/>
      <c r="S53" s="7"/>
      <c r="T53" s="7"/>
      <c r="U53" s="7"/>
      <c r="V53" s="7"/>
      <c r="W53" s="7"/>
      <c r="X53" s="7"/>
      <c r="Y53" s="7"/>
      <c r="Z53" s="7"/>
      <c r="AA53" s="7"/>
    </row>
    <row r="54" customFormat="false" ht="12.75" hidden="false" customHeight="false" outlineLevel="1" collapsed="false">
      <c r="A54" s="29" t="s">
        <v>16</v>
      </c>
      <c r="B54" s="7"/>
      <c r="D54" s="7"/>
      <c r="E54" s="7"/>
      <c r="F54" s="7"/>
      <c r="G54" s="7"/>
      <c r="H54" s="7"/>
      <c r="I54" s="7"/>
      <c r="J54" s="7"/>
      <c r="K54" s="7"/>
      <c r="L54" s="7"/>
      <c r="M54" s="7"/>
      <c r="N54" s="7"/>
      <c r="O54" s="7"/>
      <c r="P54" s="7"/>
      <c r="Q54" s="7"/>
      <c r="R54" s="7"/>
      <c r="S54" s="7"/>
      <c r="T54" s="7"/>
      <c r="U54" s="7"/>
      <c r="V54" s="7"/>
      <c r="W54" s="7"/>
      <c r="X54" s="7"/>
      <c r="Y54" s="7"/>
      <c r="Z54" s="7"/>
      <c r="AA54" s="7"/>
    </row>
    <row r="55" customFormat="false" ht="12.75" hidden="false" customHeight="false" outlineLevel="1" collapsed="false">
      <c r="A55" s="7"/>
      <c r="B55" s="7"/>
      <c r="D55" s="7"/>
      <c r="E55" s="7"/>
      <c r="F55" s="7"/>
      <c r="G55" s="7"/>
      <c r="H55" s="7"/>
      <c r="I55" s="7"/>
      <c r="J55" s="7"/>
      <c r="K55" s="7"/>
      <c r="L55" s="7"/>
      <c r="M55" s="7"/>
      <c r="N55" s="7"/>
      <c r="O55" s="7"/>
      <c r="P55" s="7"/>
      <c r="Q55" s="7"/>
      <c r="R55" s="7"/>
      <c r="S55" s="7"/>
      <c r="T55" s="7"/>
      <c r="U55" s="7"/>
      <c r="V55" s="7"/>
      <c r="W55" s="7"/>
      <c r="X55" s="7"/>
      <c r="Y55" s="7"/>
      <c r="Z55" s="7"/>
      <c r="AA55" s="7"/>
    </row>
    <row r="56" customFormat="false" ht="12.75" hidden="false" customHeight="false" outlineLevel="1" collapsed="false">
      <c r="A56" s="10" t="s">
        <v>3</v>
      </c>
      <c r="B56" s="11" t="n">
        <v>72972.0950062858</v>
      </c>
      <c r="D56" s="7"/>
      <c r="E56" s="7"/>
      <c r="F56" s="7"/>
      <c r="G56" s="7"/>
      <c r="H56" s="7"/>
      <c r="I56" s="7"/>
      <c r="J56" s="7"/>
      <c r="K56" s="7"/>
      <c r="L56" s="7"/>
      <c r="M56" s="7"/>
      <c r="N56" s="7"/>
      <c r="O56" s="7"/>
      <c r="P56" s="7"/>
      <c r="Q56" s="7"/>
      <c r="R56" s="7"/>
      <c r="S56" s="7"/>
      <c r="T56" s="7"/>
      <c r="U56" s="7"/>
      <c r="V56" s="7"/>
      <c r="W56" s="7"/>
      <c r="X56" s="7"/>
      <c r="Y56" s="7"/>
      <c r="Z56" s="7"/>
      <c r="AA56" s="7"/>
    </row>
    <row r="57" customFormat="false" ht="12.75" hidden="false" customHeight="false" outlineLevel="1" collapsed="false">
      <c r="A57" s="12" t="s">
        <v>4</v>
      </c>
      <c r="B57" s="13" t="n">
        <v>112010.46112267</v>
      </c>
      <c r="D57" s="7"/>
      <c r="E57" s="7"/>
      <c r="F57" s="7"/>
      <c r="G57" s="7"/>
      <c r="H57" s="7"/>
      <c r="I57" s="7"/>
      <c r="J57" s="7"/>
      <c r="K57" s="7"/>
      <c r="L57" s="7"/>
      <c r="M57" s="7"/>
      <c r="N57" s="7"/>
      <c r="O57" s="7"/>
      <c r="P57" s="7"/>
      <c r="Q57" s="7"/>
      <c r="R57" s="7"/>
      <c r="S57" s="7"/>
      <c r="T57" s="7"/>
      <c r="U57" s="7"/>
      <c r="V57" s="7"/>
      <c r="W57" s="7"/>
      <c r="X57" s="7"/>
      <c r="Y57" s="7"/>
      <c r="Z57" s="7"/>
      <c r="AA57" s="7"/>
    </row>
    <row r="58" customFormat="false" ht="12.75" hidden="false" customHeight="false" outlineLevel="1" collapsed="false">
      <c r="A58" s="14" t="s">
        <v>5</v>
      </c>
      <c r="B58" s="15" t="s">
        <v>6</v>
      </c>
      <c r="C58" s="15" t="s">
        <v>7</v>
      </c>
      <c r="D58" s="16" t="n">
        <v>2000</v>
      </c>
      <c r="E58" s="17" t="n">
        <v>2001</v>
      </c>
      <c r="F58" s="17" t="n">
        <v>2002</v>
      </c>
      <c r="G58" s="17" t="n">
        <v>2003</v>
      </c>
      <c r="H58" s="17" t="n">
        <v>2004</v>
      </c>
      <c r="I58" s="17" t="n">
        <v>2005</v>
      </c>
      <c r="J58" s="17" t="n">
        <v>2006</v>
      </c>
      <c r="K58" s="17" t="n">
        <v>2007</v>
      </c>
      <c r="L58" s="17" t="n">
        <v>2008</v>
      </c>
      <c r="M58" s="17" t="n">
        <v>2009</v>
      </c>
      <c r="N58" s="18" t="n">
        <v>2010</v>
      </c>
      <c r="O58" s="19" t="n">
        <v>2011</v>
      </c>
      <c r="P58" s="19" t="n">
        <v>2012</v>
      </c>
      <c r="Q58" s="19" t="n">
        <v>2013</v>
      </c>
      <c r="R58" s="19" t="n">
        <v>2014</v>
      </c>
      <c r="S58" s="19" t="n">
        <v>2015</v>
      </c>
      <c r="T58" s="19" t="n">
        <v>2016</v>
      </c>
      <c r="U58" s="19" t="n">
        <v>2017</v>
      </c>
      <c r="V58" s="19" t="n">
        <v>2018</v>
      </c>
      <c r="W58" s="19" t="n">
        <v>2019</v>
      </c>
      <c r="X58" s="19" t="n">
        <v>2020</v>
      </c>
      <c r="Y58" s="7"/>
      <c r="Z58" s="7"/>
      <c r="AA58" s="7"/>
    </row>
    <row r="59" customFormat="false" ht="12.75" hidden="false" customHeight="false" outlineLevel="1" collapsed="false">
      <c r="A59" s="14" t="s">
        <v>8</v>
      </c>
      <c r="B59" s="20" t="n">
        <f aca="false">NPV(0.1,D59:Y59)</f>
        <v>462196.864949356</v>
      </c>
      <c r="C59" s="20" t="n">
        <f aca="false">B59-B49</f>
        <v>-431.17212489713</v>
      </c>
      <c r="D59" s="21" t="n">
        <v>26420.891437075</v>
      </c>
      <c r="E59" s="22" t="n">
        <v>37300.88572445</v>
      </c>
      <c r="F59" s="22" t="n">
        <v>37573.480565</v>
      </c>
      <c r="G59" s="22" t="n">
        <v>48011.693798218</v>
      </c>
      <c r="H59" s="22" t="n">
        <v>56625.1346799677</v>
      </c>
      <c r="I59" s="22" t="n">
        <v>58028.045455475</v>
      </c>
      <c r="J59" s="22" t="n">
        <v>58984.2503434745</v>
      </c>
      <c r="K59" s="22" t="n">
        <v>60041.7660940679</v>
      </c>
      <c r="L59" s="22" t="n">
        <v>61198.1158603441</v>
      </c>
      <c r="M59" s="22" t="n">
        <v>62457.2296248714</v>
      </c>
      <c r="N59" s="23" t="n">
        <v>63846.4383341022</v>
      </c>
      <c r="O59" s="24" t="n">
        <v>65531.0440582756</v>
      </c>
      <c r="P59" s="24" t="n">
        <v>67358.1419735169</v>
      </c>
      <c r="Q59" s="24" t="n">
        <v>69262.7535681856</v>
      </c>
      <c r="R59" s="24" t="n">
        <v>71238.4744799883</v>
      </c>
      <c r="S59" s="24" t="n">
        <v>73252.4936128298</v>
      </c>
      <c r="T59" s="24" t="n">
        <v>74952.8431043695</v>
      </c>
      <c r="U59" s="24" t="n">
        <v>76829.5058568846</v>
      </c>
      <c r="V59" s="24" t="n">
        <v>78460.599856217</v>
      </c>
      <c r="W59" s="24" t="n">
        <v>80085.8305467653</v>
      </c>
      <c r="X59" s="24" t="n">
        <v>20103.486715349</v>
      </c>
      <c r="Y59" s="7"/>
      <c r="Z59" s="7"/>
      <c r="AA59" s="7"/>
    </row>
    <row r="60" customFormat="false" ht="12.75" hidden="false" customHeight="false" outlineLevel="1" collapsed="false">
      <c r="A60" s="25" t="s">
        <v>9</v>
      </c>
      <c r="B60" s="20" t="n">
        <f aca="false">NPV(0.1,D60:Y60)</f>
        <v>199536.584353027</v>
      </c>
      <c r="C60" s="20" t="n">
        <f aca="false">B60-B50</f>
        <v>-431.172124897188</v>
      </c>
      <c r="D60" s="21" t="n">
        <v>16341.8292037417</v>
      </c>
      <c r="E60" s="22" t="n">
        <v>19984.89542445</v>
      </c>
      <c r="F60" s="22" t="n">
        <v>20368.216398</v>
      </c>
      <c r="G60" s="22" t="n">
        <v>20685.436153968</v>
      </c>
      <c r="H60" s="22" t="n">
        <v>21070.872757991</v>
      </c>
      <c r="I60" s="22" t="n">
        <v>21532.8436094058</v>
      </c>
      <c r="J60" s="22" t="n">
        <v>22066.7760555919</v>
      </c>
      <c r="K60" s="22" t="n">
        <v>22709.7115242647</v>
      </c>
      <c r="L60" s="22" t="n">
        <v>23460.0147433041</v>
      </c>
      <c r="M60" s="22" t="n">
        <v>24322.5008416133</v>
      </c>
      <c r="N60" s="23" t="n">
        <v>25325.4313403982</v>
      </c>
      <c r="O60" s="24" t="n">
        <v>26477.7315330671</v>
      </c>
      <c r="P60" s="24" t="n">
        <v>27775.4373159481</v>
      </c>
      <c r="Q60" s="24" t="n">
        <v>29154.2240563276</v>
      </c>
      <c r="R60" s="24" t="n">
        <v>30608.3778815154</v>
      </c>
      <c r="S60" s="24" t="n">
        <v>32105.8164038459</v>
      </c>
      <c r="T60" s="24" t="n">
        <v>33660.1748293257</v>
      </c>
      <c r="U60" s="24" t="n">
        <v>35419.3018860455</v>
      </c>
      <c r="V60" s="24" t="n">
        <v>36963.1542740224</v>
      </c>
      <c r="W60" s="24" t="n">
        <v>38533.3608648475</v>
      </c>
      <c r="X60" s="24" t="n">
        <v>724.739760228491</v>
      </c>
      <c r="Y60" s="7"/>
      <c r="Z60" s="7"/>
      <c r="AA60" s="7"/>
    </row>
    <row r="61" customFormat="false" ht="12.75" hidden="false" customHeight="false" outlineLevel="1" collapsed="false">
      <c r="A61" s="25" t="s">
        <v>10</v>
      </c>
      <c r="B61" s="20" t="n">
        <f aca="false">NPV(0.1,D61:Y61)</f>
        <v>84089.4192034424</v>
      </c>
      <c r="C61" s="20" t="n">
        <f aca="false">B61-B51</f>
        <v>0</v>
      </c>
      <c r="D61" s="21" t="n">
        <v>-312.933246690941</v>
      </c>
      <c r="E61" s="22" t="n">
        <v>319.379811534115</v>
      </c>
      <c r="F61" s="22" t="n">
        <v>363.662237189257</v>
      </c>
      <c r="G61" s="22" t="n">
        <v>6478.25990956623</v>
      </c>
      <c r="H61" s="22" t="n">
        <v>11401.1874097029</v>
      </c>
      <c r="I61" s="22" t="n">
        <v>12306.724069667</v>
      </c>
      <c r="J61" s="22" t="n">
        <v>12885.1833001779</v>
      </c>
      <c r="K61" s="22" t="n">
        <v>13299.8221135994</v>
      </c>
      <c r="L61" s="22" t="n">
        <v>13795.5263950058</v>
      </c>
      <c r="M61" s="22" t="n">
        <v>14312.803899141</v>
      </c>
      <c r="N61" s="23" t="n">
        <v>14853.069863808</v>
      </c>
      <c r="O61" s="24" t="n">
        <v>15443.2562838841</v>
      </c>
      <c r="P61" s="24" t="n">
        <v>16136.6732326641</v>
      </c>
      <c r="Q61" s="24" t="n">
        <v>16867.3335421365</v>
      </c>
      <c r="R61" s="24" t="n">
        <v>17637.8785619044</v>
      </c>
      <c r="S61" s="24" t="n">
        <v>18374.1311697417</v>
      </c>
      <c r="T61" s="24" t="n">
        <v>19015.6378791774</v>
      </c>
      <c r="U61" s="24" t="n">
        <v>19686.2487280849</v>
      </c>
      <c r="V61" s="24" t="n">
        <v>20387.9780323174</v>
      </c>
      <c r="W61" s="24" t="n">
        <v>20857.5755908172</v>
      </c>
      <c r="X61" s="24" t="n">
        <v>0</v>
      </c>
      <c r="Y61" s="7"/>
      <c r="Z61" s="7"/>
      <c r="AA61" s="7"/>
    </row>
    <row r="62" customFormat="false" ht="12.75" hidden="false" customHeight="false" outlineLevel="1" collapsed="false">
      <c r="A62" s="25" t="s">
        <v>11</v>
      </c>
      <c r="B62" s="20" t="n">
        <f aca="false">NPV(0.1,D62:Y62)</f>
        <v>100203.6925154</v>
      </c>
      <c r="C62" s="20" t="n">
        <f aca="false">B62-B52</f>
        <v>0</v>
      </c>
      <c r="D62" s="26" t="n">
        <v>2711.49000965876</v>
      </c>
      <c r="E62" s="27" t="n">
        <v>4331.67907406735</v>
      </c>
      <c r="F62" s="27" t="n">
        <v>4329.78768657684</v>
      </c>
      <c r="G62" s="27" t="n">
        <v>16719.8250396247</v>
      </c>
      <c r="H62" s="27" t="n">
        <v>21176.9518123686</v>
      </c>
      <c r="I62" s="27" t="n">
        <v>15203.8732111936</v>
      </c>
      <c r="J62" s="27" t="n">
        <v>15046.1239684445</v>
      </c>
      <c r="K62" s="27" t="n">
        <v>14953.0251010643</v>
      </c>
      <c r="L62" s="27" t="n">
        <v>14890.8113444775</v>
      </c>
      <c r="M62" s="27" t="n">
        <v>14821.1033523495</v>
      </c>
      <c r="N62" s="28" t="n">
        <v>14718.5899267603</v>
      </c>
      <c r="O62" s="24" t="n">
        <v>14567.9621092983</v>
      </c>
      <c r="P62" s="24" t="n">
        <v>14449.490204594</v>
      </c>
      <c r="Q62" s="24" t="n">
        <v>14316.5358958937</v>
      </c>
      <c r="R62" s="24" t="n">
        <v>14143.1053985041</v>
      </c>
      <c r="S62" s="24" t="n">
        <v>10794.8641884444</v>
      </c>
      <c r="T62" s="24" t="n">
        <v>10050.7520710775</v>
      </c>
      <c r="U62" s="24" t="n">
        <v>9711.62114252387</v>
      </c>
      <c r="V62" s="24" t="n">
        <v>9334.35875875487</v>
      </c>
      <c r="W62" s="24" t="n">
        <v>15310.9403659773</v>
      </c>
      <c r="X62" s="24" t="n">
        <v>0</v>
      </c>
      <c r="Y62" s="7"/>
      <c r="Z62" s="7"/>
      <c r="AA62" s="7"/>
    </row>
    <row r="63" customFormat="false" ht="12.75" hidden="false" customHeight="false" outlineLevel="1" collapsed="false">
      <c r="A63" s="7"/>
      <c r="B63" s="7"/>
      <c r="D63" s="7"/>
      <c r="E63" s="7"/>
      <c r="F63" s="7"/>
      <c r="G63" s="7"/>
      <c r="H63" s="7"/>
      <c r="I63" s="7"/>
      <c r="J63" s="7"/>
      <c r="K63" s="7"/>
      <c r="L63" s="7"/>
      <c r="M63" s="7"/>
      <c r="N63" s="7"/>
      <c r="O63" s="7"/>
      <c r="P63" s="7"/>
      <c r="Q63" s="7"/>
      <c r="R63" s="7"/>
      <c r="S63" s="7"/>
      <c r="T63" s="7"/>
      <c r="U63" s="7"/>
      <c r="V63" s="7"/>
      <c r="W63" s="7"/>
      <c r="X63" s="7"/>
      <c r="Y63" s="7"/>
      <c r="Z63" s="7"/>
      <c r="AA63" s="7"/>
    </row>
    <row r="64" customFormat="false" ht="12.75" hidden="false" customHeight="false" outlineLevel="1" collapsed="false">
      <c r="A64" s="29" t="s">
        <v>17</v>
      </c>
      <c r="B64" s="7"/>
      <c r="D64" s="7"/>
      <c r="E64" s="7"/>
      <c r="F64" s="7"/>
      <c r="G64" s="7"/>
      <c r="H64" s="7"/>
      <c r="I64" s="7"/>
      <c r="J64" s="7"/>
      <c r="K64" s="7"/>
      <c r="L64" s="7"/>
      <c r="M64" s="7"/>
      <c r="N64" s="7"/>
      <c r="O64" s="7"/>
      <c r="P64" s="7"/>
      <c r="Q64" s="7"/>
      <c r="R64" s="7"/>
      <c r="S64" s="7"/>
      <c r="T64" s="7"/>
      <c r="U64" s="7"/>
      <c r="V64" s="7"/>
      <c r="W64" s="7"/>
      <c r="X64" s="7"/>
      <c r="Y64" s="7"/>
      <c r="Z64" s="7"/>
      <c r="AA64" s="7"/>
    </row>
    <row r="65" customFormat="false" ht="12.75" hidden="false" customHeight="false" outlineLevel="1" collapsed="false">
      <c r="A65" s="36" t="n">
        <v>36228</v>
      </c>
      <c r="B65" s="7"/>
      <c r="D65" s="7"/>
      <c r="E65" s="7"/>
      <c r="F65" s="7"/>
      <c r="G65" s="7"/>
      <c r="H65" s="7"/>
      <c r="I65" s="7"/>
      <c r="J65" s="7"/>
      <c r="K65" s="7"/>
      <c r="L65" s="7"/>
      <c r="M65" s="7"/>
      <c r="N65" s="7"/>
      <c r="O65" s="7"/>
      <c r="P65" s="7"/>
      <c r="Q65" s="7"/>
      <c r="R65" s="7"/>
      <c r="S65" s="7"/>
      <c r="T65" s="7"/>
      <c r="U65" s="7"/>
      <c r="V65" s="7"/>
      <c r="W65" s="7"/>
      <c r="X65" s="7"/>
      <c r="Y65" s="7"/>
      <c r="Z65" s="7"/>
      <c r="AA65" s="7"/>
    </row>
    <row r="66" customFormat="false" ht="12.75" hidden="false" customHeight="false" outlineLevel="1" collapsed="false">
      <c r="A66" s="10" t="s">
        <v>3</v>
      </c>
      <c r="B66" s="11" t="n">
        <v>72972.0950062858</v>
      </c>
      <c r="D66" s="7"/>
      <c r="E66" s="7"/>
      <c r="F66" s="7"/>
      <c r="G66" s="7"/>
      <c r="H66" s="7"/>
      <c r="I66" s="7"/>
      <c r="J66" s="7"/>
      <c r="K66" s="7"/>
      <c r="L66" s="7"/>
      <c r="M66" s="7"/>
      <c r="N66" s="7"/>
      <c r="O66" s="7"/>
      <c r="P66" s="7"/>
      <c r="Q66" s="7"/>
      <c r="R66" s="7"/>
      <c r="S66" s="7"/>
      <c r="T66" s="7"/>
      <c r="U66" s="7"/>
      <c r="V66" s="7"/>
      <c r="W66" s="7"/>
      <c r="X66" s="7"/>
      <c r="Y66" s="7"/>
      <c r="Z66" s="7"/>
      <c r="AA66" s="7"/>
    </row>
    <row r="67" customFormat="false" ht="12.75" hidden="false" customHeight="false" outlineLevel="1" collapsed="false">
      <c r="A67" s="12" t="s">
        <v>4</v>
      </c>
      <c r="B67" s="13" t="n">
        <v>112010.46112267</v>
      </c>
      <c r="D67" s="7"/>
      <c r="E67" s="7"/>
      <c r="F67" s="7"/>
      <c r="G67" s="7"/>
      <c r="H67" s="7"/>
      <c r="I67" s="7"/>
      <c r="J67" s="7"/>
      <c r="K67" s="7"/>
      <c r="L67" s="7"/>
      <c r="M67" s="7"/>
      <c r="N67" s="7"/>
      <c r="O67" s="7"/>
      <c r="P67" s="7"/>
      <c r="Q67" s="7"/>
      <c r="R67" s="7"/>
      <c r="S67" s="7"/>
      <c r="T67" s="7"/>
      <c r="U67" s="7"/>
      <c r="V67" s="7"/>
      <c r="W67" s="7"/>
      <c r="X67" s="7"/>
      <c r="Y67" s="7"/>
      <c r="Z67" s="7"/>
      <c r="AA67" s="7"/>
    </row>
    <row r="68" customFormat="false" ht="12.75" hidden="false" customHeight="false" outlineLevel="1" collapsed="false">
      <c r="A68" s="14" t="s">
        <v>5</v>
      </c>
      <c r="B68" s="15" t="s">
        <v>6</v>
      </c>
      <c r="C68" s="15" t="s">
        <v>7</v>
      </c>
      <c r="D68" s="16" t="n">
        <v>2000</v>
      </c>
      <c r="E68" s="17" t="n">
        <v>2001</v>
      </c>
      <c r="F68" s="17" t="n">
        <v>2002</v>
      </c>
      <c r="G68" s="17" t="n">
        <v>2003</v>
      </c>
      <c r="H68" s="17" t="n">
        <v>2004</v>
      </c>
      <c r="I68" s="17" t="n">
        <v>2005</v>
      </c>
      <c r="J68" s="17" t="n">
        <v>2006</v>
      </c>
      <c r="K68" s="17" t="n">
        <v>2007</v>
      </c>
      <c r="L68" s="17" t="n">
        <v>2008</v>
      </c>
      <c r="M68" s="17" t="n">
        <v>2009</v>
      </c>
      <c r="N68" s="18" t="n">
        <v>2010</v>
      </c>
      <c r="O68" s="19" t="n">
        <v>2011</v>
      </c>
      <c r="P68" s="19" t="n">
        <v>2012</v>
      </c>
      <c r="Q68" s="19" t="n">
        <v>2013</v>
      </c>
      <c r="R68" s="19" t="n">
        <v>2014</v>
      </c>
      <c r="S68" s="19" t="n">
        <v>2015</v>
      </c>
      <c r="T68" s="19" t="n">
        <v>2016</v>
      </c>
      <c r="U68" s="19" t="n">
        <v>2017</v>
      </c>
      <c r="V68" s="19" t="n">
        <v>2018</v>
      </c>
      <c r="W68" s="19" t="n">
        <v>2019</v>
      </c>
      <c r="X68" s="19" t="n">
        <v>2020</v>
      </c>
      <c r="Y68" s="7"/>
      <c r="Z68" s="7"/>
      <c r="AA68" s="7"/>
    </row>
    <row r="69" customFormat="false" ht="12.75" hidden="false" customHeight="false" outlineLevel="1" collapsed="false">
      <c r="A69" s="14" t="s">
        <v>8</v>
      </c>
      <c r="B69" s="20" t="n">
        <f aca="false">NPV(0.1,D69:Y69)</f>
        <v>466629.905212277</v>
      </c>
      <c r="C69" s="20" t="n">
        <f aca="false">B69-B59</f>
        <v>4433.04026292131</v>
      </c>
      <c r="D69" s="21" t="n">
        <v>26845.086637075</v>
      </c>
      <c r="E69" s="22" t="n">
        <v>37737.80678045</v>
      </c>
      <c r="F69" s="22" t="n">
        <v>38023.50925268</v>
      </c>
      <c r="G69" s="22" t="n">
        <v>48475.2233465284</v>
      </c>
      <c r="H69" s="22" t="n">
        <v>57102.5701147274</v>
      </c>
      <c r="I69" s="22" t="n">
        <v>58519.8039532775</v>
      </c>
      <c r="J69" s="22" t="n">
        <v>59490.7615962111</v>
      </c>
      <c r="K69" s="22" t="n">
        <v>60563.4726843866</v>
      </c>
      <c r="L69" s="22" t="n">
        <v>61735.4736483723</v>
      </c>
      <c r="M69" s="22" t="n">
        <v>63010.7081465405</v>
      </c>
      <c r="N69" s="23" t="n">
        <v>64416.5212114214</v>
      </c>
      <c r="O69" s="24" t="n">
        <v>66118.2294219143</v>
      </c>
      <c r="P69" s="24" t="n">
        <v>67962.9428980648</v>
      </c>
      <c r="Q69" s="24" t="n">
        <v>69885.6985204699</v>
      </c>
      <c r="R69" s="24" t="n">
        <v>71880.1077808411</v>
      </c>
      <c r="S69" s="24" t="n">
        <v>73913.3759127082</v>
      </c>
      <c r="T69" s="24" t="n">
        <v>75633.5518732443</v>
      </c>
      <c r="U69" s="24" t="n">
        <v>77530.6358888257</v>
      </c>
      <c r="V69" s="24" t="n">
        <v>79182.7637891163</v>
      </c>
      <c r="W69" s="24" t="n">
        <v>80829.6593976516</v>
      </c>
      <c r="X69" s="24" t="n">
        <v>20103.486715349</v>
      </c>
      <c r="Y69" s="7"/>
      <c r="Z69" s="7"/>
      <c r="AA69" s="7"/>
    </row>
    <row r="70" customFormat="false" ht="12.75" hidden="false" customHeight="false" outlineLevel="1" collapsed="false">
      <c r="A70" s="25" t="s">
        <v>9</v>
      </c>
      <c r="B70" s="20" t="n">
        <f aca="false">NPV(0.1,D70:Y70)</f>
        <v>203969.624615949</v>
      </c>
      <c r="C70" s="20" t="n">
        <f aca="false">B70-B60</f>
        <v>4433.04026292134</v>
      </c>
      <c r="D70" s="21" t="n">
        <v>16766.0244037417</v>
      </c>
      <c r="E70" s="22" t="n">
        <v>20421.81648045</v>
      </c>
      <c r="F70" s="22" t="n">
        <v>20818.24508568</v>
      </c>
      <c r="G70" s="22" t="n">
        <v>21148.9657022784</v>
      </c>
      <c r="H70" s="22" t="n">
        <v>21548.3081927508</v>
      </c>
      <c r="I70" s="22" t="n">
        <v>22024.6021072083</v>
      </c>
      <c r="J70" s="22" t="n">
        <v>22573.2873083285</v>
      </c>
      <c r="K70" s="22" t="n">
        <v>23231.4181145834</v>
      </c>
      <c r="L70" s="22" t="n">
        <v>23997.3725313324</v>
      </c>
      <c r="M70" s="22" t="n">
        <v>24875.9793632824</v>
      </c>
      <c r="N70" s="23" t="n">
        <v>25895.5142177173</v>
      </c>
      <c r="O70" s="24" t="n">
        <v>27064.9168967059</v>
      </c>
      <c r="P70" s="24" t="n">
        <v>28380.238240496</v>
      </c>
      <c r="Q70" s="24" t="n">
        <v>29777.1690086119</v>
      </c>
      <c r="R70" s="24" t="n">
        <v>31250.0111823683</v>
      </c>
      <c r="S70" s="24" t="n">
        <v>32766.6987037243</v>
      </c>
      <c r="T70" s="24" t="n">
        <v>34340.8835982005</v>
      </c>
      <c r="U70" s="24" t="n">
        <v>36120.4319179865</v>
      </c>
      <c r="V70" s="24" t="n">
        <v>37685.3182069216</v>
      </c>
      <c r="W70" s="24" t="n">
        <v>39277.1897157338</v>
      </c>
      <c r="X70" s="24" t="n">
        <v>724.739760228491</v>
      </c>
      <c r="Y70" s="7"/>
      <c r="Z70" s="7"/>
      <c r="AA70" s="7"/>
    </row>
    <row r="71" customFormat="false" ht="12.75" hidden="false" customHeight="false" outlineLevel="1" collapsed="false">
      <c r="A71" s="25" t="s">
        <v>10</v>
      </c>
      <c r="B71" s="20" t="n">
        <f aca="false">NPV(0.1,D71:Y71)</f>
        <v>84089.4192034424</v>
      </c>
      <c r="C71" s="20" t="n">
        <f aca="false">B71-B61</f>
        <v>0</v>
      </c>
      <c r="D71" s="21" t="n">
        <v>-312.93324669094</v>
      </c>
      <c r="E71" s="22" t="n">
        <v>319.379811534119</v>
      </c>
      <c r="F71" s="22" t="n">
        <v>363.662237189255</v>
      </c>
      <c r="G71" s="22" t="n">
        <v>6478.25990956623</v>
      </c>
      <c r="H71" s="22" t="n">
        <v>11401.1874097029</v>
      </c>
      <c r="I71" s="22" t="n">
        <v>12306.724069667</v>
      </c>
      <c r="J71" s="22" t="n">
        <v>12885.1833001779</v>
      </c>
      <c r="K71" s="22" t="n">
        <v>13299.8221135994</v>
      </c>
      <c r="L71" s="22" t="n">
        <v>13795.5263950058</v>
      </c>
      <c r="M71" s="22" t="n">
        <v>14312.803899141</v>
      </c>
      <c r="N71" s="23" t="n">
        <v>14853.069863808</v>
      </c>
      <c r="O71" s="24" t="n">
        <v>15443.2562838841</v>
      </c>
      <c r="P71" s="24" t="n">
        <v>16136.6732326641</v>
      </c>
      <c r="Q71" s="24" t="n">
        <v>16867.3335421365</v>
      </c>
      <c r="R71" s="24" t="n">
        <v>17637.8785619044</v>
      </c>
      <c r="S71" s="24" t="n">
        <v>18374.1311697417</v>
      </c>
      <c r="T71" s="24" t="n">
        <v>19015.6378791774</v>
      </c>
      <c r="U71" s="24" t="n">
        <v>19686.2487280849</v>
      </c>
      <c r="V71" s="24" t="n">
        <v>20387.9780323174</v>
      </c>
      <c r="W71" s="24" t="n">
        <v>20857.5755908172</v>
      </c>
      <c r="X71" s="24" t="n">
        <v>0</v>
      </c>
      <c r="Y71" s="7"/>
      <c r="Z71" s="7"/>
      <c r="AA71" s="7"/>
    </row>
    <row r="72" customFormat="false" ht="12.75" hidden="false" customHeight="false" outlineLevel="1" collapsed="false">
      <c r="A72" s="25" t="s">
        <v>11</v>
      </c>
      <c r="B72" s="20" t="n">
        <f aca="false">NPV(0.1,D72:Y72)</f>
        <v>100203.6925154</v>
      </c>
      <c r="C72" s="20" t="n">
        <f aca="false">B72-B62</f>
        <v>0</v>
      </c>
      <c r="D72" s="26" t="n">
        <v>2711.49000965876</v>
      </c>
      <c r="E72" s="27" t="n">
        <v>4331.67907406735</v>
      </c>
      <c r="F72" s="27" t="n">
        <v>4329.78768657684</v>
      </c>
      <c r="G72" s="27" t="n">
        <v>16719.8250396247</v>
      </c>
      <c r="H72" s="27" t="n">
        <v>21176.9518123686</v>
      </c>
      <c r="I72" s="27" t="n">
        <v>15203.8732111936</v>
      </c>
      <c r="J72" s="27" t="n">
        <v>15046.1239684445</v>
      </c>
      <c r="K72" s="27" t="n">
        <v>14953.0251010643</v>
      </c>
      <c r="L72" s="27" t="n">
        <v>14890.8113444775</v>
      </c>
      <c r="M72" s="27" t="n">
        <v>14821.1033523495</v>
      </c>
      <c r="N72" s="28" t="n">
        <v>14718.5899267603</v>
      </c>
      <c r="O72" s="24" t="n">
        <v>14567.9621092983</v>
      </c>
      <c r="P72" s="24" t="n">
        <v>14449.490204594</v>
      </c>
      <c r="Q72" s="24" t="n">
        <v>14316.5358958937</v>
      </c>
      <c r="R72" s="24" t="n">
        <v>14143.1053985041</v>
      </c>
      <c r="S72" s="24" t="n">
        <v>10794.8641884444</v>
      </c>
      <c r="T72" s="24" t="n">
        <v>10050.7520710775</v>
      </c>
      <c r="U72" s="24" t="n">
        <v>9711.62114252387</v>
      </c>
      <c r="V72" s="24" t="n">
        <v>9334.35875875487</v>
      </c>
      <c r="W72" s="24" t="n">
        <v>15310.9403659773</v>
      </c>
      <c r="X72" s="24" t="n">
        <v>0</v>
      </c>
      <c r="Y72" s="7"/>
      <c r="Z72" s="7"/>
      <c r="AA72" s="7"/>
    </row>
    <row r="73" customFormat="false" ht="12.75" hidden="false" customHeight="false" outlineLevel="1" collapsed="false">
      <c r="A73" s="7"/>
      <c r="B73" s="7"/>
      <c r="D73" s="7"/>
      <c r="E73" s="7"/>
      <c r="F73" s="7"/>
      <c r="G73" s="7"/>
      <c r="H73" s="7"/>
      <c r="I73" s="7"/>
      <c r="J73" s="7"/>
      <c r="K73" s="7"/>
      <c r="L73" s="7"/>
      <c r="M73" s="7"/>
      <c r="N73" s="7"/>
      <c r="O73" s="7"/>
      <c r="P73" s="7"/>
      <c r="Q73" s="7"/>
      <c r="R73" s="7"/>
      <c r="S73" s="7"/>
      <c r="T73" s="7"/>
      <c r="U73" s="7"/>
      <c r="V73" s="7"/>
      <c r="W73" s="7"/>
      <c r="X73" s="7"/>
      <c r="Y73" s="7"/>
      <c r="Z73" s="7"/>
      <c r="AA73" s="7"/>
    </row>
    <row r="74" customFormat="false" ht="12.75" hidden="false" customHeight="false" outlineLevel="1" collapsed="false">
      <c r="A74" s="29" t="s">
        <v>18</v>
      </c>
      <c r="B74" s="7"/>
      <c r="D74" s="7"/>
      <c r="E74" s="7"/>
      <c r="F74" s="7"/>
      <c r="G74" s="7"/>
      <c r="H74" s="7"/>
      <c r="I74" s="7"/>
      <c r="J74" s="7"/>
      <c r="K74" s="7"/>
      <c r="L74" s="7"/>
      <c r="M74" s="7"/>
      <c r="N74" s="7"/>
      <c r="O74" s="7"/>
      <c r="P74" s="7"/>
      <c r="Q74" s="7"/>
      <c r="R74" s="7"/>
      <c r="S74" s="7"/>
      <c r="T74" s="7"/>
      <c r="U74" s="7"/>
      <c r="V74" s="7"/>
      <c r="W74" s="7"/>
      <c r="X74" s="7"/>
      <c r="Y74" s="7"/>
      <c r="Z74" s="7"/>
      <c r="AA74" s="7"/>
    </row>
    <row r="75" customFormat="false" ht="12.75" hidden="false" customHeight="false" outlineLevel="1" collapsed="false">
      <c r="A75" s="36" t="n">
        <v>36234</v>
      </c>
      <c r="B75" s="7"/>
      <c r="D75" s="7"/>
      <c r="E75" s="7"/>
      <c r="F75" s="7"/>
      <c r="G75" s="7"/>
      <c r="H75" s="7"/>
      <c r="I75" s="7"/>
      <c r="J75" s="7"/>
      <c r="K75" s="7"/>
      <c r="L75" s="7"/>
      <c r="M75" s="7"/>
      <c r="N75" s="7"/>
      <c r="O75" s="7"/>
      <c r="P75" s="7"/>
      <c r="Q75" s="7"/>
      <c r="R75" s="7"/>
      <c r="S75" s="7"/>
      <c r="T75" s="7"/>
      <c r="U75" s="7"/>
      <c r="V75" s="7"/>
      <c r="W75" s="7"/>
      <c r="X75" s="7"/>
      <c r="Y75" s="7"/>
      <c r="Z75" s="7"/>
      <c r="AA75" s="7"/>
    </row>
    <row r="76" customFormat="false" ht="12.75" hidden="false" customHeight="false" outlineLevel="1" collapsed="false">
      <c r="A76" s="10" t="s">
        <v>3</v>
      </c>
      <c r="B76" s="11" t="n">
        <v>73410.7898129315</v>
      </c>
      <c r="D76" s="7"/>
      <c r="E76" s="7"/>
      <c r="F76" s="7"/>
      <c r="G76" s="7"/>
      <c r="H76" s="7"/>
      <c r="I76" s="7"/>
      <c r="J76" s="7"/>
      <c r="K76" s="7"/>
      <c r="L76" s="7"/>
      <c r="M76" s="7"/>
      <c r="N76" s="7"/>
      <c r="O76" s="7"/>
      <c r="P76" s="7"/>
      <c r="Q76" s="7"/>
      <c r="R76" s="7"/>
      <c r="S76" s="7"/>
      <c r="T76" s="7"/>
      <c r="U76" s="7"/>
      <c r="V76" s="7"/>
      <c r="W76" s="7"/>
      <c r="X76" s="7"/>
      <c r="Y76" s="7"/>
      <c r="Z76" s="7"/>
      <c r="AA76" s="7"/>
    </row>
    <row r="77" customFormat="false" ht="12.75" hidden="false" customHeight="false" outlineLevel="1" collapsed="false">
      <c r="A77" s="12" t="s">
        <v>4</v>
      </c>
      <c r="B77" s="13" t="n">
        <v>112010.46112267</v>
      </c>
      <c r="D77" s="7"/>
      <c r="E77" s="7"/>
      <c r="F77" s="7"/>
      <c r="G77" s="7"/>
      <c r="H77" s="7"/>
      <c r="I77" s="7"/>
      <c r="J77" s="7"/>
      <c r="K77" s="7"/>
      <c r="L77" s="7"/>
      <c r="M77" s="7"/>
      <c r="N77" s="7"/>
      <c r="O77" s="7"/>
      <c r="P77" s="7"/>
      <c r="Q77" s="7"/>
      <c r="R77" s="7"/>
      <c r="S77" s="7"/>
      <c r="T77" s="7"/>
      <c r="U77" s="7"/>
      <c r="V77" s="7"/>
      <c r="W77" s="7"/>
      <c r="X77" s="7"/>
      <c r="Y77" s="7"/>
      <c r="Z77" s="7"/>
      <c r="AA77" s="7"/>
    </row>
    <row r="78" customFormat="false" ht="12.75" hidden="false" customHeight="false" outlineLevel="1" collapsed="false">
      <c r="A78" s="14" t="s">
        <v>5</v>
      </c>
      <c r="B78" s="15" t="s">
        <v>6</v>
      </c>
      <c r="C78" s="15" t="s">
        <v>7</v>
      </c>
      <c r="D78" s="16" t="n">
        <v>2000</v>
      </c>
      <c r="E78" s="17" t="n">
        <v>2001</v>
      </c>
      <c r="F78" s="17" t="n">
        <v>2002</v>
      </c>
      <c r="G78" s="17" t="n">
        <v>2003</v>
      </c>
      <c r="H78" s="17" t="n">
        <v>2004</v>
      </c>
      <c r="I78" s="17" t="n">
        <v>2005</v>
      </c>
      <c r="J78" s="17" t="n">
        <v>2006</v>
      </c>
      <c r="K78" s="17" t="n">
        <v>2007</v>
      </c>
      <c r="L78" s="17" t="n">
        <v>2008</v>
      </c>
      <c r="M78" s="17" t="n">
        <v>2009</v>
      </c>
      <c r="N78" s="18" t="n">
        <v>2010</v>
      </c>
      <c r="O78" s="19" t="n">
        <v>2011</v>
      </c>
      <c r="P78" s="19" t="n">
        <v>2012</v>
      </c>
      <c r="Q78" s="19" t="n">
        <v>2013</v>
      </c>
      <c r="R78" s="19" t="n">
        <v>2014</v>
      </c>
      <c r="S78" s="19" t="n">
        <v>2015</v>
      </c>
      <c r="T78" s="19" t="n">
        <v>2016</v>
      </c>
      <c r="U78" s="19" t="n">
        <v>2017</v>
      </c>
      <c r="V78" s="19" t="n">
        <v>2018</v>
      </c>
      <c r="W78" s="19" t="n">
        <v>2019</v>
      </c>
      <c r="X78" s="19" t="n">
        <v>2020</v>
      </c>
      <c r="Y78" s="7"/>
      <c r="Z78" s="7"/>
      <c r="AA78" s="7"/>
    </row>
    <row r="79" customFormat="false" ht="12.75" hidden="false" customHeight="false" outlineLevel="0" collapsed="false">
      <c r="A79" s="14" t="s">
        <v>8</v>
      </c>
      <c r="B79" s="20" t="n">
        <f aca="false">NPV(0.1,D79:Y79)</f>
        <v>466699.24186369</v>
      </c>
      <c r="C79" s="20" t="n">
        <f aca="false">B79-B69</f>
        <v>69.336651413003</v>
      </c>
      <c r="D79" s="21" t="n">
        <v>26849.7167068917</v>
      </c>
      <c r="E79" s="22" t="n">
        <v>37744.8923681857</v>
      </c>
      <c r="F79" s="22" t="n">
        <v>38030.7981913677</v>
      </c>
      <c r="G79" s="22" t="n">
        <v>48482.7217366967</v>
      </c>
      <c r="H79" s="22" t="n">
        <v>57110.2842399209</v>
      </c>
      <c r="I79" s="22" t="n">
        <v>58527.7402855468</v>
      </c>
      <c r="J79" s="22" t="n">
        <v>59498.9268017684</v>
      </c>
      <c r="K79" s="22" t="n">
        <v>60571.8736294306</v>
      </c>
      <c r="L79" s="22" t="n">
        <v>61744.1174050877</v>
      </c>
      <c r="M79" s="22" t="n">
        <v>63019.6019992773</v>
      </c>
      <c r="N79" s="23" t="n">
        <v>64425.6726630603</v>
      </c>
      <c r="O79" s="24" t="n">
        <v>66127.6462004224</v>
      </c>
      <c r="P79" s="24" t="n">
        <v>67972.6329632482</v>
      </c>
      <c r="Q79" s="24" t="n">
        <v>69895.6700709288</v>
      </c>
      <c r="R79" s="24" t="n">
        <v>71890.3692611338</v>
      </c>
      <c r="S79" s="24" t="n">
        <v>73923.9360207296</v>
      </c>
      <c r="T79" s="24" t="n">
        <v>75644.4195678264</v>
      </c>
      <c r="U79" s="24" t="n">
        <v>77541.8203975652</v>
      </c>
      <c r="V79" s="24" t="n">
        <v>79194.274616438</v>
      </c>
      <c r="W79" s="24" t="n">
        <v>80841.5063331129</v>
      </c>
      <c r="X79" s="24" t="n">
        <v>20103.486715349</v>
      </c>
      <c r="Y79" s="7"/>
      <c r="Z79" s="7"/>
      <c r="AA79" s="7"/>
    </row>
    <row r="80" customFormat="false" ht="12.75" hidden="false" customHeight="false" outlineLevel="0" collapsed="false">
      <c r="A80" s="25" t="s">
        <v>9</v>
      </c>
      <c r="B80" s="20" t="n">
        <f aca="false">NPV(0.1,D80:Y80)</f>
        <v>204038.961267362</v>
      </c>
      <c r="C80" s="20" t="n">
        <f aca="false">B80-B70</f>
        <v>69.336651413003</v>
      </c>
      <c r="D80" s="21" t="n">
        <v>16770.6544735584</v>
      </c>
      <c r="E80" s="22" t="n">
        <v>20428.9020681857</v>
      </c>
      <c r="F80" s="22" t="n">
        <v>20825.5340243677</v>
      </c>
      <c r="G80" s="22" t="n">
        <v>21156.4640924468</v>
      </c>
      <c r="H80" s="22" t="n">
        <v>21556.0223179442</v>
      </c>
      <c r="I80" s="22" t="n">
        <v>22032.5384394775</v>
      </c>
      <c r="J80" s="22" t="n">
        <v>22581.4525138858</v>
      </c>
      <c r="K80" s="22" t="n">
        <v>23239.8190596274</v>
      </c>
      <c r="L80" s="22" t="n">
        <v>24006.0162880477</v>
      </c>
      <c r="M80" s="22" t="n">
        <v>24884.8732160192</v>
      </c>
      <c r="N80" s="23" t="n">
        <v>25904.6656693563</v>
      </c>
      <c r="O80" s="24" t="n">
        <v>27074.333675214</v>
      </c>
      <c r="P80" s="24" t="n">
        <v>28389.9283056794</v>
      </c>
      <c r="Q80" s="24" t="n">
        <v>29787.1405590708</v>
      </c>
      <c r="R80" s="24" t="n">
        <v>31260.2726626609</v>
      </c>
      <c r="S80" s="24" t="n">
        <v>32777.2588117457</v>
      </c>
      <c r="T80" s="24" t="n">
        <v>34351.7512927826</v>
      </c>
      <c r="U80" s="24" t="n">
        <v>36131.6164267261</v>
      </c>
      <c r="V80" s="24" t="n">
        <v>37696.8290342434</v>
      </c>
      <c r="W80" s="24" t="n">
        <v>39289.0366511952</v>
      </c>
      <c r="X80" s="24" t="n">
        <v>724.739760228491</v>
      </c>
      <c r="Y80" s="7"/>
      <c r="Z80" s="7"/>
      <c r="AA80" s="7"/>
    </row>
    <row r="81" customFormat="false" ht="12.75" hidden="false" customHeight="false" outlineLevel="0" collapsed="false">
      <c r="A81" s="25" t="s">
        <v>10</v>
      </c>
      <c r="B81" s="20" t="n">
        <f aca="false">NPV(0.1,D81:Y81)</f>
        <v>84089.4192034424</v>
      </c>
      <c r="C81" s="20" t="n">
        <f aca="false">B81-B71</f>
        <v>0</v>
      </c>
      <c r="D81" s="21" t="n">
        <v>-312.933246690943</v>
      </c>
      <c r="E81" s="22" t="n">
        <v>319.379811534115</v>
      </c>
      <c r="F81" s="22" t="n">
        <v>363.662237189257</v>
      </c>
      <c r="G81" s="22" t="n">
        <v>6478.25990956623</v>
      </c>
      <c r="H81" s="22" t="n">
        <v>11401.1874097029</v>
      </c>
      <c r="I81" s="22" t="n">
        <v>12306.724069667</v>
      </c>
      <c r="J81" s="22" t="n">
        <v>12885.1833001779</v>
      </c>
      <c r="K81" s="22" t="n">
        <v>13299.8221135994</v>
      </c>
      <c r="L81" s="22" t="n">
        <v>13795.5263950058</v>
      </c>
      <c r="M81" s="22" t="n">
        <v>14312.803899141</v>
      </c>
      <c r="N81" s="23" t="n">
        <v>14853.069863808</v>
      </c>
      <c r="O81" s="24" t="n">
        <v>15443.2562838841</v>
      </c>
      <c r="P81" s="24" t="n">
        <v>16136.6732326641</v>
      </c>
      <c r="Q81" s="24" t="n">
        <v>16867.3335421365</v>
      </c>
      <c r="R81" s="24" t="n">
        <v>17637.8785619044</v>
      </c>
      <c r="S81" s="24" t="n">
        <v>18374.1311697417</v>
      </c>
      <c r="T81" s="24" t="n">
        <v>19015.6378791773</v>
      </c>
      <c r="U81" s="24" t="n">
        <v>19686.2487280849</v>
      </c>
      <c r="V81" s="24" t="n">
        <v>20387.9780323174</v>
      </c>
      <c r="W81" s="24" t="n">
        <v>20857.5755908171</v>
      </c>
      <c r="X81" s="24" t="n">
        <v>0</v>
      </c>
      <c r="Y81" s="7"/>
      <c r="Z81" s="7"/>
      <c r="AA81" s="7"/>
    </row>
    <row r="82" customFormat="false" ht="12.75" hidden="false" customHeight="false" outlineLevel="0" collapsed="false">
      <c r="A82" s="25" t="s">
        <v>11</v>
      </c>
      <c r="B82" s="20" t="n">
        <f aca="false">NPV(0.1,D82:Y82)</f>
        <v>100744.722580262</v>
      </c>
      <c r="C82" s="20" t="n">
        <f aca="false">B82-B72</f>
        <v>541.030064862775</v>
      </c>
      <c r="D82" s="26" t="n">
        <v>2386.49000965876</v>
      </c>
      <c r="E82" s="27" t="n">
        <v>4005.52441629513</v>
      </c>
      <c r="F82" s="27" t="n">
        <v>4015.74512958198</v>
      </c>
      <c r="G82" s="27" t="n">
        <v>16417.9829562953</v>
      </c>
      <c r="H82" s="27" t="n">
        <v>21400.8038781096</v>
      </c>
      <c r="I82" s="27" t="n">
        <v>17560.8763948256</v>
      </c>
      <c r="J82" s="27" t="n">
        <v>15061.8298445185</v>
      </c>
      <c r="K82" s="27" t="n">
        <v>14969.6652628271</v>
      </c>
      <c r="L82" s="27" t="n">
        <v>14908.403628338</v>
      </c>
      <c r="M82" s="27" t="n">
        <v>14839.650700837</v>
      </c>
      <c r="N82" s="28" t="n">
        <v>14738.1102023067</v>
      </c>
      <c r="O82" s="24" t="n">
        <v>14588.458280489</v>
      </c>
      <c r="P82" s="24" t="n">
        <v>14470.9801599494</v>
      </c>
      <c r="Q82" s="24" t="n">
        <v>14339.0226301202</v>
      </c>
      <c r="R82" s="24" t="n">
        <v>14166.6068262761</v>
      </c>
      <c r="S82" s="24" t="n">
        <v>10819.383330655</v>
      </c>
      <c r="T82" s="24" t="n">
        <v>10072.4510263989</v>
      </c>
      <c r="U82" s="24" t="n">
        <v>9729.95368715429</v>
      </c>
      <c r="V82" s="24" t="n">
        <v>9349.32988485592</v>
      </c>
      <c r="W82" s="24" t="n">
        <v>15322.5550719627</v>
      </c>
      <c r="X82" s="24" t="n">
        <v>0</v>
      </c>
      <c r="Y82" s="7"/>
      <c r="Z82" s="7"/>
      <c r="AA82" s="7"/>
    </row>
    <row r="83" customFormat="false" ht="12.75" hidden="false" customHeight="false" outlineLevel="0" collapsed="false">
      <c r="A83" s="7"/>
      <c r="B83" s="7"/>
      <c r="D83" s="7"/>
      <c r="E83" s="7"/>
      <c r="F83" s="7"/>
      <c r="G83" s="7"/>
      <c r="H83" s="7"/>
      <c r="I83" s="7"/>
      <c r="J83" s="7"/>
      <c r="K83" s="7"/>
      <c r="L83" s="7"/>
      <c r="M83" s="7"/>
      <c r="N83" s="7"/>
      <c r="O83" s="7"/>
      <c r="P83" s="7"/>
      <c r="Q83" s="7"/>
      <c r="R83" s="7"/>
      <c r="S83" s="7"/>
      <c r="T83" s="7"/>
      <c r="U83" s="7"/>
      <c r="V83" s="7"/>
      <c r="W83" s="7"/>
      <c r="X83" s="7"/>
      <c r="Y83" s="7"/>
      <c r="Z83" s="7"/>
      <c r="AA83" s="7"/>
    </row>
    <row r="84" customFormat="false" ht="12.75" hidden="false" customHeight="false" outlineLevel="0" collapsed="false">
      <c r="A84" s="29" t="s">
        <v>19</v>
      </c>
      <c r="B84" s="7"/>
      <c r="D84" s="7"/>
      <c r="E84" s="7"/>
      <c r="F84" s="7"/>
      <c r="G84" s="7"/>
      <c r="H84" s="7"/>
      <c r="I84" s="7"/>
      <c r="J84" s="7"/>
      <c r="K84" s="7"/>
      <c r="L84" s="7"/>
      <c r="M84" s="7"/>
      <c r="N84" s="7"/>
      <c r="O84" s="7"/>
      <c r="P84" s="7"/>
      <c r="Q84" s="7"/>
      <c r="R84" s="7"/>
      <c r="S84" s="7"/>
      <c r="T84" s="7"/>
      <c r="U84" s="7"/>
      <c r="V84" s="7"/>
      <c r="W84" s="7"/>
      <c r="X84" s="7"/>
      <c r="Y84" s="7"/>
      <c r="Z84" s="7"/>
      <c r="AA84" s="7"/>
    </row>
    <row r="85" customFormat="false" ht="12.75" hidden="false" customHeight="false" outlineLevel="0" collapsed="false">
      <c r="A85" s="36" t="n">
        <v>36234</v>
      </c>
      <c r="B85" s="7"/>
      <c r="D85" s="7"/>
      <c r="E85" s="7"/>
      <c r="F85" s="7"/>
      <c r="G85" s="7"/>
      <c r="H85" s="7"/>
      <c r="I85" s="7"/>
      <c r="J85" s="7"/>
      <c r="K85" s="7"/>
      <c r="L85" s="7"/>
      <c r="M85" s="7"/>
      <c r="N85" s="7"/>
      <c r="O85" s="7"/>
      <c r="P85" s="7"/>
      <c r="Q85" s="7"/>
      <c r="R85" s="7"/>
      <c r="S85" s="7"/>
      <c r="T85" s="7"/>
      <c r="U85" s="7"/>
      <c r="V85" s="7"/>
      <c r="W85" s="7"/>
      <c r="X85" s="7"/>
      <c r="Y85" s="7"/>
      <c r="Z85" s="7"/>
      <c r="AA85" s="7"/>
    </row>
    <row r="86" customFormat="false" ht="12.75" hidden="false" customHeight="false" outlineLevel="0" collapsed="false">
      <c r="A86" s="10" t="s">
        <v>3</v>
      </c>
      <c r="B86" s="11" t="n">
        <v>72931.8877161045</v>
      </c>
      <c r="D86" s="7"/>
      <c r="E86" s="7"/>
      <c r="F86" s="7"/>
      <c r="G86" s="7"/>
      <c r="H86" s="7"/>
      <c r="I86" s="7"/>
      <c r="J86" s="7"/>
      <c r="K86" s="7"/>
      <c r="L86" s="7"/>
      <c r="M86" s="7"/>
      <c r="N86" s="7"/>
      <c r="O86" s="7"/>
      <c r="P86" s="7"/>
      <c r="Q86" s="7"/>
      <c r="R86" s="7"/>
      <c r="S86" s="7"/>
      <c r="T86" s="7"/>
      <c r="U86" s="7"/>
      <c r="V86" s="7"/>
      <c r="W86" s="7"/>
      <c r="X86" s="7"/>
      <c r="Y86" s="7"/>
      <c r="Z86" s="7"/>
      <c r="AA86" s="7"/>
    </row>
    <row r="87" customFormat="false" ht="12.75" hidden="false" customHeight="false" outlineLevel="0" collapsed="false">
      <c r="A87" s="12" t="s">
        <v>4</v>
      </c>
      <c r="B87" s="13" t="n">
        <v>112010.46112267</v>
      </c>
      <c r="D87" s="7"/>
      <c r="E87" s="7"/>
      <c r="F87" s="7"/>
      <c r="G87" s="7"/>
      <c r="H87" s="7"/>
      <c r="I87" s="7"/>
      <c r="J87" s="7"/>
      <c r="K87" s="7"/>
      <c r="L87" s="7"/>
      <c r="M87" s="7"/>
      <c r="N87" s="7"/>
      <c r="O87" s="7"/>
      <c r="P87" s="7"/>
      <c r="Q87" s="7"/>
      <c r="R87" s="7"/>
      <c r="S87" s="7"/>
      <c r="T87" s="7"/>
      <c r="U87" s="7"/>
      <c r="V87" s="7"/>
      <c r="W87" s="7"/>
      <c r="X87" s="7"/>
      <c r="Y87" s="7"/>
      <c r="Z87" s="7"/>
      <c r="AA87" s="7"/>
    </row>
    <row r="88" customFormat="false" ht="12.75" hidden="false" customHeight="false" outlineLevel="0" collapsed="false">
      <c r="A88" s="14" t="s">
        <v>5</v>
      </c>
      <c r="B88" s="15" t="s">
        <v>6</v>
      </c>
      <c r="C88" s="15" t="s">
        <v>7</v>
      </c>
      <c r="D88" s="16" t="n">
        <v>2000</v>
      </c>
      <c r="E88" s="17" t="n">
        <v>2001</v>
      </c>
      <c r="F88" s="17" t="n">
        <v>2002</v>
      </c>
      <c r="G88" s="17" t="n">
        <v>2003</v>
      </c>
      <c r="H88" s="17" t="n">
        <v>2004</v>
      </c>
      <c r="I88" s="17" t="n">
        <v>2005</v>
      </c>
      <c r="J88" s="17" t="n">
        <v>2006</v>
      </c>
      <c r="K88" s="17" t="n">
        <v>2007</v>
      </c>
      <c r="L88" s="17" t="n">
        <v>2008</v>
      </c>
      <c r="M88" s="17" t="n">
        <v>2009</v>
      </c>
      <c r="N88" s="18" t="n">
        <v>2010</v>
      </c>
      <c r="O88" s="19" t="n">
        <v>2011</v>
      </c>
      <c r="P88" s="19" t="n">
        <v>2012</v>
      </c>
      <c r="Q88" s="19" t="n">
        <v>2013</v>
      </c>
      <c r="R88" s="19" t="n">
        <v>2014</v>
      </c>
      <c r="S88" s="19" t="n">
        <v>2015</v>
      </c>
      <c r="T88" s="19" t="n">
        <v>2016</v>
      </c>
      <c r="U88" s="19" t="n">
        <v>2017</v>
      </c>
      <c r="V88" s="19" t="n">
        <v>2018</v>
      </c>
      <c r="W88" s="19" t="n">
        <v>2019</v>
      </c>
      <c r="X88" s="19" t="n">
        <v>2020</v>
      </c>
      <c r="Y88" s="7"/>
      <c r="Z88" s="7"/>
      <c r="AA88" s="7"/>
    </row>
    <row r="89" customFormat="false" ht="12.75" hidden="false" customHeight="false" outlineLevel="0" collapsed="false">
      <c r="A89" s="14" t="s">
        <v>8</v>
      </c>
      <c r="B89" s="20" t="n">
        <f aca="false">NPV(0.1,D89:Y89)</f>
        <v>466699.24186369</v>
      </c>
      <c r="C89" s="20" t="n">
        <f aca="false">B89-B79</f>
        <v>0</v>
      </c>
      <c r="D89" s="21" t="n">
        <v>26849.7167068917</v>
      </c>
      <c r="E89" s="22" t="n">
        <v>37744.8923681857</v>
      </c>
      <c r="F89" s="22" t="n">
        <v>38030.7981913677</v>
      </c>
      <c r="G89" s="22" t="n">
        <v>48482.7217366967</v>
      </c>
      <c r="H89" s="22" t="n">
        <v>57110.2842399209</v>
      </c>
      <c r="I89" s="22" t="n">
        <v>58527.7402855468</v>
      </c>
      <c r="J89" s="22" t="n">
        <v>59498.9268017684</v>
      </c>
      <c r="K89" s="22" t="n">
        <v>60571.8736294306</v>
      </c>
      <c r="L89" s="22" t="n">
        <v>61744.1174050877</v>
      </c>
      <c r="M89" s="22" t="n">
        <v>63019.6019992773</v>
      </c>
      <c r="N89" s="23" t="n">
        <v>64425.6726630603</v>
      </c>
      <c r="O89" s="24" t="n">
        <v>66127.6462004224</v>
      </c>
      <c r="P89" s="24" t="n">
        <v>67972.6329632482</v>
      </c>
      <c r="Q89" s="24" t="n">
        <v>69895.6700709288</v>
      </c>
      <c r="R89" s="24" t="n">
        <v>71890.3692611338</v>
      </c>
      <c r="S89" s="24" t="n">
        <v>73923.9360207296</v>
      </c>
      <c r="T89" s="24" t="n">
        <v>75644.4195678264</v>
      </c>
      <c r="U89" s="24" t="n">
        <v>77541.8203975652</v>
      </c>
      <c r="V89" s="24" t="n">
        <v>79194.274616438</v>
      </c>
      <c r="W89" s="24" t="n">
        <v>80841.5063331129</v>
      </c>
      <c r="X89" s="24" t="n">
        <v>20103.486715349</v>
      </c>
      <c r="Y89" s="7"/>
      <c r="Z89" s="7"/>
      <c r="AA89" s="7"/>
    </row>
    <row r="90" customFormat="false" ht="12.75" hidden="false" customHeight="false" outlineLevel="0" collapsed="false">
      <c r="A90" s="25" t="s">
        <v>9</v>
      </c>
      <c r="B90" s="20" t="n">
        <f aca="false">NPV(0.1,D90:Y90)</f>
        <v>204038.961267362</v>
      </c>
      <c r="C90" s="20" t="n">
        <f aca="false">B90-B80</f>
        <v>0</v>
      </c>
      <c r="D90" s="21" t="n">
        <v>16770.6544735584</v>
      </c>
      <c r="E90" s="22" t="n">
        <v>20428.9020681857</v>
      </c>
      <c r="F90" s="22" t="n">
        <v>20825.5340243677</v>
      </c>
      <c r="G90" s="22" t="n">
        <v>21156.4640924468</v>
      </c>
      <c r="H90" s="22" t="n">
        <v>21556.0223179442</v>
      </c>
      <c r="I90" s="22" t="n">
        <v>22032.5384394775</v>
      </c>
      <c r="J90" s="22" t="n">
        <v>22581.4525138858</v>
      </c>
      <c r="K90" s="22" t="n">
        <v>23239.8190596274</v>
      </c>
      <c r="L90" s="22" t="n">
        <v>24006.0162880477</v>
      </c>
      <c r="M90" s="22" t="n">
        <v>24884.8732160192</v>
      </c>
      <c r="N90" s="23" t="n">
        <v>25904.6656693563</v>
      </c>
      <c r="O90" s="24" t="n">
        <v>27074.333675214</v>
      </c>
      <c r="P90" s="24" t="n">
        <v>28389.9283056794</v>
      </c>
      <c r="Q90" s="24" t="n">
        <v>29787.1405590708</v>
      </c>
      <c r="R90" s="24" t="n">
        <v>31260.2726626609</v>
      </c>
      <c r="S90" s="24" t="n">
        <v>32777.2588117457</v>
      </c>
      <c r="T90" s="24" t="n">
        <v>34351.7512927826</v>
      </c>
      <c r="U90" s="24" t="n">
        <v>36131.6164267261</v>
      </c>
      <c r="V90" s="24" t="n">
        <v>37696.8290342434</v>
      </c>
      <c r="W90" s="24" t="n">
        <v>39289.0366511952</v>
      </c>
      <c r="X90" s="24" t="n">
        <v>724.739760228491</v>
      </c>
      <c r="Y90" s="7"/>
      <c r="Z90" s="7"/>
      <c r="AA90" s="7"/>
    </row>
    <row r="91" customFormat="false" ht="12.75" hidden="false" customHeight="false" outlineLevel="0" collapsed="false">
      <c r="A91" s="25" t="s">
        <v>10</v>
      </c>
      <c r="B91" s="20" t="n">
        <f aca="false">NPV(0.1,D91:Y91)</f>
        <v>84089.4192034424</v>
      </c>
      <c r="C91" s="20" t="n">
        <f aca="false">B91-B81</f>
        <v>0</v>
      </c>
      <c r="D91" s="21" t="n">
        <v>-312.933246690943</v>
      </c>
      <c r="E91" s="22" t="n">
        <v>319.379811534115</v>
      </c>
      <c r="F91" s="22" t="n">
        <v>363.662237189257</v>
      </c>
      <c r="G91" s="22" t="n">
        <v>6478.25990956623</v>
      </c>
      <c r="H91" s="22" t="n">
        <v>11401.1874097029</v>
      </c>
      <c r="I91" s="22" t="n">
        <v>12306.724069667</v>
      </c>
      <c r="J91" s="22" t="n">
        <v>12885.1833001779</v>
      </c>
      <c r="K91" s="22" t="n">
        <v>13299.8221135994</v>
      </c>
      <c r="L91" s="22" t="n">
        <v>13795.5263950058</v>
      </c>
      <c r="M91" s="22" t="n">
        <v>14312.803899141</v>
      </c>
      <c r="N91" s="23" t="n">
        <v>14853.069863808</v>
      </c>
      <c r="O91" s="24" t="n">
        <v>15443.2562838841</v>
      </c>
      <c r="P91" s="24" t="n">
        <v>16136.6732326641</v>
      </c>
      <c r="Q91" s="24" t="n">
        <v>16867.3335421365</v>
      </c>
      <c r="R91" s="24" t="n">
        <v>17637.8785619044</v>
      </c>
      <c r="S91" s="24" t="n">
        <v>18374.1311697417</v>
      </c>
      <c r="T91" s="24" t="n">
        <v>19015.6378791773</v>
      </c>
      <c r="U91" s="24" t="n">
        <v>19686.2487280849</v>
      </c>
      <c r="V91" s="24" t="n">
        <v>20387.9780323174</v>
      </c>
      <c r="W91" s="24" t="n">
        <v>20857.5755908171</v>
      </c>
      <c r="X91" s="24" t="n">
        <v>0</v>
      </c>
      <c r="Y91" s="7"/>
      <c r="Z91" s="7"/>
      <c r="AA91" s="7"/>
    </row>
    <row r="92" customFormat="false" ht="12.75" hidden="false" customHeight="false" outlineLevel="0" collapsed="false">
      <c r="A92" s="25" t="s">
        <v>11</v>
      </c>
      <c r="B92" s="20" t="n">
        <f aca="false">NPV(0.1,D92:Y92)</f>
        <v>100282.489171902</v>
      </c>
      <c r="C92" s="20" t="n">
        <f aca="false">B92-B82</f>
        <v>-462.233408360655</v>
      </c>
      <c r="D92" s="26" t="n">
        <v>2386.49000965876</v>
      </c>
      <c r="E92" s="27" t="n">
        <v>4005.52441629513</v>
      </c>
      <c r="F92" s="27" t="n">
        <v>4015.74512958198</v>
      </c>
      <c r="G92" s="27" t="n">
        <v>16417.9829562953</v>
      </c>
      <c r="H92" s="27" t="n">
        <v>21400.8038781096</v>
      </c>
      <c r="I92" s="27" t="n">
        <v>16244.7964811706</v>
      </c>
      <c r="J92" s="27" t="n">
        <v>15060.1816024856</v>
      </c>
      <c r="K92" s="27" t="n">
        <v>14968.0149565566</v>
      </c>
      <c r="L92" s="27" t="n">
        <v>14906.7512552445</v>
      </c>
      <c r="M92" s="27" t="n">
        <v>14837.996258332</v>
      </c>
      <c r="N92" s="28" t="n">
        <v>14736.4536877987</v>
      </c>
      <c r="O92" s="24" t="n">
        <v>14586.7996913829</v>
      </c>
      <c r="P92" s="24" t="n">
        <v>14469.319493647</v>
      </c>
      <c r="Q92" s="24" t="n">
        <v>14337.3598840202</v>
      </c>
      <c r="R92" s="24" t="n">
        <v>14164.9419977736</v>
      </c>
      <c r="S92" s="24" t="n">
        <v>12133.7963307971</v>
      </c>
      <c r="T92" s="24" t="n">
        <v>10072.4302672972</v>
      </c>
      <c r="U92" s="24" t="n">
        <v>9729.93290205414</v>
      </c>
      <c r="V92" s="24" t="n">
        <v>9349.30907372477</v>
      </c>
      <c r="W92" s="24" t="n">
        <v>15322.5342347679</v>
      </c>
      <c r="X92" s="24" t="n">
        <v>0</v>
      </c>
      <c r="Y92" s="7"/>
      <c r="Z92" s="7"/>
      <c r="AA92" s="7"/>
    </row>
    <row r="93" customFormat="false" ht="12.75" hidden="false" customHeight="false" outlineLevel="0" collapsed="false">
      <c r="A93" s="7"/>
      <c r="B93" s="7"/>
      <c r="D93" s="7"/>
      <c r="E93" s="7"/>
      <c r="F93" s="7"/>
      <c r="G93" s="7"/>
      <c r="H93" s="7"/>
      <c r="I93" s="7"/>
      <c r="J93" s="7"/>
      <c r="K93" s="7"/>
      <c r="L93" s="7"/>
      <c r="M93" s="7"/>
      <c r="N93" s="7"/>
      <c r="O93" s="7"/>
      <c r="P93" s="7"/>
      <c r="Q93" s="7"/>
      <c r="R93" s="7"/>
      <c r="S93" s="7"/>
      <c r="T93" s="7"/>
      <c r="U93" s="7"/>
      <c r="V93" s="7"/>
      <c r="W93" s="7"/>
      <c r="X93" s="7"/>
      <c r="Y93" s="7"/>
      <c r="Z93" s="7"/>
      <c r="AA93" s="7"/>
    </row>
    <row r="94" customFormat="false" ht="12.75" hidden="false" customHeight="false" outlineLevel="0" collapsed="false">
      <c r="A94" s="29" t="s">
        <v>20</v>
      </c>
      <c r="B94" s="7"/>
      <c r="D94" s="7"/>
      <c r="E94" s="7"/>
      <c r="F94" s="7"/>
      <c r="G94" s="7"/>
      <c r="H94" s="7"/>
      <c r="I94" s="7"/>
      <c r="J94" s="7"/>
      <c r="K94" s="7"/>
      <c r="L94" s="7"/>
      <c r="M94" s="7"/>
      <c r="N94" s="7"/>
      <c r="O94" s="7"/>
      <c r="P94" s="7"/>
      <c r="Q94" s="7"/>
      <c r="R94" s="7"/>
      <c r="S94" s="7"/>
      <c r="T94" s="7"/>
      <c r="U94" s="7"/>
      <c r="V94" s="7"/>
      <c r="W94" s="7"/>
      <c r="X94" s="7"/>
      <c r="Y94" s="7"/>
      <c r="Z94" s="7"/>
      <c r="AA94" s="7"/>
    </row>
    <row r="95" customFormat="false" ht="12.75" hidden="false" customHeight="false" outlineLevel="0" collapsed="false">
      <c r="A95" s="36" t="n">
        <v>36234</v>
      </c>
      <c r="B95" s="7"/>
      <c r="D95" s="7"/>
      <c r="E95" s="7"/>
      <c r="F95" s="7"/>
      <c r="G95" s="7"/>
      <c r="H95" s="7"/>
      <c r="I95" s="7"/>
      <c r="J95" s="7"/>
      <c r="K95" s="7"/>
      <c r="L95" s="7"/>
      <c r="M95" s="7"/>
      <c r="N95" s="7"/>
      <c r="O95" s="7"/>
      <c r="P95" s="7"/>
      <c r="Q95" s="7"/>
      <c r="R95" s="7"/>
      <c r="S95" s="7"/>
      <c r="T95" s="7"/>
      <c r="U95" s="7"/>
      <c r="V95" s="7"/>
      <c r="W95" s="7"/>
      <c r="X95" s="7"/>
      <c r="Y95" s="7"/>
      <c r="Z95" s="7"/>
      <c r="AA95" s="7"/>
    </row>
    <row r="96" customFormat="false" ht="12.75" hidden="false" customHeight="false" outlineLevel="0" collapsed="false">
      <c r="A96" s="10" t="s">
        <v>3</v>
      </c>
      <c r="B96" s="11" t="n">
        <v>72691.7806504998</v>
      </c>
      <c r="D96" s="7"/>
      <c r="E96" s="7"/>
      <c r="F96" s="7"/>
      <c r="G96" s="7"/>
      <c r="H96" s="7"/>
      <c r="I96" s="7"/>
      <c r="J96" s="7"/>
      <c r="K96" s="7"/>
      <c r="L96" s="7"/>
      <c r="M96" s="7"/>
      <c r="N96" s="7"/>
      <c r="O96" s="7"/>
      <c r="P96" s="7"/>
      <c r="Q96" s="7"/>
      <c r="R96" s="7"/>
      <c r="S96" s="7"/>
      <c r="T96" s="7"/>
      <c r="U96" s="7"/>
      <c r="V96" s="7"/>
      <c r="W96" s="7"/>
      <c r="X96" s="7"/>
      <c r="Y96" s="7"/>
      <c r="Z96" s="7"/>
      <c r="AA96" s="7"/>
    </row>
    <row r="97" customFormat="false" ht="12.75" hidden="false" customHeight="false" outlineLevel="0" collapsed="false">
      <c r="A97" s="12" t="s">
        <v>4</v>
      </c>
      <c r="B97" s="13" t="n">
        <v>111696.104979609</v>
      </c>
      <c r="D97" s="7"/>
      <c r="E97" s="7"/>
      <c r="F97" s="7"/>
      <c r="G97" s="7"/>
      <c r="H97" s="7"/>
      <c r="I97" s="7"/>
      <c r="J97" s="7"/>
      <c r="K97" s="7"/>
      <c r="L97" s="7"/>
      <c r="M97" s="7"/>
      <c r="N97" s="7"/>
      <c r="O97" s="7"/>
      <c r="P97" s="7"/>
      <c r="Q97" s="7"/>
      <c r="R97" s="7"/>
      <c r="S97" s="7"/>
      <c r="T97" s="7"/>
      <c r="U97" s="7"/>
      <c r="V97" s="7"/>
      <c r="W97" s="7"/>
      <c r="X97" s="7"/>
      <c r="Y97" s="7"/>
      <c r="Z97" s="7"/>
      <c r="AA97" s="7"/>
    </row>
    <row r="98" customFormat="false" ht="12.75" hidden="false" customHeight="false" outlineLevel="0" collapsed="false">
      <c r="A98" s="14" t="s">
        <v>5</v>
      </c>
      <c r="B98" s="15" t="s">
        <v>6</v>
      </c>
      <c r="C98" s="15" t="s">
        <v>7</v>
      </c>
      <c r="D98" s="16" t="n">
        <v>2000</v>
      </c>
      <c r="E98" s="17" t="n">
        <v>2001</v>
      </c>
      <c r="F98" s="17" t="n">
        <v>2002</v>
      </c>
      <c r="G98" s="17" t="n">
        <v>2003</v>
      </c>
      <c r="H98" s="17" t="n">
        <v>2004</v>
      </c>
      <c r="I98" s="17" t="n">
        <v>2005</v>
      </c>
      <c r="J98" s="17" t="n">
        <v>2006</v>
      </c>
      <c r="K98" s="17" t="n">
        <v>2007</v>
      </c>
      <c r="L98" s="17" t="n">
        <v>2008</v>
      </c>
      <c r="M98" s="17" t="n">
        <v>2009</v>
      </c>
      <c r="N98" s="18" t="n">
        <v>2010</v>
      </c>
      <c r="O98" s="19" t="n">
        <v>2011</v>
      </c>
      <c r="P98" s="19" t="n">
        <v>2012</v>
      </c>
      <c r="Q98" s="19" t="n">
        <v>2013</v>
      </c>
      <c r="R98" s="19" t="n">
        <v>2014</v>
      </c>
      <c r="S98" s="19" t="n">
        <v>2015</v>
      </c>
      <c r="T98" s="19" t="n">
        <v>2016</v>
      </c>
      <c r="U98" s="19" t="n">
        <v>2017</v>
      </c>
      <c r="V98" s="19" t="n">
        <v>2018</v>
      </c>
      <c r="W98" s="19" t="n">
        <v>2019</v>
      </c>
      <c r="X98" s="19" t="n">
        <v>2020</v>
      </c>
      <c r="Y98" s="7"/>
      <c r="Z98" s="7"/>
      <c r="AA98" s="7"/>
    </row>
    <row r="99" customFormat="false" ht="12.75" hidden="false" customHeight="false" outlineLevel="0" collapsed="false">
      <c r="A99" s="14" t="s">
        <v>8</v>
      </c>
      <c r="B99" s="20" t="n">
        <f aca="false">NPV(0.1,D99:Y99)</f>
        <v>466699.712538977</v>
      </c>
      <c r="C99" s="20" t="n">
        <f aca="false">B99-B89</f>
        <v>0.470675286662299</v>
      </c>
      <c r="D99" s="21" t="n">
        <v>26849.7439675333</v>
      </c>
      <c r="E99" s="22" t="n">
        <v>37744.9405026899</v>
      </c>
      <c r="F99" s="22" t="n">
        <v>38030.8477699071</v>
      </c>
      <c r="G99" s="22" t="n">
        <v>48482.7728025923</v>
      </c>
      <c r="H99" s="22" t="n">
        <v>57110.3368377933</v>
      </c>
      <c r="I99" s="22" t="n">
        <v>58527.7944613554</v>
      </c>
      <c r="J99" s="22" t="n">
        <v>59498.9826028513</v>
      </c>
      <c r="K99" s="22" t="n">
        <v>60571.931104546</v>
      </c>
      <c r="L99" s="22" t="n">
        <v>61744.1766044565</v>
      </c>
      <c r="M99" s="22" t="n">
        <v>63019.6629746272</v>
      </c>
      <c r="N99" s="23" t="n">
        <v>64425.7354676707</v>
      </c>
      <c r="O99" s="24" t="n">
        <v>66127.7108891711</v>
      </c>
      <c r="P99" s="24" t="n">
        <v>67972.6995926593</v>
      </c>
      <c r="Q99" s="24" t="n">
        <v>69895.7386992223</v>
      </c>
      <c r="R99" s="24" t="n">
        <v>71890.4399482761</v>
      </c>
      <c r="S99" s="24" t="n">
        <v>73924.0088284862</v>
      </c>
      <c r="T99" s="24" t="n">
        <v>75644.4945598156</v>
      </c>
      <c r="U99" s="24" t="n">
        <v>77541.8976393141</v>
      </c>
      <c r="V99" s="24" t="n">
        <v>79194.3541754394</v>
      </c>
      <c r="W99" s="24" t="n">
        <v>80841.5882788844</v>
      </c>
      <c r="X99" s="24" t="n">
        <v>20103.486715349</v>
      </c>
      <c r="Y99" s="7"/>
      <c r="Z99" s="7"/>
      <c r="AA99" s="7"/>
    </row>
    <row r="100" customFormat="false" ht="12.75" hidden="false" customHeight="false" outlineLevel="0" collapsed="false">
      <c r="A100" s="25" t="s">
        <v>9</v>
      </c>
      <c r="B100" s="20" t="n">
        <f aca="false">NPV(0.1,D100:Y100)</f>
        <v>204353.78928011</v>
      </c>
      <c r="C100" s="20" t="n">
        <f aca="false">B100-B90</f>
        <v>314.828012748563</v>
      </c>
      <c r="D100" s="21" t="n">
        <v>16788.7067342</v>
      </c>
      <c r="E100" s="22" t="n">
        <v>20460.7772026899</v>
      </c>
      <c r="F100" s="22" t="n">
        <v>20858.3654129071</v>
      </c>
      <c r="G100" s="22" t="n">
        <v>21190.2804226423</v>
      </c>
      <c r="H100" s="22" t="n">
        <v>21590.8531380456</v>
      </c>
      <c r="I100" s="22" t="n">
        <v>22068.414184182</v>
      </c>
      <c r="J100" s="22" t="n">
        <v>22618.4045309315</v>
      </c>
      <c r="K100" s="22" t="n">
        <v>23277.8796371844</v>
      </c>
      <c r="L100" s="22" t="n">
        <v>24045.2186829314</v>
      </c>
      <c r="M100" s="22" t="n">
        <v>24925.2516827494</v>
      </c>
      <c r="N100" s="23" t="n">
        <v>25946.2554900884</v>
      </c>
      <c r="O100" s="24" t="n">
        <v>27117.171190568</v>
      </c>
      <c r="P100" s="24" t="n">
        <v>28434.0509464941</v>
      </c>
      <c r="Q100" s="24" t="n">
        <v>29832.5868791099</v>
      </c>
      <c r="R100" s="24" t="n">
        <v>31307.0823723012</v>
      </c>
      <c r="S100" s="24" t="n">
        <v>32825.4728126752</v>
      </c>
      <c r="T100" s="24" t="n">
        <v>34401.41171374</v>
      </c>
      <c r="U100" s="24" t="n">
        <v>36182.7666603122</v>
      </c>
      <c r="V100" s="24" t="n">
        <v>37749.5137748371</v>
      </c>
      <c r="W100" s="24" t="n">
        <v>39343.3019340067</v>
      </c>
      <c r="X100" s="24" t="n">
        <v>747.99344237486</v>
      </c>
      <c r="Y100" s="7"/>
      <c r="Z100" s="7"/>
      <c r="AA100" s="7"/>
    </row>
    <row r="101" customFormat="false" ht="12.75" hidden="false" customHeight="false" outlineLevel="0" collapsed="false">
      <c r="A101" s="25" t="s">
        <v>10</v>
      </c>
      <c r="B101" s="20" t="n">
        <f aca="false">NPV(0.1,D101:Y101)</f>
        <v>83953.3728514716</v>
      </c>
      <c r="C101" s="20" t="n">
        <f aca="false">B101-B91</f>
        <v>-136.046351970872</v>
      </c>
      <c r="D101" s="21" t="n">
        <v>-318.942853107351</v>
      </c>
      <c r="E101" s="22" t="n">
        <v>308.266150091838</v>
      </c>
      <c r="F101" s="22" t="n">
        <v>351.482766823723</v>
      </c>
      <c r="G101" s="22" t="n">
        <v>6464.92513128527</v>
      </c>
      <c r="H101" s="22" t="n">
        <v>11387.1745919756</v>
      </c>
      <c r="I101" s="22" t="n">
        <v>12291.9898431879</v>
      </c>
      <c r="J101" s="22" t="n">
        <v>12869.6811523124</v>
      </c>
      <c r="K101" s="22" t="n">
        <v>13283.5021467042</v>
      </c>
      <c r="L101" s="22" t="n">
        <v>13778.3350657082</v>
      </c>
      <c r="M101" s="22" t="n">
        <v>14294.6837370629</v>
      </c>
      <c r="N101" s="23" t="n">
        <v>14833.9591680995</v>
      </c>
      <c r="O101" s="24" t="n">
        <v>15423.0887958005</v>
      </c>
      <c r="P101" s="24" t="n">
        <v>16115.3777822795</v>
      </c>
      <c r="Q101" s="24" t="n">
        <v>16844.8336671347</v>
      </c>
      <c r="R101" s="24" t="n">
        <v>17614.0920962242</v>
      </c>
      <c r="S101" s="24" t="n">
        <v>18348.9697996742</v>
      </c>
      <c r="T101" s="24" t="n">
        <v>18989.006664323</v>
      </c>
      <c r="U101" s="24" t="n">
        <v>19658.0455843711</v>
      </c>
      <c r="V101" s="24" t="n">
        <v>20358.0931740509</v>
      </c>
      <c r="W101" s="24" t="n">
        <v>20826.2194428233</v>
      </c>
      <c r="X101" s="24" t="n">
        <v>0</v>
      </c>
      <c r="Y101" s="7"/>
      <c r="Z101" s="7"/>
      <c r="AA101" s="7"/>
    </row>
    <row r="102" customFormat="false" ht="12.75" hidden="false" customHeight="false" outlineLevel="0" collapsed="false">
      <c r="A102" s="25" t="s">
        <v>11</v>
      </c>
      <c r="B102" s="20" t="n">
        <f aca="false">NPV(0.1,D102:Y102)</f>
        <v>100199.991538812</v>
      </c>
      <c r="C102" s="20" t="n">
        <f aca="false">B102-B92</f>
        <v>-82.4976330901554</v>
      </c>
      <c r="D102" s="26" t="n">
        <v>2382.00906398568</v>
      </c>
      <c r="E102" s="27" t="n">
        <v>3997.64603718789</v>
      </c>
      <c r="F102" s="27" t="n">
        <v>4007.63065019015</v>
      </c>
      <c r="G102" s="27" t="n">
        <v>16397.1570439832</v>
      </c>
      <c r="H102" s="27" t="n">
        <v>21379.3512052677</v>
      </c>
      <c r="I102" s="27" t="n">
        <v>16271.0458441262</v>
      </c>
      <c r="J102" s="27" t="n">
        <v>15048.0000986869</v>
      </c>
      <c r="K102" s="27" t="n">
        <v>14955.7228377142</v>
      </c>
      <c r="L102" s="27" t="n">
        <v>14894.3648354368</v>
      </c>
      <c r="M102" s="27" t="n">
        <v>14825.5339117054</v>
      </c>
      <c r="N102" s="28" t="n">
        <v>14723.9360360211</v>
      </c>
      <c r="O102" s="24" t="n">
        <v>14574.2498067738</v>
      </c>
      <c r="P102" s="24" t="n">
        <v>14456.7631192567</v>
      </c>
      <c r="Q102" s="24" t="n">
        <v>14324.8256720367</v>
      </c>
      <c r="R102" s="24" t="n">
        <v>14152.4617677448</v>
      </c>
      <c r="S102" s="24" t="n">
        <v>12121.4053492749</v>
      </c>
      <c r="T102" s="24" t="n">
        <v>10060.1675506412</v>
      </c>
      <c r="U102" s="24" t="n">
        <v>9717.84154427076</v>
      </c>
      <c r="V102" s="24" t="n">
        <v>9337.43660136929</v>
      </c>
      <c r="W102" s="24" t="n">
        <v>15299.0203515687</v>
      </c>
      <c r="X102" s="24" t="n">
        <v>0</v>
      </c>
      <c r="Y102" s="7"/>
      <c r="Z102" s="7"/>
      <c r="AA102" s="7"/>
    </row>
    <row r="103" customFormat="false" ht="12.75" hidden="false" customHeight="false" outlineLevel="0" collapsed="false">
      <c r="A103" s="7"/>
      <c r="B103" s="7"/>
      <c r="D103" s="7"/>
      <c r="E103" s="7"/>
      <c r="F103" s="7"/>
      <c r="G103" s="7"/>
      <c r="H103" s="7"/>
      <c r="I103" s="7"/>
      <c r="J103" s="7"/>
      <c r="K103" s="7"/>
      <c r="L103" s="7"/>
      <c r="M103" s="7"/>
      <c r="N103" s="7"/>
      <c r="O103" s="7"/>
      <c r="P103" s="7"/>
      <c r="Q103" s="7"/>
      <c r="R103" s="7"/>
      <c r="S103" s="7"/>
      <c r="T103" s="7"/>
      <c r="U103" s="7"/>
      <c r="V103" s="7"/>
      <c r="W103" s="7"/>
      <c r="X103" s="7"/>
      <c r="Y103" s="7"/>
      <c r="Z103" s="7"/>
      <c r="AA103" s="7"/>
    </row>
    <row r="104" customFormat="false" ht="12.75" hidden="false" customHeight="false" outlineLevel="0" collapsed="false">
      <c r="A104" s="29" t="s">
        <v>21</v>
      </c>
      <c r="B104" s="7"/>
      <c r="D104" s="7"/>
      <c r="E104" s="7"/>
      <c r="F104" s="7"/>
      <c r="G104" s="7"/>
      <c r="H104" s="7"/>
      <c r="I104" s="7"/>
      <c r="J104" s="7"/>
      <c r="K104" s="7"/>
      <c r="L104" s="7"/>
      <c r="M104" s="7"/>
      <c r="N104" s="7"/>
      <c r="O104" s="7"/>
      <c r="P104" s="7"/>
      <c r="Q104" s="7"/>
      <c r="R104" s="7"/>
      <c r="S104" s="7"/>
      <c r="T104" s="7"/>
      <c r="U104" s="7"/>
      <c r="V104" s="7"/>
      <c r="W104" s="7"/>
      <c r="X104" s="7"/>
      <c r="Y104" s="7"/>
      <c r="Z104" s="7"/>
      <c r="AA104" s="7"/>
    </row>
    <row r="105" customFormat="false" ht="12.75" hidden="false" customHeight="false" outlineLevel="0" collapsed="false">
      <c r="A105" s="36" t="n">
        <v>36240</v>
      </c>
      <c r="B105" s="7"/>
      <c r="D105" s="7"/>
      <c r="E105" s="7"/>
      <c r="F105" s="7"/>
      <c r="G105" s="7"/>
      <c r="H105" s="7"/>
      <c r="I105" s="7"/>
      <c r="J105" s="7"/>
      <c r="K105" s="7"/>
      <c r="L105" s="7"/>
      <c r="M105" s="7"/>
      <c r="N105" s="7"/>
      <c r="O105" s="7"/>
      <c r="P105" s="7"/>
      <c r="Q105" s="7"/>
      <c r="R105" s="7"/>
      <c r="S105" s="7"/>
      <c r="T105" s="7"/>
      <c r="U105" s="7"/>
      <c r="V105" s="7"/>
      <c r="W105" s="7"/>
      <c r="X105" s="7"/>
      <c r="Y105" s="7"/>
      <c r="Z105" s="7"/>
      <c r="AA105" s="7"/>
    </row>
    <row r="106" customFormat="false" ht="12.75" hidden="false" customHeight="false" outlineLevel="0" collapsed="false">
      <c r="A106" s="10" t="s">
        <v>3</v>
      </c>
      <c r="B106" s="11" t="n">
        <v>69694.3010449984</v>
      </c>
      <c r="D106" s="7"/>
      <c r="E106" s="7"/>
      <c r="F106" s="7"/>
      <c r="G106" s="7"/>
      <c r="H106" s="7"/>
      <c r="I106" s="7"/>
      <c r="J106" s="7"/>
      <c r="K106" s="7"/>
      <c r="L106" s="7"/>
      <c r="M106" s="7"/>
      <c r="N106" s="7"/>
      <c r="O106" s="7"/>
      <c r="P106" s="7"/>
      <c r="Q106" s="7"/>
      <c r="R106" s="7"/>
      <c r="S106" s="7"/>
      <c r="T106" s="7"/>
      <c r="U106" s="7"/>
      <c r="V106" s="7"/>
      <c r="W106" s="7"/>
      <c r="X106" s="7"/>
      <c r="Y106" s="7"/>
      <c r="Z106" s="7"/>
      <c r="AA106" s="7"/>
    </row>
    <row r="107" customFormat="false" ht="12.75" hidden="false" customHeight="false" outlineLevel="0" collapsed="false">
      <c r="A107" s="12" t="s">
        <v>4</v>
      </c>
      <c r="B107" s="13" t="n">
        <v>108137.439773586</v>
      </c>
      <c r="D107" s="7"/>
      <c r="E107" s="7"/>
      <c r="F107" s="7"/>
      <c r="G107" s="7"/>
      <c r="H107" s="7"/>
      <c r="I107" s="7"/>
      <c r="J107" s="7"/>
      <c r="K107" s="7"/>
      <c r="L107" s="7"/>
      <c r="M107" s="7"/>
      <c r="N107" s="7"/>
      <c r="O107" s="7"/>
      <c r="P107" s="7"/>
      <c r="Q107" s="7"/>
      <c r="R107" s="7"/>
      <c r="S107" s="7"/>
      <c r="T107" s="7"/>
      <c r="U107" s="7"/>
      <c r="V107" s="7"/>
      <c r="W107" s="7"/>
      <c r="X107" s="7"/>
      <c r="Y107" s="7"/>
      <c r="Z107" s="7"/>
      <c r="AA107" s="7"/>
    </row>
    <row r="108" customFormat="false" ht="12.75" hidden="false" customHeight="false" outlineLevel="0" collapsed="false">
      <c r="A108" s="14" t="s">
        <v>5</v>
      </c>
      <c r="B108" s="15" t="s">
        <v>6</v>
      </c>
      <c r="C108" s="15" t="s">
        <v>7</v>
      </c>
      <c r="D108" s="16" t="n">
        <v>2000</v>
      </c>
      <c r="E108" s="17" t="n">
        <v>2001</v>
      </c>
      <c r="F108" s="17" t="n">
        <v>2002</v>
      </c>
      <c r="G108" s="17" t="n">
        <v>2003</v>
      </c>
      <c r="H108" s="17" t="n">
        <v>2004</v>
      </c>
      <c r="I108" s="17" t="n">
        <v>2005</v>
      </c>
      <c r="J108" s="17" t="n">
        <v>2006</v>
      </c>
      <c r="K108" s="17" t="n">
        <v>2007</v>
      </c>
      <c r="L108" s="17" t="n">
        <v>2008</v>
      </c>
      <c r="M108" s="17" t="n">
        <v>2009</v>
      </c>
      <c r="N108" s="18" t="n">
        <v>2010</v>
      </c>
      <c r="O108" s="19" t="n">
        <v>2011</v>
      </c>
      <c r="P108" s="19" t="n">
        <v>2012</v>
      </c>
      <c r="Q108" s="19" t="n">
        <v>2013</v>
      </c>
      <c r="R108" s="19" t="n">
        <v>2014</v>
      </c>
      <c r="S108" s="19" t="n">
        <v>2015</v>
      </c>
      <c r="T108" s="19" t="n">
        <v>2016</v>
      </c>
      <c r="U108" s="19" t="n">
        <v>2017</v>
      </c>
      <c r="V108" s="19" t="n">
        <v>2018</v>
      </c>
      <c r="W108" s="19" t="n">
        <v>2019</v>
      </c>
      <c r="X108" s="19" t="n">
        <v>2020</v>
      </c>
      <c r="Y108" s="7"/>
      <c r="Z108" s="7"/>
      <c r="AA108" s="7"/>
    </row>
    <row r="109" customFormat="false" ht="12.75" hidden="false" customHeight="false" outlineLevel="0" collapsed="false">
      <c r="A109" s="14" t="s">
        <v>8</v>
      </c>
      <c r="B109" s="20" t="n">
        <f aca="false">NPV(0.1,D109:Y109)</f>
        <v>466699.762901145</v>
      </c>
      <c r="C109" s="20" t="n">
        <f aca="false">B109-B99</f>
        <v>0.0503621684620157</v>
      </c>
      <c r="D109" s="21" t="n">
        <v>26849.7498830547</v>
      </c>
      <c r="E109" s="22" t="n">
        <v>37744.9464182113</v>
      </c>
      <c r="F109" s="22" t="n">
        <v>38030.8536854285</v>
      </c>
      <c r="G109" s="22" t="n">
        <v>48482.7787181137</v>
      </c>
      <c r="H109" s="22" t="n">
        <v>57110.3427533147</v>
      </c>
      <c r="I109" s="22" t="n">
        <v>58527.8003768768</v>
      </c>
      <c r="J109" s="22" t="n">
        <v>59498.9885183727</v>
      </c>
      <c r="K109" s="22" t="n">
        <v>60571.9370200674</v>
      </c>
      <c r="L109" s="22" t="n">
        <v>61744.1825199779</v>
      </c>
      <c r="M109" s="22" t="n">
        <v>63019.6688901486</v>
      </c>
      <c r="N109" s="23" t="n">
        <v>64425.7413831921</v>
      </c>
      <c r="O109" s="24" t="n">
        <v>66127.7168046925</v>
      </c>
      <c r="P109" s="24" t="n">
        <v>67972.7055081807</v>
      </c>
      <c r="Q109" s="24" t="n">
        <v>69895.7446147437</v>
      </c>
      <c r="R109" s="24" t="n">
        <v>71890.4458637975</v>
      </c>
      <c r="S109" s="24" t="n">
        <v>73924.0147440076</v>
      </c>
      <c r="T109" s="24" t="n">
        <v>75644.500475337</v>
      </c>
      <c r="U109" s="24" t="n">
        <v>77541.9035548355</v>
      </c>
      <c r="V109" s="24" t="n">
        <v>79194.3600909608</v>
      </c>
      <c r="W109" s="24" t="n">
        <v>80841.5941944058</v>
      </c>
      <c r="X109" s="24" t="n">
        <v>20103.486715349</v>
      </c>
      <c r="Y109" s="7"/>
      <c r="Z109" s="7"/>
      <c r="AA109" s="7"/>
    </row>
    <row r="110" customFormat="false" ht="12.75" hidden="false" customHeight="false" outlineLevel="0" collapsed="false">
      <c r="A110" s="25" t="s">
        <v>9</v>
      </c>
      <c r="B110" s="20" t="n">
        <f aca="false">NPV(0.1,D110:Y110)</f>
        <v>204387.139595412</v>
      </c>
      <c r="C110" s="20" t="n">
        <f aca="false">B110-B100</f>
        <v>33.350315301941</v>
      </c>
      <c r="D110" s="21" t="n">
        <v>16792.6240497214</v>
      </c>
      <c r="E110" s="22" t="n">
        <v>20464.6945182113</v>
      </c>
      <c r="F110" s="22" t="n">
        <v>20862.2827284285</v>
      </c>
      <c r="G110" s="22" t="n">
        <v>21194.1977381637</v>
      </c>
      <c r="H110" s="22" t="n">
        <v>21594.770453567</v>
      </c>
      <c r="I110" s="22" t="n">
        <v>22072.3314997034</v>
      </c>
      <c r="J110" s="22" t="n">
        <v>22622.3218464529</v>
      </c>
      <c r="K110" s="22" t="n">
        <v>23281.7969527058</v>
      </c>
      <c r="L110" s="22" t="n">
        <v>24049.1359984528</v>
      </c>
      <c r="M110" s="22" t="n">
        <v>24929.1689982708</v>
      </c>
      <c r="N110" s="23" t="n">
        <v>25950.1728056098</v>
      </c>
      <c r="O110" s="24" t="n">
        <v>27121.0885060894</v>
      </c>
      <c r="P110" s="24" t="n">
        <v>28437.9682620155</v>
      </c>
      <c r="Q110" s="24" t="n">
        <v>29836.5041946313</v>
      </c>
      <c r="R110" s="24" t="n">
        <v>31310.9996878226</v>
      </c>
      <c r="S110" s="24" t="n">
        <v>32829.3901281967</v>
      </c>
      <c r="T110" s="24" t="n">
        <v>34405.3290292614</v>
      </c>
      <c r="U110" s="24" t="n">
        <v>36186.6839758336</v>
      </c>
      <c r="V110" s="24" t="n">
        <v>37753.4310903585</v>
      </c>
      <c r="W110" s="24" t="n">
        <v>39347.2192495281</v>
      </c>
      <c r="X110" s="24" t="n">
        <v>747.99344237486</v>
      </c>
      <c r="Y110" s="7"/>
      <c r="Z110" s="7"/>
      <c r="AA110" s="7"/>
    </row>
    <row r="111" customFormat="false" ht="12.75" hidden="false" customHeight="false" outlineLevel="0" collapsed="false">
      <c r="A111" s="25" t="s">
        <v>10</v>
      </c>
      <c r="B111" s="20" t="n">
        <f aca="false">NPV(0.1,D111:Y111)</f>
        <v>83321.6711485828</v>
      </c>
      <c r="C111" s="20" t="n">
        <f aca="false">B111-B101</f>
        <v>-631.701702888749</v>
      </c>
      <c r="D111" s="21" t="n">
        <v>-364.964028148139</v>
      </c>
      <c r="E111" s="22" t="n">
        <v>230.941975264807</v>
      </c>
      <c r="F111" s="22" t="n">
        <v>274.08426524842</v>
      </c>
      <c r="G111" s="22" t="n">
        <v>6387.4465426387</v>
      </c>
      <c r="H111" s="22" t="n">
        <v>11309.6758290606</v>
      </c>
      <c r="I111" s="22" t="n">
        <v>12214.4880778754</v>
      </c>
      <c r="J111" s="22" t="n">
        <v>12792.1692741707</v>
      </c>
      <c r="K111" s="22" t="n">
        <v>13205.9648547944</v>
      </c>
      <c r="L111" s="22" t="n">
        <v>13700.7703269289</v>
      </c>
      <c r="M111" s="22" t="n">
        <v>14217.0893556645</v>
      </c>
      <c r="N111" s="23" t="n">
        <v>14756.3327726724</v>
      </c>
      <c r="O111" s="24" t="n">
        <v>15345.4278252225</v>
      </c>
      <c r="P111" s="24" t="n">
        <v>16037.6794705385</v>
      </c>
      <c r="Q111" s="24" t="n">
        <v>16767.0950269377</v>
      </c>
      <c r="R111" s="24" t="n">
        <v>17536.3099012946</v>
      </c>
      <c r="S111" s="24" t="n">
        <v>18271.1405656335</v>
      </c>
      <c r="T111" s="24" t="n">
        <v>18911.1266280424</v>
      </c>
      <c r="U111" s="24" t="n">
        <v>19580.1106816712</v>
      </c>
      <c r="V111" s="24" t="n">
        <v>20280.0990156183</v>
      </c>
      <c r="W111" s="24" t="n">
        <v>20748.2016611812</v>
      </c>
      <c r="X111" s="24" t="n">
        <v>0</v>
      </c>
      <c r="Y111" s="7"/>
      <c r="Z111" s="7"/>
      <c r="AA111" s="7"/>
    </row>
    <row r="112" customFormat="false" ht="12.75" hidden="false" customHeight="false" outlineLevel="0" collapsed="false">
      <c r="A112" s="25" t="s">
        <v>11</v>
      </c>
      <c r="B112" s="20" t="n">
        <f aca="false">NPV(0.1,D112:Y112)</f>
        <v>100805.897916523</v>
      </c>
      <c r="C112" s="20" t="n">
        <f aca="false">B112-B102</f>
        <v>605.906377711537</v>
      </c>
      <c r="D112" s="26" t="n">
        <v>2384.9783431203</v>
      </c>
      <c r="E112" s="27" t="n">
        <v>3989.36701518886</v>
      </c>
      <c r="F112" s="27" t="n">
        <v>3999.49324591692</v>
      </c>
      <c r="G112" s="27" t="n">
        <v>16387.7172399635</v>
      </c>
      <c r="H112" s="27" t="n">
        <v>21370.0533947066</v>
      </c>
      <c r="I112" s="27" t="n">
        <v>16908.3677255471</v>
      </c>
      <c r="J112" s="27" t="n">
        <v>15127.6758430002</v>
      </c>
      <c r="K112" s="27" t="n">
        <v>15035.7543920995</v>
      </c>
      <c r="L112" s="27" t="n">
        <v>14974.4691651631</v>
      </c>
      <c r="M112" s="27" t="n">
        <v>14905.9974055283</v>
      </c>
      <c r="N112" s="28" t="n">
        <v>14804.4758887919</v>
      </c>
      <c r="O112" s="24" t="n">
        <v>14655.1526551482</v>
      </c>
      <c r="P112" s="24" t="n">
        <v>14537.7464257695</v>
      </c>
      <c r="Q112" s="24" t="n">
        <v>14406.1763623934</v>
      </c>
      <c r="R112" s="24" t="n">
        <v>14233.897616605</v>
      </c>
      <c r="S112" s="24" t="n">
        <v>12161.058069052</v>
      </c>
      <c r="T112" s="24" t="n">
        <v>10057.987319671</v>
      </c>
      <c r="U112" s="24" t="n">
        <v>9715.79181199235</v>
      </c>
      <c r="V112" s="24" t="n">
        <v>9335.52045538772</v>
      </c>
      <c r="W112" s="24" t="n">
        <v>15295.777105656</v>
      </c>
      <c r="X112" s="24" t="n">
        <v>0</v>
      </c>
      <c r="Y112" s="7"/>
      <c r="Z112" s="7"/>
      <c r="AA112" s="7"/>
    </row>
    <row r="113" customFormat="false" ht="12.75" hidden="false" customHeight="false" outlineLevel="0" collapsed="false">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row>
    <row r="114" customFormat="false" ht="12.75" hidden="false" customHeight="false" outlineLevel="0" collapsed="false">
      <c r="A114" s="29" t="s">
        <v>22</v>
      </c>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row>
    <row r="115" customFormat="false" ht="12.75" hidden="false" customHeight="false" outlineLevel="0" collapsed="false">
      <c r="A115" s="36" t="n">
        <v>36248</v>
      </c>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row>
    <row r="116" customFormat="false" ht="12.75" hidden="false" customHeight="false" outlineLevel="0" collapsed="false">
      <c r="A116" s="10" t="s">
        <v>3</v>
      </c>
      <c r="B116" s="11" t="n">
        <v>69207.4031054147</v>
      </c>
      <c r="C116" s="7"/>
      <c r="D116" s="7"/>
      <c r="E116" s="7"/>
      <c r="F116" s="7"/>
      <c r="G116" s="7"/>
      <c r="H116" s="7"/>
      <c r="I116" s="7"/>
      <c r="J116" s="7"/>
      <c r="K116" s="7"/>
      <c r="L116" s="7"/>
      <c r="M116" s="7"/>
      <c r="N116" s="7"/>
      <c r="O116" s="7"/>
      <c r="P116" s="7"/>
      <c r="Q116" s="7"/>
      <c r="R116" s="7"/>
      <c r="S116" s="7"/>
      <c r="T116" s="7"/>
      <c r="U116" s="7"/>
      <c r="V116" s="7"/>
      <c r="W116" s="7"/>
      <c r="X116" s="7"/>
      <c r="Y116" s="7"/>
      <c r="Z116" s="7"/>
      <c r="AA116" s="7"/>
    </row>
    <row r="117" customFormat="false" ht="12.75" hidden="false" customHeight="false" outlineLevel="0" collapsed="false">
      <c r="A117" s="12" t="s">
        <v>4</v>
      </c>
      <c r="B117" s="13" t="n">
        <v>107508.238567717</v>
      </c>
      <c r="C117" s="7"/>
      <c r="D117" s="7"/>
      <c r="E117" s="7"/>
      <c r="F117" s="7"/>
      <c r="G117" s="7"/>
      <c r="H117" s="7"/>
      <c r="I117" s="7"/>
      <c r="J117" s="7"/>
      <c r="K117" s="7"/>
      <c r="L117" s="7"/>
      <c r="M117" s="7"/>
      <c r="N117" s="7"/>
      <c r="O117" s="7"/>
      <c r="P117" s="7"/>
      <c r="Q117" s="7"/>
      <c r="R117" s="7"/>
      <c r="S117" s="7"/>
      <c r="T117" s="7"/>
      <c r="U117" s="7"/>
      <c r="V117" s="7"/>
      <c r="W117" s="7"/>
      <c r="X117" s="7"/>
      <c r="Y117" s="7"/>
      <c r="Z117" s="7"/>
      <c r="AA117" s="7"/>
    </row>
    <row r="118" customFormat="false" ht="12.75" hidden="false" customHeight="false" outlineLevel="0" collapsed="false">
      <c r="A118" s="14" t="s">
        <v>5</v>
      </c>
      <c r="B118" s="15" t="s">
        <v>6</v>
      </c>
      <c r="C118" s="15" t="s">
        <v>7</v>
      </c>
      <c r="D118" s="16" t="n">
        <v>2000</v>
      </c>
      <c r="E118" s="17" t="n">
        <v>2001</v>
      </c>
      <c r="F118" s="17" t="n">
        <v>2002</v>
      </c>
      <c r="G118" s="17" t="n">
        <v>2003</v>
      </c>
      <c r="H118" s="17" t="n">
        <v>2004</v>
      </c>
      <c r="I118" s="17" t="n">
        <v>2005</v>
      </c>
      <c r="J118" s="17" t="n">
        <v>2006</v>
      </c>
      <c r="K118" s="17" t="n">
        <v>2007</v>
      </c>
      <c r="L118" s="17" t="n">
        <v>2008</v>
      </c>
      <c r="M118" s="17" t="n">
        <v>2009</v>
      </c>
      <c r="N118" s="18" t="n">
        <v>2010</v>
      </c>
      <c r="O118" s="19" t="n">
        <v>2011</v>
      </c>
      <c r="P118" s="19" t="n">
        <v>2012</v>
      </c>
      <c r="Q118" s="19" t="n">
        <v>2013</v>
      </c>
      <c r="R118" s="19" t="n">
        <v>2014</v>
      </c>
      <c r="S118" s="19" t="n">
        <v>2015</v>
      </c>
      <c r="T118" s="19" t="n">
        <v>2016</v>
      </c>
      <c r="U118" s="19" t="n">
        <v>2017</v>
      </c>
      <c r="V118" s="19" t="n">
        <v>2018</v>
      </c>
      <c r="W118" s="19" t="n">
        <v>2019</v>
      </c>
      <c r="X118" s="19" t="n">
        <v>2020</v>
      </c>
      <c r="Y118" s="7"/>
      <c r="Z118" s="7"/>
      <c r="AA118" s="7"/>
    </row>
    <row r="119" customFormat="false" ht="12.75" hidden="false" customHeight="false" outlineLevel="0" collapsed="false">
      <c r="A119" s="14" t="s">
        <v>8</v>
      </c>
      <c r="B119" s="20" t="n">
        <f aca="false">NPV(0.1,D119:Y119)</f>
        <v>466700.382852089</v>
      </c>
      <c r="C119" s="20" t="n">
        <f aca="false">B119-B109</f>
        <v>0.619950943859294</v>
      </c>
      <c r="D119" s="21" t="n">
        <v>26849.7857894661</v>
      </c>
      <c r="E119" s="22" t="n">
        <v>37745.0098186749</v>
      </c>
      <c r="F119" s="22" t="n">
        <v>38030.918987906</v>
      </c>
      <c r="G119" s="22" t="n">
        <v>48482.8459796655</v>
      </c>
      <c r="H119" s="22" t="n">
        <v>57110.412032713</v>
      </c>
      <c r="I119" s="22" t="n">
        <v>58527.8717346571</v>
      </c>
      <c r="J119" s="22" t="n">
        <v>59499.0620168863</v>
      </c>
      <c r="K119" s="22" t="n">
        <v>60572.0127235365</v>
      </c>
      <c r="L119" s="22" t="n">
        <v>61744.2604945511</v>
      </c>
      <c r="M119" s="22" t="n">
        <v>63019.7492039589</v>
      </c>
      <c r="N119" s="23" t="n">
        <v>64425.8241064168</v>
      </c>
      <c r="O119" s="24" t="n">
        <v>66127.8020096139</v>
      </c>
      <c r="P119" s="24" t="n">
        <v>67972.7932692498</v>
      </c>
      <c r="Q119" s="24" t="n">
        <v>69895.8350086448</v>
      </c>
      <c r="R119" s="24" t="n">
        <v>71890.5389695156</v>
      </c>
      <c r="S119" s="24" t="n">
        <v>73924.1106428973</v>
      </c>
      <c r="T119" s="24" t="n">
        <v>75644.5992511934</v>
      </c>
      <c r="U119" s="24" t="n">
        <v>77542.0052939676</v>
      </c>
      <c r="V119" s="24" t="n">
        <v>79194.4648822669</v>
      </c>
      <c r="W119" s="24" t="n">
        <v>80841.702129451</v>
      </c>
      <c r="X119" s="24" t="n">
        <v>20103.486715349</v>
      </c>
      <c r="Y119" s="7"/>
      <c r="Z119" s="7"/>
      <c r="AA119" s="7"/>
    </row>
    <row r="120" customFormat="false" ht="12.75" hidden="false" customHeight="false" outlineLevel="0" collapsed="false">
      <c r="A120" s="25" t="s">
        <v>9</v>
      </c>
      <c r="B120" s="20" t="n">
        <f aca="false">NPV(0.1,D120:Y120)</f>
        <v>205106.33678913</v>
      </c>
      <c r="C120" s="20" t="n">
        <f aca="false">B120-B110</f>
        <v>719.197193717409</v>
      </c>
      <c r="D120" s="21" t="n">
        <v>16816.4016227994</v>
      </c>
      <c r="E120" s="22" t="n">
        <v>20506.6789186749</v>
      </c>
      <c r="F120" s="22" t="n">
        <v>20905.526660906</v>
      </c>
      <c r="G120" s="22" t="n">
        <v>21238.7389886155</v>
      </c>
      <c r="H120" s="22" t="n">
        <v>21640.6479415324</v>
      </c>
      <c r="I120" s="22" t="n">
        <v>22119.5853123077</v>
      </c>
      <c r="J120" s="22" t="n">
        <v>22670.9932734353</v>
      </c>
      <c r="K120" s="22" t="n">
        <v>23331.9285224977</v>
      </c>
      <c r="L120" s="22" t="n">
        <v>24100.7715153385</v>
      </c>
      <c r="M120" s="22" t="n">
        <v>24982.353580663</v>
      </c>
      <c r="N120" s="23" t="n">
        <v>26004.9529254738</v>
      </c>
      <c r="O120" s="24" t="n">
        <v>27177.5120295493</v>
      </c>
      <c r="P120" s="24" t="n">
        <v>28496.0844911792</v>
      </c>
      <c r="Q120" s="24" t="n">
        <v>29896.3639106699</v>
      </c>
      <c r="R120" s="24" t="n">
        <v>31372.6551953424</v>
      </c>
      <c r="S120" s="24" t="n">
        <v>32892.895300942</v>
      </c>
      <c r="T120" s="24" t="n">
        <v>34470.7393571891</v>
      </c>
      <c r="U120" s="24" t="n">
        <v>36254.0566135992</v>
      </c>
      <c r="V120" s="24" t="n">
        <v>37822.824907257</v>
      </c>
      <c r="W120" s="24" t="n">
        <v>39418.6948809336</v>
      </c>
      <c r="X120" s="24" t="n">
        <v>3032.15221900736</v>
      </c>
      <c r="Y120" s="7"/>
      <c r="Z120" s="7"/>
      <c r="AA120" s="7"/>
    </row>
    <row r="121" customFormat="false" ht="12.75" hidden="false" customHeight="false" outlineLevel="0" collapsed="false">
      <c r="A121" s="25" t="s">
        <v>10</v>
      </c>
      <c r="B121" s="20" t="n">
        <f aca="false">NPV(0.1,D121:Y121)</f>
        <v>83052.8985368918</v>
      </c>
      <c r="C121" s="20" t="n">
        <f aca="false">B121-B111</f>
        <v>-268.772611690962</v>
      </c>
      <c r="D121" s="21" t="n">
        <v>-386.969297185215</v>
      </c>
      <c r="E121" s="22" t="n">
        <v>192.149815625046</v>
      </c>
      <c r="F121" s="22" t="n">
        <v>233.888273143409</v>
      </c>
      <c r="G121" s="22" t="n">
        <v>6345.72883428262</v>
      </c>
      <c r="H121" s="22" t="n">
        <v>11267.0650396215</v>
      </c>
      <c r="I121" s="22" t="n">
        <v>12184.8237142354</v>
      </c>
      <c r="J121" s="22" t="n">
        <v>12771.4196061571</v>
      </c>
      <c r="K121" s="22" t="n">
        <v>13184.1379947256</v>
      </c>
      <c r="L121" s="22" t="n">
        <v>13677.7957500387</v>
      </c>
      <c r="M121" s="22" t="n">
        <v>14192.8913647236</v>
      </c>
      <c r="N121" s="23" t="n">
        <v>14730.8300982767</v>
      </c>
      <c r="O121" s="24" t="n">
        <v>15318.5331945268</v>
      </c>
      <c r="P121" s="24" t="n">
        <v>16009.2991419253</v>
      </c>
      <c r="Q121" s="24" t="n">
        <v>16737.1282879065</v>
      </c>
      <c r="R121" s="24" t="n">
        <v>17504.6485266449</v>
      </c>
      <c r="S121" s="24" t="n">
        <v>18237.6682327777</v>
      </c>
      <c r="T121" s="24" t="n">
        <v>18875.7182860338</v>
      </c>
      <c r="U121" s="24" t="n">
        <v>19542.6318702588</v>
      </c>
      <c r="V121" s="24" t="n">
        <v>20240.4051303451</v>
      </c>
      <c r="W121" s="24" t="n">
        <v>20706.5698635487</v>
      </c>
      <c r="X121" s="24" t="n">
        <v>0</v>
      </c>
      <c r="Y121" s="7"/>
      <c r="Z121" s="7"/>
      <c r="AA121" s="7"/>
    </row>
    <row r="122" customFormat="false" ht="12.75" hidden="false" customHeight="false" outlineLevel="0" collapsed="false">
      <c r="A122" s="25" t="s">
        <v>11</v>
      </c>
      <c r="B122" s="20" t="n">
        <f aca="false">NPV(0.1,D122:Y122)</f>
        <v>100744.69770036</v>
      </c>
      <c r="C122" s="20" t="n">
        <f aca="false">B122-B112</f>
        <v>-61.2002161629935</v>
      </c>
      <c r="D122" s="26" t="n">
        <v>2379.07625610107</v>
      </c>
      <c r="E122" s="27" t="n">
        <v>3978.56777261544</v>
      </c>
      <c r="F122" s="27" t="n">
        <v>3988.43285962908</v>
      </c>
      <c r="G122" s="27" t="n">
        <v>16359.9639039937</v>
      </c>
      <c r="H122" s="27" t="n">
        <v>21341.5245655907</v>
      </c>
      <c r="I122" s="27" t="n">
        <v>17026.7186881315</v>
      </c>
      <c r="J122" s="27" t="n">
        <v>15111.9832979398</v>
      </c>
      <c r="K122" s="27" t="n">
        <v>15019.9176282376</v>
      </c>
      <c r="L122" s="27" t="n">
        <v>14958.5084279884</v>
      </c>
      <c r="M122" s="27" t="n">
        <v>14889.9381413662</v>
      </c>
      <c r="N122" s="28" t="n">
        <v>14788.3440168847</v>
      </c>
      <c r="O122" s="24" t="n">
        <v>14638.9798100322</v>
      </c>
      <c r="P122" s="24" t="n">
        <v>14521.5652723291</v>
      </c>
      <c r="Q122" s="24" t="n">
        <v>14390.0258847035</v>
      </c>
      <c r="R122" s="24" t="n">
        <v>14217.8184832244</v>
      </c>
      <c r="S122" s="24" t="n">
        <v>12144.9137924138</v>
      </c>
      <c r="T122" s="24" t="n">
        <v>10041.8290614479</v>
      </c>
      <c r="U122" s="24" t="n">
        <v>9699.85966597642</v>
      </c>
      <c r="V122" s="24" t="n">
        <v>9319.87702179032</v>
      </c>
      <c r="W122" s="24" t="n">
        <v>15264.8005708038</v>
      </c>
      <c r="X122" s="24" t="n">
        <v>0</v>
      </c>
      <c r="Y122" s="7"/>
      <c r="Z122" s="7"/>
      <c r="AA122" s="7"/>
    </row>
    <row r="123" customFormat="false" ht="12.75" hidden="false" customHeight="false" outlineLevel="0" collapsed="false">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row>
    <row r="124" customFormat="false" ht="12.75" hidden="false" customHeight="false" outlineLevel="0" collapsed="false">
      <c r="A124" s="29" t="s">
        <v>23</v>
      </c>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row>
    <row r="125" customFormat="false" ht="12.75" hidden="false" customHeight="false" outlineLevel="0" collapsed="false">
      <c r="A125" s="36" t="n">
        <v>36249</v>
      </c>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row>
    <row r="126" customFormat="false" ht="12.75" hidden="false" customHeight="false" outlineLevel="0" collapsed="false">
      <c r="A126" s="10" t="s">
        <v>3</v>
      </c>
      <c r="B126" s="11" t="n">
        <v>69079.4780903093</v>
      </c>
      <c r="C126" s="7"/>
      <c r="D126" s="7"/>
      <c r="E126" s="7"/>
      <c r="F126" s="7"/>
      <c r="G126" s="7"/>
      <c r="H126" s="7"/>
      <c r="I126" s="7"/>
      <c r="J126" s="7"/>
      <c r="K126" s="7"/>
      <c r="L126" s="7"/>
      <c r="M126" s="7"/>
      <c r="N126" s="7"/>
      <c r="O126" s="7"/>
      <c r="P126" s="7"/>
      <c r="Q126" s="7"/>
      <c r="R126" s="7"/>
      <c r="S126" s="7"/>
      <c r="T126" s="7"/>
      <c r="U126" s="7"/>
      <c r="V126" s="7"/>
      <c r="W126" s="7"/>
      <c r="X126" s="7"/>
      <c r="Y126" s="7"/>
      <c r="Z126" s="7"/>
      <c r="AA126" s="7"/>
    </row>
    <row r="127" customFormat="false" ht="12.75" hidden="false" customHeight="false" outlineLevel="0" collapsed="false">
      <c r="A127" s="12" t="s">
        <v>4</v>
      </c>
      <c r="B127" s="13" t="n">
        <v>107356.543315707</v>
      </c>
      <c r="C127" s="7"/>
      <c r="D127" s="7"/>
      <c r="E127" s="7"/>
      <c r="F127" s="7"/>
      <c r="G127" s="7"/>
      <c r="H127" s="7"/>
      <c r="I127" s="7"/>
      <c r="J127" s="7"/>
      <c r="K127" s="7"/>
      <c r="L127" s="7"/>
      <c r="M127" s="7"/>
      <c r="N127" s="7"/>
      <c r="O127" s="7"/>
      <c r="P127" s="7"/>
      <c r="Q127" s="7"/>
      <c r="R127" s="7"/>
      <c r="S127" s="7"/>
      <c r="T127" s="7"/>
      <c r="U127" s="7"/>
      <c r="V127" s="7"/>
      <c r="W127" s="7"/>
      <c r="X127" s="7"/>
      <c r="Y127" s="7"/>
      <c r="Z127" s="7"/>
      <c r="AA127" s="7"/>
    </row>
    <row r="128" customFormat="false" ht="12.75" hidden="false" customHeight="false" outlineLevel="0" collapsed="false">
      <c r="A128" s="14" t="s">
        <v>5</v>
      </c>
      <c r="B128" s="15" t="s">
        <v>6</v>
      </c>
      <c r="C128" s="15" t="s">
        <v>7</v>
      </c>
      <c r="D128" s="16" t="n">
        <v>2000</v>
      </c>
      <c r="E128" s="17" t="n">
        <v>2001</v>
      </c>
      <c r="F128" s="17" t="n">
        <v>2002</v>
      </c>
      <c r="G128" s="17" t="n">
        <v>2003</v>
      </c>
      <c r="H128" s="17" t="n">
        <v>2004</v>
      </c>
      <c r="I128" s="17" t="n">
        <v>2005</v>
      </c>
      <c r="J128" s="17" t="n">
        <v>2006</v>
      </c>
      <c r="K128" s="17" t="n">
        <v>2007</v>
      </c>
      <c r="L128" s="17" t="n">
        <v>2008</v>
      </c>
      <c r="M128" s="17" t="n">
        <v>2009</v>
      </c>
      <c r="N128" s="18" t="n">
        <v>2010</v>
      </c>
      <c r="O128" s="19" t="n">
        <v>2011</v>
      </c>
      <c r="P128" s="19" t="n">
        <v>2012</v>
      </c>
      <c r="Q128" s="19" t="n">
        <v>2013</v>
      </c>
      <c r="R128" s="19" t="n">
        <v>2014</v>
      </c>
      <c r="S128" s="19" t="n">
        <v>2015</v>
      </c>
      <c r="T128" s="19" t="n">
        <v>2016</v>
      </c>
      <c r="U128" s="19" t="n">
        <v>2017</v>
      </c>
      <c r="V128" s="19" t="n">
        <v>2018</v>
      </c>
      <c r="W128" s="19" t="n">
        <v>2019</v>
      </c>
      <c r="X128" s="19" t="n">
        <v>2020</v>
      </c>
      <c r="Y128" s="7"/>
      <c r="Z128" s="7"/>
      <c r="AA128" s="7"/>
    </row>
    <row r="129" customFormat="false" ht="12.75" hidden="false" customHeight="false" outlineLevel="0" collapsed="false">
      <c r="A129" s="14" t="s">
        <v>8</v>
      </c>
      <c r="B129" s="20" t="n">
        <f aca="false">NPV(0.1,D129:Y129)</f>
        <v>466700.382852089</v>
      </c>
      <c r="C129" s="20" t="n">
        <f aca="false">B129-B119</f>
        <v>0</v>
      </c>
      <c r="D129" s="21" t="n">
        <v>26849.7857894661</v>
      </c>
      <c r="E129" s="22" t="n">
        <v>37745.0098186749</v>
      </c>
      <c r="F129" s="22" t="n">
        <v>38030.918987906</v>
      </c>
      <c r="G129" s="22" t="n">
        <v>48482.8459796655</v>
      </c>
      <c r="H129" s="22" t="n">
        <v>57110.412032713</v>
      </c>
      <c r="I129" s="22" t="n">
        <v>58527.8717346571</v>
      </c>
      <c r="J129" s="22" t="n">
        <v>59499.0620168863</v>
      </c>
      <c r="K129" s="22" t="n">
        <v>60572.0127235365</v>
      </c>
      <c r="L129" s="22" t="n">
        <v>61744.2604945511</v>
      </c>
      <c r="M129" s="22" t="n">
        <v>63019.7492039589</v>
      </c>
      <c r="N129" s="23" t="n">
        <v>64425.8241064168</v>
      </c>
      <c r="O129" s="24" t="n">
        <v>66127.8020096139</v>
      </c>
      <c r="P129" s="24" t="n">
        <v>67972.7932692498</v>
      </c>
      <c r="Q129" s="24" t="n">
        <v>69895.8350086448</v>
      </c>
      <c r="R129" s="24" t="n">
        <v>71890.5389695156</v>
      </c>
      <c r="S129" s="24" t="n">
        <v>73924.1106428973</v>
      </c>
      <c r="T129" s="24" t="n">
        <v>75644.5992511934</v>
      </c>
      <c r="U129" s="24" t="n">
        <v>77542.0052939676</v>
      </c>
      <c r="V129" s="24" t="n">
        <v>79194.4648822669</v>
      </c>
      <c r="W129" s="24" t="n">
        <v>80841.702129451</v>
      </c>
      <c r="X129" s="24" t="n">
        <v>20103.486715349</v>
      </c>
      <c r="Y129" s="7"/>
      <c r="Z129" s="7"/>
      <c r="AA129" s="7"/>
    </row>
    <row r="130" customFormat="false" ht="12.75" hidden="false" customHeight="false" outlineLevel="0" collapsed="false">
      <c r="A130" s="25" t="s">
        <v>9</v>
      </c>
      <c r="B130" s="20" t="n">
        <f aca="false">NPV(0.1,D130:Y130)</f>
        <v>205106.33678913</v>
      </c>
      <c r="C130" s="20" t="n">
        <f aca="false">B130-B120</f>
        <v>0</v>
      </c>
      <c r="D130" s="21" t="n">
        <v>16816.4016227994</v>
      </c>
      <c r="E130" s="22" t="n">
        <v>20506.6789186749</v>
      </c>
      <c r="F130" s="22" t="n">
        <v>20905.526660906</v>
      </c>
      <c r="G130" s="22" t="n">
        <v>21238.7389886155</v>
      </c>
      <c r="H130" s="22" t="n">
        <v>21640.6479415324</v>
      </c>
      <c r="I130" s="22" t="n">
        <v>22119.5853123077</v>
      </c>
      <c r="J130" s="22" t="n">
        <v>22670.9932734353</v>
      </c>
      <c r="K130" s="22" t="n">
        <v>23331.9285224977</v>
      </c>
      <c r="L130" s="22" t="n">
        <v>24100.7715153385</v>
      </c>
      <c r="M130" s="22" t="n">
        <v>24982.353580663</v>
      </c>
      <c r="N130" s="23" t="n">
        <v>26004.9529254738</v>
      </c>
      <c r="O130" s="24" t="n">
        <v>27177.5120295493</v>
      </c>
      <c r="P130" s="24" t="n">
        <v>28496.0844911792</v>
      </c>
      <c r="Q130" s="24" t="n">
        <v>29896.3639106699</v>
      </c>
      <c r="R130" s="24" t="n">
        <v>31372.6551953424</v>
      </c>
      <c r="S130" s="24" t="n">
        <v>32892.895300942</v>
      </c>
      <c r="T130" s="24" t="n">
        <v>34470.7393571891</v>
      </c>
      <c r="U130" s="24" t="n">
        <v>36254.0566135992</v>
      </c>
      <c r="V130" s="24" t="n">
        <v>37822.824907257</v>
      </c>
      <c r="W130" s="24" t="n">
        <v>39418.6948809336</v>
      </c>
      <c r="X130" s="24" t="n">
        <v>3032.15221900736</v>
      </c>
      <c r="Y130" s="7"/>
      <c r="Z130" s="7"/>
      <c r="AA130" s="7"/>
    </row>
    <row r="131" customFormat="false" ht="12.75" hidden="false" customHeight="false" outlineLevel="0" collapsed="false">
      <c r="A131" s="25" t="s">
        <v>10</v>
      </c>
      <c r="B131" s="20" t="n">
        <f aca="false">NPV(0.1,D131:Y131)</f>
        <v>83026.4050263697</v>
      </c>
      <c r="C131" s="20" t="n">
        <f aca="false">B131-B121</f>
        <v>-26.4935105221375</v>
      </c>
      <c r="D131" s="21" t="n">
        <v>-388.869109559484</v>
      </c>
      <c r="E131" s="22" t="n">
        <v>188.892994412013</v>
      </c>
      <c r="F131" s="22" t="n">
        <v>230.631451930376</v>
      </c>
      <c r="G131" s="22" t="n">
        <v>6342.47201306958</v>
      </c>
      <c r="H131" s="22" t="n">
        <v>11263.8082184085</v>
      </c>
      <c r="I131" s="22" t="n">
        <v>12181.5668930224</v>
      </c>
      <c r="J131" s="22" t="n">
        <v>12768.1627849441</v>
      </c>
      <c r="K131" s="22" t="n">
        <v>13180.8811735126</v>
      </c>
      <c r="L131" s="22" t="n">
        <v>13674.5389288257</v>
      </c>
      <c r="M131" s="22" t="n">
        <v>14189.6345435106</v>
      </c>
      <c r="N131" s="23" t="n">
        <v>14727.5732770636</v>
      </c>
      <c r="O131" s="24" t="n">
        <v>15315.2763733138</v>
      </c>
      <c r="P131" s="24" t="n">
        <v>16006.0423207122</v>
      </c>
      <c r="Q131" s="24" t="n">
        <v>16733.8714666935</v>
      </c>
      <c r="R131" s="24" t="n">
        <v>17501.3917054319</v>
      </c>
      <c r="S131" s="24" t="n">
        <v>18234.4114115647</v>
      </c>
      <c r="T131" s="24" t="n">
        <v>18872.4614648208</v>
      </c>
      <c r="U131" s="24" t="n">
        <v>19539.3750490457</v>
      </c>
      <c r="V131" s="24" t="n">
        <v>20237.1483091321</v>
      </c>
      <c r="W131" s="24" t="n">
        <v>20703.3130423357</v>
      </c>
      <c r="X131" s="24" t="n">
        <v>0</v>
      </c>
      <c r="Y131" s="7"/>
      <c r="Z131" s="7"/>
      <c r="AA131" s="7"/>
    </row>
    <row r="132" customFormat="false" ht="12.75" hidden="false" customHeight="false" outlineLevel="0" collapsed="false">
      <c r="A132" s="25" t="s">
        <v>11</v>
      </c>
      <c r="B132" s="20" t="n">
        <f aca="false">NPV(0.1,D132:Y132)</f>
        <v>100770.92797802</v>
      </c>
      <c r="C132" s="20" t="n">
        <f aca="false">B132-B122</f>
        <v>26.2302776599972</v>
      </c>
      <c r="D132" s="26" t="n">
        <v>2379.07625610107</v>
      </c>
      <c r="E132" s="27" t="n">
        <v>3978.2532021922</v>
      </c>
      <c r="F132" s="27" t="n">
        <v>3988.12446793251</v>
      </c>
      <c r="G132" s="27" t="n">
        <v>16359.6617039991</v>
      </c>
      <c r="H132" s="27" t="n">
        <v>21341.2285703007</v>
      </c>
      <c r="I132" s="27" t="n">
        <v>17053.9239747834</v>
      </c>
      <c r="J132" s="27" t="n">
        <v>15115.4610839827</v>
      </c>
      <c r="K132" s="27" t="n">
        <v>15023.409971418</v>
      </c>
      <c r="L132" s="27" t="n">
        <v>14962.0031009384</v>
      </c>
      <c r="M132" s="27" t="n">
        <v>14893.4473926026</v>
      </c>
      <c r="N132" s="28" t="n">
        <v>14791.855619066</v>
      </c>
      <c r="O132" s="24" t="n">
        <v>14642.506011702</v>
      </c>
      <c r="P132" s="24" t="n">
        <v>14525.0938461724</v>
      </c>
      <c r="Q132" s="24" t="n">
        <v>14393.5690792904</v>
      </c>
      <c r="R132" s="24" t="n">
        <v>14221.3640712664</v>
      </c>
      <c r="S132" s="24" t="n">
        <v>12146.6616738235</v>
      </c>
      <c r="T132" s="24" t="n">
        <v>10041.7769847998</v>
      </c>
      <c r="U132" s="24" t="n">
        <v>9699.81160291037</v>
      </c>
      <c r="V132" s="24" t="n">
        <v>9319.83297733285</v>
      </c>
      <c r="W132" s="24" t="n">
        <v>15264.7605499878</v>
      </c>
      <c r="X132" s="24" t="n">
        <v>0</v>
      </c>
      <c r="Y132" s="7"/>
      <c r="Z132" s="7"/>
      <c r="AA132" s="7"/>
    </row>
    <row r="133" customFormat="false" ht="12.75" hidden="false" customHeight="false" outlineLevel="0" collapsed="false">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row>
    <row r="134" customFormat="false" ht="12.75" hidden="false" customHeight="false" outlineLevel="0" collapsed="false">
      <c r="A134" s="29" t="s">
        <v>24</v>
      </c>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row>
    <row r="135" customFormat="false" ht="12.75" hidden="false" customHeight="false" outlineLevel="0" collapsed="false">
      <c r="A135" s="36" t="n">
        <v>36250</v>
      </c>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row>
    <row r="136" customFormat="false" ht="12.75" hidden="false" customHeight="false" outlineLevel="0" collapsed="false">
      <c r="A136" s="10" t="s">
        <v>3</v>
      </c>
      <c r="B136" s="11" t="n">
        <v>69243.6276206082</v>
      </c>
      <c r="C136" s="7"/>
      <c r="D136" s="7"/>
      <c r="E136" s="7"/>
      <c r="F136" s="7"/>
      <c r="G136" s="7"/>
      <c r="H136" s="7"/>
      <c r="I136" s="7"/>
      <c r="J136" s="7"/>
      <c r="K136" s="7"/>
      <c r="L136" s="7"/>
      <c r="M136" s="7"/>
      <c r="N136" s="7"/>
      <c r="O136" s="7"/>
      <c r="P136" s="7"/>
      <c r="Q136" s="7"/>
      <c r="R136" s="7"/>
      <c r="S136" s="7"/>
      <c r="T136" s="7"/>
      <c r="U136" s="7"/>
      <c r="V136" s="7"/>
      <c r="W136" s="7"/>
      <c r="X136" s="7"/>
      <c r="Y136" s="7"/>
      <c r="Z136" s="7"/>
      <c r="AA136" s="7"/>
    </row>
    <row r="137" customFormat="false" ht="12.75" hidden="false" customHeight="false" outlineLevel="0" collapsed="false">
      <c r="A137" s="12" t="s">
        <v>4</v>
      </c>
      <c r="B137" s="13" t="n">
        <v>107564.009989406</v>
      </c>
      <c r="C137" s="7"/>
      <c r="D137" s="7"/>
      <c r="E137" s="7"/>
      <c r="F137" s="7"/>
      <c r="G137" s="7"/>
      <c r="H137" s="7"/>
      <c r="I137" s="7"/>
      <c r="J137" s="7"/>
      <c r="K137" s="7"/>
      <c r="L137" s="7"/>
      <c r="M137" s="7"/>
      <c r="N137" s="7"/>
      <c r="O137" s="7"/>
      <c r="P137" s="7"/>
      <c r="Q137" s="7"/>
      <c r="R137" s="7"/>
      <c r="S137" s="7"/>
      <c r="T137" s="7"/>
      <c r="U137" s="7"/>
      <c r="V137" s="7"/>
      <c r="W137" s="7"/>
      <c r="X137" s="7"/>
      <c r="Y137" s="7"/>
      <c r="Z137" s="7"/>
      <c r="AA137" s="7"/>
    </row>
    <row r="138" customFormat="false" ht="12.75" hidden="false" customHeight="false" outlineLevel="0" collapsed="false">
      <c r="A138" s="14" t="s">
        <v>5</v>
      </c>
      <c r="B138" s="15" t="s">
        <v>6</v>
      </c>
      <c r="C138" s="15" t="s">
        <v>7</v>
      </c>
      <c r="D138" s="16" t="n">
        <v>2000</v>
      </c>
      <c r="E138" s="17" t="n">
        <v>2001</v>
      </c>
      <c r="F138" s="17" t="n">
        <v>2002</v>
      </c>
      <c r="G138" s="17" t="n">
        <v>2003</v>
      </c>
      <c r="H138" s="17" t="n">
        <v>2004</v>
      </c>
      <c r="I138" s="17" t="n">
        <v>2005</v>
      </c>
      <c r="J138" s="17" t="n">
        <v>2006</v>
      </c>
      <c r="K138" s="17" t="n">
        <v>2007</v>
      </c>
      <c r="L138" s="17" t="n">
        <v>2008</v>
      </c>
      <c r="M138" s="17" t="n">
        <v>2009</v>
      </c>
      <c r="N138" s="18" t="n">
        <v>2010</v>
      </c>
      <c r="O138" s="19" t="n">
        <v>2011</v>
      </c>
      <c r="P138" s="19" t="n">
        <v>2012</v>
      </c>
      <c r="Q138" s="19" t="n">
        <v>2013</v>
      </c>
      <c r="R138" s="19" t="n">
        <v>2014</v>
      </c>
      <c r="S138" s="19" t="n">
        <v>2015</v>
      </c>
      <c r="T138" s="19" t="n">
        <v>2016</v>
      </c>
      <c r="U138" s="19" t="n">
        <v>2017</v>
      </c>
      <c r="V138" s="19" t="n">
        <v>2018</v>
      </c>
      <c r="W138" s="19" t="n">
        <v>2019</v>
      </c>
      <c r="X138" s="19" t="n">
        <v>2020</v>
      </c>
      <c r="Y138" s="7"/>
      <c r="Z138" s="7"/>
      <c r="AA138" s="7"/>
    </row>
    <row r="139" customFormat="false" ht="12.75" hidden="false" customHeight="false" outlineLevel="0" collapsed="false">
      <c r="A139" s="14" t="s">
        <v>8</v>
      </c>
      <c r="B139" s="20" t="n">
        <f aca="false">NPV(0.1,D139:Y139)</f>
        <v>466700.382852089</v>
      </c>
      <c r="C139" s="20" t="n">
        <f aca="false">B139-B129</f>
        <v>0</v>
      </c>
      <c r="D139" s="21" t="n">
        <v>26849.7857894661</v>
      </c>
      <c r="E139" s="22" t="n">
        <v>37745.0098186749</v>
      </c>
      <c r="F139" s="22" t="n">
        <v>38030.918987906</v>
      </c>
      <c r="G139" s="22" t="n">
        <v>48482.8459796655</v>
      </c>
      <c r="H139" s="22" t="n">
        <v>57110.412032713</v>
      </c>
      <c r="I139" s="22" t="n">
        <v>58527.8717346571</v>
      </c>
      <c r="J139" s="22" t="n">
        <v>59499.0620168863</v>
      </c>
      <c r="K139" s="22" t="n">
        <v>60572.0127235365</v>
      </c>
      <c r="L139" s="22" t="n">
        <v>61744.2604945511</v>
      </c>
      <c r="M139" s="22" t="n">
        <v>63019.7492039589</v>
      </c>
      <c r="N139" s="23" t="n">
        <v>64425.8241064168</v>
      </c>
      <c r="O139" s="24" t="n">
        <v>66127.8020096139</v>
      </c>
      <c r="P139" s="24" t="n">
        <v>67972.7932692498</v>
      </c>
      <c r="Q139" s="24" t="n">
        <v>69895.8350086448</v>
      </c>
      <c r="R139" s="24" t="n">
        <v>71890.5389695156</v>
      </c>
      <c r="S139" s="24" t="n">
        <v>73924.1106428973</v>
      </c>
      <c r="T139" s="24" t="n">
        <v>75644.5992511934</v>
      </c>
      <c r="U139" s="24" t="n">
        <v>77542.0052939676</v>
      </c>
      <c r="V139" s="24" t="n">
        <v>79194.4648822669</v>
      </c>
      <c r="W139" s="24" t="n">
        <v>80841.702129451</v>
      </c>
      <c r="X139" s="24" t="n">
        <v>20103.486715349</v>
      </c>
      <c r="Y139" s="7"/>
      <c r="Z139" s="7"/>
      <c r="AA139" s="7"/>
    </row>
    <row r="140" customFormat="false" ht="12.75" hidden="false" customHeight="false" outlineLevel="0" collapsed="false">
      <c r="A140" s="25" t="s">
        <v>9</v>
      </c>
      <c r="B140" s="20" t="n">
        <f aca="false">NPV(0.1,D140:Y140)</f>
        <v>205106.33678913</v>
      </c>
      <c r="C140" s="20" t="n">
        <f aca="false">B140-B130</f>
        <v>0</v>
      </c>
      <c r="D140" s="21" t="n">
        <v>16816.4016227994</v>
      </c>
      <c r="E140" s="22" t="n">
        <v>20506.6789186749</v>
      </c>
      <c r="F140" s="22" t="n">
        <v>20905.526660906</v>
      </c>
      <c r="G140" s="22" t="n">
        <v>21238.7389886155</v>
      </c>
      <c r="H140" s="22" t="n">
        <v>21640.6479415324</v>
      </c>
      <c r="I140" s="22" t="n">
        <v>22119.5853123077</v>
      </c>
      <c r="J140" s="22" t="n">
        <v>22670.9932734353</v>
      </c>
      <c r="K140" s="22" t="n">
        <v>23331.9285224977</v>
      </c>
      <c r="L140" s="22" t="n">
        <v>24100.7715153385</v>
      </c>
      <c r="M140" s="22" t="n">
        <v>24982.353580663</v>
      </c>
      <c r="N140" s="23" t="n">
        <v>26004.9529254738</v>
      </c>
      <c r="O140" s="24" t="n">
        <v>27177.5120295493</v>
      </c>
      <c r="P140" s="24" t="n">
        <v>28496.0844911792</v>
      </c>
      <c r="Q140" s="24" t="n">
        <v>29896.3639106699</v>
      </c>
      <c r="R140" s="24" t="n">
        <v>31372.6551953424</v>
      </c>
      <c r="S140" s="24" t="n">
        <v>32892.895300942</v>
      </c>
      <c r="T140" s="24" t="n">
        <v>34470.7393571891</v>
      </c>
      <c r="U140" s="24" t="n">
        <v>36254.0566135992</v>
      </c>
      <c r="V140" s="24" t="n">
        <v>37822.824907257</v>
      </c>
      <c r="W140" s="24" t="n">
        <v>39418.6948809336</v>
      </c>
      <c r="X140" s="24" t="n">
        <v>3032.15221900736</v>
      </c>
      <c r="Y140" s="7"/>
      <c r="Z140" s="7"/>
      <c r="AA140" s="7"/>
    </row>
    <row r="141" customFormat="false" ht="12.75" hidden="false" customHeight="false" outlineLevel="0" collapsed="false">
      <c r="A141" s="25" t="s">
        <v>10</v>
      </c>
      <c r="B141" s="20" t="n">
        <f aca="false">NPV(0.1,D141:Y141)</f>
        <v>83114.7129469229</v>
      </c>
      <c r="C141" s="20" t="n">
        <f aca="false">B141-B131</f>
        <v>88.3079205532267</v>
      </c>
      <c r="D141" s="21" t="n">
        <v>-374.860181204748</v>
      </c>
      <c r="E141" s="22" t="n">
        <v>212.90830016299</v>
      </c>
      <c r="F141" s="22" t="n">
        <v>254.646757681353</v>
      </c>
      <c r="G141" s="22" t="n">
        <v>6366.48731882056</v>
      </c>
      <c r="H141" s="22" t="n">
        <v>11287.8235241595</v>
      </c>
      <c r="I141" s="22" t="n">
        <v>12191.6667821067</v>
      </c>
      <c r="J141" s="22" t="n">
        <v>12768.3230906951</v>
      </c>
      <c r="K141" s="22" t="n">
        <v>13181.0414792636</v>
      </c>
      <c r="L141" s="22" t="n">
        <v>13674.6992345767</v>
      </c>
      <c r="M141" s="22" t="n">
        <v>14189.7948492616</v>
      </c>
      <c r="N141" s="23" t="n">
        <v>14727.7335828146</v>
      </c>
      <c r="O141" s="24" t="n">
        <v>15315.4366790647</v>
      </c>
      <c r="P141" s="24" t="n">
        <v>16006.2026264632</v>
      </c>
      <c r="Q141" s="24" t="n">
        <v>16734.0317724444</v>
      </c>
      <c r="R141" s="24" t="n">
        <v>17501.5520111829</v>
      </c>
      <c r="S141" s="24" t="n">
        <v>18234.5717173157</v>
      </c>
      <c r="T141" s="24" t="n">
        <v>18872.6217705718</v>
      </c>
      <c r="U141" s="24" t="n">
        <v>19539.5353547967</v>
      </c>
      <c r="V141" s="24" t="n">
        <v>20237.3086148831</v>
      </c>
      <c r="W141" s="24" t="n">
        <v>20703.4733480866</v>
      </c>
      <c r="X141" s="24" t="n">
        <v>0</v>
      </c>
      <c r="Y141" s="7"/>
      <c r="Z141" s="7"/>
      <c r="AA141" s="7"/>
    </row>
    <row r="142" customFormat="false" ht="12.75" hidden="false" customHeight="false" outlineLevel="0" collapsed="false">
      <c r="A142" s="25" t="s">
        <v>11</v>
      </c>
      <c r="B142" s="20" t="n">
        <f aca="false">NPV(0.1,D142:Y142)</f>
        <v>100724.78031967</v>
      </c>
      <c r="C142" s="20" t="n">
        <f aca="false">B142-B132</f>
        <v>-46.1476583501644</v>
      </c>
      <c r="D142" s="26" t="n">
        <v>2379.07625610107</v>
      </c>
      <c r="E142" s="27" t="n">
        <v>3978.65946345743</v>
      </c>
      <c r="F142" s="27" t="n">
        <v>3988.48115020431</v>
      </c>
      <c r="G142" s="27" t="n">
        <v>16359.9687031616</v>
      </c>
      <c r="H142" s="27" t="n">
        <v>21341.4857820194</v>
      </c>
      <c r="I142" s="27" t="n">
        <v>16971.4636108271</v>
      </c>
      <c r="J142" s="27" t="n">
        <v>15115.2909925434</v>
      </c>
      <c r="K142" s="27" t="n">
        <v>15023.2391648197</v>
      </c>
      <c r="L142" s="27" t="n">
        <v>14961.8321810328</v>
      </c>
      <c r="M142" s="27" t="n">
        <v>14893.2757565005</v>
      </c>
      <c r="N142" s="28" t="n">
        <v>14791.6838686178</v>
      </c>
      <c r="O142" s="24" t="n">
        <v>14642.3335440171</v>
      </c>
      <c r="P142" s="24" t="n">
        <v>14524.9212630998</v>
      </c>
      <c r="Q142" s="24" t="n">
        <v>14393.3957779384</v>
      </c>
      <c r="R142" s="24" t="n">
        <v>14221.1906534826</v>
      </c>
      <c r="S142" s="24" t="n">
        <v>12146.5767433056</v>
      </c>
      <c r="T142" s="24" t="n">
        <v>10041.7806523681</v>
      </c>
      <c r="U142" s="24" t="n">
        <v>9699.81507430699</v>
      </c>
      <c r="V142" s="24" t="n">
        <v>9319.8362523121</v>
      </c>
      <c r="W142" s="24" t="n">
        <v>15264.7636283036</v>
      </c>
      <c r="X142" s="24" t="n">
        <v>0</v>
      </c>
      <c r="Y142" s="7"/>
      <c r="Z142" s="7"/>
      <c r="AA142" s="7"/>
    </row>
    <row r="143" customFormat="false" ht="12.75" hidden="false" customHeight="false" outlineLevel="0" collapsed="false">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row>
    <row r="144" customFormat="false" ht="12.75" hidden="false" customHeight="false" outlineLevel="0" collapsed="false">
      <c r="A144" s="29" t="s">
        <v>25</v>
      </c>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row>
    <row r="145" customFormat="false" ht="12.75" hidden="false" customHeight="false" outlineLevel="0" collapsed="false">
      <c r="A145" s="36" t="n">
        <v>36251</v>
      </c>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row>
    <row r="146" customFormat="false" ht="12.75" hidden="false" customHeight="false" outlineLevel="0" collapsed="false">
      <c r="A146" s="10" t="s">
        <v>3</v>
      </c>
      <c r="B146" s="11" t="n">
        <v>69122.6742133743</v>
      </c>
      <c r="C146" s="7"/>
      <c r="D146" s="7"/>
      <c r="E146" s="7"/>
      <c r="F146" s="7"/>
      <c r="G146" s="7"/>
      <c r="H146" s="7"/>
      <c r="I146" s="7"/>
      <c r="J146" s="7"/>
      <c r="K146" s="7"/>
      <c r="L146" s="7"/>
      <c r="M146" s="7"/>
      <c r="N146" s="7"/>
      <c r="O146" s="7"/>
      <c r="P146" s="7"/>
      <c r="Q146" s="7"/>
      <c r="R146" s="7"/>
      <c r="S146" s="7"/>
      <c r="T146" s="7"/>
      <c r="U146" s="7"/>
      <c r="V146" s="7"/>
      <c r="W146" s="7"/>
      <c r="X146" s="7"/>
      <c r="Y146" s="7"/>
      <c r="Z146" s="7"/>
      <c r="AA146" s="7"/>
    </row>
    <row r="147" customFormat="false" ht="12.75" hidden="false" customHeight="false" outlineLevel="0" collapsed="false">
      <c r="A147" s="12" t="s">
        <v>4</v>
      </c>
      <c r="B147" s="13" t="n">
        <v>105623.55500825</v>
      </c>
      <c r="C147" s="7"/>
      <c r="D147" s="7"/>
      <c r="E147" s="7"/>
      <c r="F147" s="7"/>
      <c r="G147" s="7"/>
      <c r="H147" s="7"/>
      <c r="I147" s="7"/>
      <c r="J147" s="7"/>
      <c r="K147" s="7"/>
      <c r="L147" s="7"/>
      <c r="M147" s="7"/>
      <c r="N147" s="7"/>
      <c r="O147" s="7"/>
      <c r="P147" s="7"/>
      <c r="Q147" s="7"/>
      <c r="R147" s="7"/>
      <c r="S147" s="7"/>
      <c r="T147" s="7"/>
      <c r="U147" s="7"/>
      <c r="V147" s="7"/>
      <c r="W147" s="7"/>
      <c r="X147" s="7"/>
      <c r="Y147" s="7"/>
      <c r="Z147" s="7"/>
      <c r="AA147" s="7"/>
    </row>
    <row r="148" customFormat="false" ht="12.75" hidden="false" customHeight="false" outlineLevel="0" collapsed="false">
      <c r="A148" s="14" t="s">
        <v>5</v>
      </c>
      <c r="B148" s="15" t="s">
        <v>6</v>
      </c>
      <c r="C148" s="15" t="s">
        <v>7</v>
      </c>
      <c r="D148" s="16" t="n">
        <v>2000</v>
      </c>
      <c r="E148" s="17" t="n">
        <v>2001</v>
      </c>
      <c r="F148" s="17" t="n">
        <v>2002</v>
      </c>
      <c r="G148" s="17" t="n">
        <v>2003</v>
      </c>
      <c r="H148" s="17" t="n">
        <v>2004</v>
      </c>
      <c r="I148" s="17" t="n">
        <v>2005</v>
      </c>
      <c r="J148" s="17" t="n">
        <v>2006</v>
      </c>
      <c r="K148" s="17" t="n">
        <v>2007</v>
      </c>
      <c r="L148" s="17" t="n">
        <v>2008</v>
      </c>
      <c r="M148" s="17" t="n">
        <v>2009</v>
      </c>
      <c r="N148" s="18" t="n">
        <v>2010</v>
      </c>
      <c r="O148" s="19" t="n">
        <v>2011</v>
      </c>
      <c r="P148" s="19" t="n">
        <v>2012</v>
      </c>
      <c r="Q148" s="19" t="n">
        <v>2013</v>
      </c>
      <c r="R148" s="19" t="n">
        <v>2014</v>
      </c>
      <c r="S148" s="19" t="n">
        <v>2015</v>
      </c>
      <c r="T148" s="19" t="n">
        <v>2016</v>
      </c>
      <c r="U148" s="19" t="n">
        <v>2017</v>
      </c>
      <c r="V148" s="19" t="n">
        <v>2018</v>
      </c>
      <c r="W148" s="19" t="n">
        <v>2019</v>
      </c>
      <c r="X148" s="19" t="n">
        <v>2020</v>
      </c>
      <c r="Y148" s="7"/>
      <c r="Z148" s="7"/>
      <c r="AA148" s="7"/>
    </row>
    <row r="149" customFormat="false" ht="12.75" hidden="false" customHeight="false" outlineLevel="0" collapsed="false">
      <c r="A149" s="14" t="s">
        <v>8</v>
      </c>
      <c r="B149" s="20" t="n">
        <f aca="false">NPV(0.1,D149:Y149)</f>
        <v>466700.382852089</v>
      </c>
      <c r="C149" s="20" t="n">
        <f aca="false">B149-B139</f>
        <v>0</v>
      </c>
      <c r="D149" s="21" t="n">
        <v>26849.7857894661</v>
      </c>
      <c r="E149" s="22" t="n">
        <v>37745.0098186749</v>
      </c>
      <c r="F149" s="22" t="n">
        <v>38030.918987906</v>
      </c>
      <c r="G149" s="22" t="n">
        <v>48482.8459796655</v>
      </c>
      <c r="H149" s="22" t="n">
        <v>57110.412032713</v>
      </c>
      <c r="I149" s="22" t="n">
        <v>58527.8717346571</v>
      </c>
      <c r="J149" s="22" t="n">
        <v>59499.0620168863</v>
      </c>
      <c r="K149" s="22" t="n">
        <v>60572.0127235365</v>
      </c>
      <c r="L149" s="22" t="n">
        <v>61744.2604945511</v>
      </c>
      <c r="M149" s="22" t="n">
        <v>63019.7492039589</v>
      </c>
      <c r="N149" s="23" t="n">
        <v>64425.8241064168</v>
      </c>
      <c r="O149" s="24" t="n">
        <v>66127.8020096139</v>
      </c>
      <c r="P149" s="24" t="n">
        <v>67972.7932692498</v>
      </c>
      <c r="Q149" s="24" t="n">
        <v>69895.8350086448</v>
      </c>
      <c r="R149" s="24" t="n">
        <v>71890.5389695156</v>
      </c>
      <c r="S149" s="24" t="n">
        <v>73924.1106428973</v>
      </c>
      <c r="T149" s="24" t="n">
        <v>75644.5992511934</v>
      </c>
      <c r="U149" s="24" t="n">
        <v>77542.0052939676</v>
      </c>
      <c r="V149" s="24" t="n">
        <v>79194.4648822669</v>
      </c>
      <c r="W149" s="24" t="n">
        <v>80841.702129451</v>
      </c>
      <c r="X149" s="24" t="n">
        <v>20103.486715349</v>
      </c>
      <c r="Y149" s="7"/>
      <c r="Z149" s="7"/>
      <c r="AA149" s="7"/>
    </row>
    <row r="150" customFormat="false" ht="12.75" hidden="false" customHeight="false" outlineLevel="0" collapsed="false">
      <c r="A150" s="25" t="s">
        <v>9</v>
      </c>
      <c r="B150" s="20" t="n">
        <f aca="false">NPV(0.1,D150:Y150)</f>
        <v>207041.44869521</v>
      </c>
      <c r="C150" s="20" t="n">
        <f aca="false">B150-B140</f>
        <v>1935.11190608045</v>
      </c>
      <c r="D150" s="21" t="n">
        <v>17149.4525290314</v>
      </c>
      <c r="E150" s="22" t="n">
        <v>20827.0141271941</v>
      </c>
      <c r="F150" s="22" t="n">
        <v>21213.0869853255</v>
      </c>
      <c r="G150" s="22" t="n">
        <v>21524.8307973508</v>
      </c>
      <c r="H150" s="22" t="n">
        <v>21898.2566616055</v>
      </c>
      <c r="I150" s="22" t="n">
        <v>22358.8370479376</v>
      </c>
      <c r="J150" s="22" t="n">
        <v>22895.7063898932</v>
      </c>
      <c r="K150" s="22" t="n">
        <v>23542.0902014386</v>
      </c>
      <c r="L150" s="22" t="n">
        <v>24296.3945751073</v>
      </c>
      <c r="M150" s="22" t="n">
        <v>25163.4252029148</v>
      </c>
      <c r="N150" s="23" t="n">
        <v>26171.4859285535</v>
      </c>
      <c r="O150" s="24" t="n">
        <v>27329.4935951121</v>
      </c>
      <c r="P150" s="24" t="n">
        <v>28633.5274375699</v>
      </c>
      <c r="Q150" s="24" t="n">
        <v>30019.2554195436</v>
      </c>
      <c r="R150" s="24" t="n">
        <v>31481.008085044</v>
      </c>
      <c r="S150" s="24" t="n">
        <v>32990.4909832406</v>
      </c>
      <c r="T150" s="24" t="n">
        <v>34561.3592438535</v>
      </c>
      <c r="U150" s="24" t="n">
        <v>36337.7007046293</v>
      </c>
      <c r="V150" s="24" t="n">
        <v>37899.493202653</v>
      </c>
      <c r="W150" s="24" t="n">
        <v>39474.7228457138</v>
      </c>
      <c r="X150" s="24" t="n">
        <v>3032.15221900736</v>
      </c>
      <c r="Y150" s="7"/>
      <c r="Z150" s="7"/>
      <c r="AA150" s="7"/>
    </row>
    <row r="151" customFormat="false" ht="12.75" hidden="false" customHeight="false" outlineLevel="0" collapsed="false">
      <c r="A151" s="25" t="s">
        <v>10</v>
      </c>
      <c r="B151" s="20" t="n">
        <f aca="false">NPV(0.1,D151:Y151)</f>
        <v>82145.2724116632</v>
      </c>
      <c r="C151" s="20" t="n">
        <f aca="false">B151-B141</f>
        <v>-969.44053525971</v>
      </c>
      <c r="D151" s="21" t="n">
        <v>-542.338686109376</v>
      </c>
      <c r="E151" s="22" t="n">
        <v>65.9815502607691</v>
      </c>
      <c r="F151" s="22" t="n">
        <v>107.624732128264</v>
      </c>
      <c r="G151" s="22" t="n">
        <v>6224.41104217451</v>
      </c>
      <c r="H151" s="22" t="n">
        <v>11159.8219282979</v>
      </c>
      <c r="I151" s="22" t="n">
        <v>12072.0115291928</v>
      </c>
      <c r="J151" s="22" t="n">
        <v>12654.8792235394</v>
      </c>
      <c r="K151" s="22" t="n">
        <v>13073.8973707547</v>
      </c>
      <c r="L151" s="22" t="n">
        <v>13573.9346714157</v>
      </c>
      <c r="M151" s="22" t="n">
        <v>14095.5116571043</v>
      </c>
      <c r="N151" s="23" t="n">
        <v>14640.0260773505</v>
      </c>
      <c r="O151" s="24" t="n">
        <v>15234.4223772573</v>
      </c>
      <c r="P151" s="24" t="n">
        <v>15931.9927906141</v>
      </c>
      <c r="Q151" s="24" t="n">
        <v>16666.7622218584</v>
      </c>
      <c r="R151" s="24" t="n">
        <v>17441.3537746902</v>
      </c>
      <c r="S151" s="24" t="n">
        <v>18179.3391780876</v>
      </c>
      <c r="T151" s="24" t="n">
        <v>18820.1891091268</v>
      </c>
      <c r="U151" s="24" t="n">
        <v>19489.9268722315</v>
      </c>
      <c r="V151" s="24" t="n">
        <v>20190.5505563823</v>
      </c>
      <c r="W151" s="24" t="n">
        <v>20671.0497054796</v>
      </c>
      <c r="X151" s="24" t="n">
        <v>0</v>
      </c>
      <c r="Y151" s="7"/>
      <c r="Z151" s="7"/>
      <c r="AA151" s="7"/>
    </row>
    <row r="152" customFormat="false" ht="12.75" hidden="false" customHeight="false" outlineLevel="0" collapsed="false">
      <c r="A152" s="25" t="s">
        <v>11</v>
      </c>
      <c r="B152" s="20" t="n">
        <f aca="false">NPV(0.1,D152:Y152)</f>
        <v>101711.565309428</v>
      </c>
      <c r="C152" s="20" t="n">
        <f aca="false">B152-B142</f>
        <v>986.784989757856</v>
      </c>
      <c r="D152" s="26" t="n">
        <v>2623.98420111537</v>
      </c>
      <c r="E152" s="27" t="n">
        <v>4232.9457961847</v>
      </c>
      <c r="F152" s="27" t="n">
        <v>4233.49189579412</v>
      </c>
      <c r="G152" s="27" t="n">
        <v>16491.9911942392</v>
      </c>
      <c r="H152" s="27" t="n">
        <v>21469.5770471031</v>
      </c>
      <c r="I152" s="27" t="n">
        <v>16916.7708970059</v>
      </c>
      <c r="J152" s="27" t="n">
        <v>15195.9080948499</v>
      </c>
      <c r="K152" s="27" t="n">
        <v>15099.8336085932</v>
      </c>
      <c r="L152" s="27" t="n">
        <v>15034.3239987044</v>
      </c>
      <c r="M152" s="27" t="n">
        <v>14961.6007128009</v>
      </c>
      <c r="N152" s="28" t="n">
        <v>14855.7521361367</v>
      </c>
      <c r="O152" s="24" t="n">
        <v>14702.0702409559</v>
      </c>
      <c r="P152" s="24" t="n">
        <v>14580.2250658989</v>
      </c>
      <c r="Q152" s="24" t="n">
        <v>14444.1793910624</v>
      </c>
      <c r="R152" s="24" t="n">
        <v>14267.3393486438</v>
      </c>
      <c r="S152" s="24" t="n">
        <v>12187.2436580335</v>
      </c>
      <c r="T152" s="24" t="n">
        <v>10078.4071602183</v>
      </c>
      <c r="U152" s="24" t="n">
        <v>9734.63193902266</v>
      </c>
      <c r="V152" s="24" t="n">
        <v>9352.82059681812</v>
      </c>
      <c r="W152" s="24" t="n">
        <v>15178.675131713</v>
      </c>
      <c r="X152" s="24" t="n">
        <v>0</v>
      </c>
      <c r="Y152" s="7"/>
      <c r="Z152" s="7"/>
      <c r="AA152" s="7"/>
    </row>
    <row r="153" customFormat="false" ht="12.75" hidden="false" customHeight="false" outlineLevel="0" collapsed="false">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row>
    <row r="154" customFormat="false" ht="12.75" hidden="false" customHeight="false" outlineLevel="0" collapsed="false">
      <c r="A154" s="29" t="s">
        <v>26</v>
      </c>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row>
    <row r="155" customFormat="false" ht="12.75" hidden="false" customHeight="false" outlineLevel="0" collapsed="false">
      <c r="A155" s="36" t="n">
        <v>36257</v>
      </c>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row>
    <row r="156" customFormat="false" ht="12.75" hidden="false" customHeight="false" outlineLevel="0" collapsed="false">
      <c r="A156" s="10" t="s">
        <v>3</v>
      </c>
      <c r="B156" s="11" t="n">
        <v>71519.5710997804</v>
      </c>
      <c r="C156" s="7"/>
      <c r="D156" s="7"/>
      <c r="E156" s="7"/>
      <c r="F156" s="7"/>
      <c r="G156" s="7"/>
      <c r="H156" s="7"/>
      <c r="I156" s="7"/>
      <c r="J156" s="7"/>
      <c r="K156" s="7"/>
      <c r="L156" s="7"/>
      <c r="M156" s="7"/>
      <c r="N156" s="7"/>
      <c r="O156" s="7"/>
      <c r="P156" s="7"/>
      <c r="Q156" s="7"/>
      <c r="R156" s="7"/>
      <c r="S156" s="7"/>
      <c r="T156" s="7"/>
      <c r="U156" s="7"/>
      <c r="V156" s="7"/>
      <c r="W156" s="7"/>
      <c r="X156" s="7"/>
      <c r="Y156" s="7"/>
      <c r="Z156" s="7"/>
      <c r="AA156" s="7"/>
    </row>
    <row r="157" customFormat="false" ht="12.75" hidden="false" customHeight="false" outlineLevel="0" collapsed="false">
      <c r="A157" s="12" t="s">
        <v>4</v>
      </c>
      <c r="B157" s="13" t="n">
        <v>109640.616228352</v>
      </c>
      <c r="C157" s="7"/>
      <c r="D157" s="7"/>
      <c r="E157" s="7"/>
      <c r="F157" s="7"/>
      <c r="G157" s="7"/>
      <c r="H157" s="7"/>
      <c r="I157" s="7"/>
      <c r="J157" s="7"/>
      <c r="K157" s="7"/>
      <c r="L157" s="7"/>
      <c r="M157" s="7"/>
      <c r="N157" s="7"/>
      <c r="O157" s="7"/>
      <c r="P157" s="7"/>
      <c r="Q157" s="7"/>
      <c r="R157" s="7"/>
      <c r="S157" s="7"/>
      <c r="T157" s="7"/>
      <c r="U157" s="7"/>
      <c r="V157" s="7"/>
      <c r="W157" s="7"/>
      <c r="X157" s="7"/>
      <c r="Y157" s="7"/>
      <c r="Z157" s="7"/>
      <c r="AA157" s="7"/>
    </row>
    <row r="158" customFormat="false" ht="12.75" hidden="false" customHeight="false" outlineLevel="0" collapsed="false">
      <c r="A158" s="14" t="s">
        <v>5</v>
      </c>
      <c r="B158" s="15" t="s">
        <v>6</v>
      </c>
      <c r="C158" s="15" t="s">
        <v>7</v>
      </c>
      <c r="D158" s="16" t="n">
        <v>2000</v>
      </c>
      <c r="E158" s="17" t="n">
        <v>2001</v>
      </c>
      <c r="F158" s="17" t="n">
        <v>2002</v>
      </c>
      <c r="G158" s="17" t="n">
        <v>2003</v>
      </c>
      <c r="H158" s="17" t="n">
        <v>2004</v>
      </c>
      <c r="I158" s="17" t="n">
        <v>2005</v>
      </c>
      <c r="J158" s="17" t="n">
        <v>2006</v>
      </c>
      <c r="K158" s="17" t="n">
        <v>2007</v>
      </c>
      <c r="L158" s="17" t="n">
        <v>2008</v>
      </c>
      <c r="M158" s="17" t="n">
        <v>2009</v>
      </c>
      <c r="N158" s="18" t="n">
        <v>2010</v>
      </c>
      <c r="O158" s="19" t="n">
        <v>2011</v>
      </c>
      <c r="P158" s="19" t="n">
        <v>2012</v>
      </c>
      <c r="Q158" s="19" t="n">
        <v>2013</v>
      </c>
      <c r="R158" s="19" t="n">
        <v>2014</v>
      </c>
      <c r="S158" s="19" t="n">
        <v>2015</v>
      </c>
      <c r="T158" s="19" t="n">
        <v>2016</v>
      </c>
      <c r="U158" s="19" t="n">
        <v>2017</v>
      </c>
      <c r="V158" s="19" t="n">
        <v>2018</v>
      </c>
      <c r="W158" s="19" t="n">
        <v>2019</v>
      </c>
      <c r="X158" s="19" t="n">
        <v>2020</v>
      </c>
      <c r="Y158" s="7"/>
      <c r="Z158" s="7"/>
      <c r="AA158" s="7"/>
    </row>
    <row r="159" customFormat="false" ht="12.75" hidden="false" customHeight="false" outlineLevel="0" collapsed="false">
      <c r="A159" s="14" t="s">
        <v>8</v>
      </c>
      <c r="B159" s="20" t="n">
        <f aca="false">NPV(0.1,D159:Y159)</f>
        <v>475039.077639482</v>
      </c>
      <c r="C159" s="20" t="n">
        <f aca="false">B159-B149</f>
        <v>8338.69478739239</v>
      </c>
      <c r="D159" s="21" t="n">
        <v>26849.7857894661</v>
      </c>
      <c r="E159" s="22" t="n">
        <v>37745.0098186749</v>
      </c>
      <c r="F159" s="22" t="n">
        <v>38030.918987906</v>
      </c>
      <c r="G159" s="22" t="n">
        <v>48482.8459796655</v>
      </c>
      <c r="H159" s="22" t="n">
        <v>57110.412032713</v>
      </c>
      <c r="I159" s="22" t="n">
        <v>58527.8717346571</v>
      </c>
      <c r="J159" s="22" t="n">
        <v>59499.0620168863</v>
      </c>
      <c r="K159" s="22" t="n">
        <v>60572.0127235365</v>
      </c>
      <c r="L159" s="22" t="n">
        <v>61744.2604945511</v>
      </c>
      <c r="M159" s="22" t="n">
        <v>63019.7492039589</v>
      </c>
      <c r="N159" s="23" t="n">
        <v>64425.8241064168</v>
      </c>
      <c r="O159" s="24" t="n">
        <v>66127.8020096139</v>
      </c>
      <c r="P159" s="24" t="n">
        <v>67972.7932692498</v>
      </c>
      <c r="Q159" s="24" t="n">
        <v>69895.8350086448</v>
      </c>
      <c r="R159" s="24" t="n">
        <v>71890.5389695156</v>
      </c>
      <c r="S159" s="24" t="n">
        <v>73924.1106428973</v>
      </c>
      <c r="T159" s="24" t="n">
        <v>75644.5992511934</v>
      </c>
      <c r="U159" s="24" t="n">
        <v>77542.0052939676</v>
      </c>
      <c r="V159" s="24" t="n">
        <v>79194.4648822669</v>
      </c>
      <c r="W159" s="24" t="n">
        <v>80841.702129451</v>
      </c>
      <c r="X159" s="24" t="n">
        <v>81811.9123509351</v>
      </c>
      <c r="Y159" s="7"/>
      <c r="Z159" s="7"/>
      <c r="AA159" s="7"/>
    </row>
    <row r="160" customFormat="false" ht="12.75" hidden="false" customHeight="false" outlineLevel="0" collapsed="false">
      <c r="A160" s="25" t="s">
        <v>9</v>
      </c>
      <c r="B160" s="20" t="n">
        <f aca="false">NPV(0.1,D160:Y160)</f>
        <v>212094.758061911</v>
      </c>
      <c r="C160" s="20" t="n">
        <f aca="false">B160-B150</f>
        <v>5053.30936670123</v>
      </c>
      <c r="D160" s="21" t="n">
        <v>17149.4525290314</v>
      </c>
      <c r="E160" s="22" t="n">
        <v>20827.0141271941</v>
      </c>
      <c r="F160" s="22" t="n">
        <v>21213.0869853255</v>
      </c>
      <c r="G160" s="22" t="n">
        <v>21524.8307973508</v>
      </c>
      <c r="H160" s="22" t="n">
        <v>21898.2566616055</v>
      </c>
      <c r="I160" s="22" t="n">
        <v>22358.8370479376</v>
      </c>
      <c r="J160" s="22" t="n">
        <v>22895.7063898932</v>
      </c>
      <c r="K160" s="22" t="n">
        <v>23542.0902014386</v>
      </c>
      <c r="L160" s="22" t="n">
        <v>24296.3945751073</v>
      </c>
      <c r="M160" s="22" t="n">
        <v>25163.4252029148</v>
      </c>
      <c r="N160" s="23" t="n">
        <v>26171.4859285535</v>
      </c>
      <c r="O160" s="24" t="n">
        <v>27329.4935951121</v>
      </c>
      <c r="P160" s="24" t="n">
        <v>28633.5274375699</v>
      </c>
      <c r="Q160" s="24" t="n">
        <v>30019.2554195436</v>
      </c>
      <c r="R160" s="24" t="n">
        <v>31481.008085044</v>
      </c>
      <c r="S160" s="24" t="n">
        <v>32990.4909832406</v>
      </c>
      <c r="T160" s="24" t="n">
        <v>34561.3592438535</v>
      </c>
      <c r="U160" s="24" t="n">
        <v>36337.7007046293</v>
      </c>
      <c r="V160" s="24" t="n">
        <v>37899.493202653</v>
      </c>
      <c r="W160" s="24" t="n">
        <v>39474.7228457138</v>
      </c>
      <c r="X160" s="24" t="n">
        <v>40427.9045782573</v>
      </c>
      <c r="Y160" s="7"/>
      <c r="Z160" s="7"/>
      <c r="AA160" s="7"/>
    </row>
    <row r="161" customFormat="false" ht="12.75" hidden="false" customHeight="false" outlineLevel="0" collapsed="false">
      <c r="A161" s="25" t="s">
        <v>10</v>
      </c>
      <c r="B161" s="20" t="n">
        <f aca="false">NPV(0.1,D161:Y161)</f>
        <v>85045.4837584522</v>
      </c>
      <c r="C161" s="20" t="n">
        <f aca="false">B161-B151</f>
        <v>2900.21134678897</v>
      </c>
      <c r="D161" s="21" t="n">
        <v>-542.338686109376</v>
      </c>
      <c r="E161" s="22" t="n">
        <v>65.9815502607691</v>
      </c>
      <c r="F161" s="22" t="n">
        <v>107.624732128264</v>
      </c>
      <c r="G161" s="22" t="n">
        <v>6224.41104217451</v>
      </c>
      <c r="H161" s="22" t="n">
        <v>11159.8219282979</v>
      </c>
      <c r="I161" s="22" t="n">
        <v>12072.0115291928</v>
      </c>
      <c r="J161" s="22" t="n">
        <v>12654.8792235394</v>
      </c>
      <c r="K161" s="22" t="n">
        <v>13073.8973707547</v>
      </c>
      <c r="L161" s="22" t="n">
        <v>13573.9346714157</v>
      </c>
      <c r="M161" s="22" t="n">
        <v>14095.5116571043</v>
      </c>
      <c r="N161" s="23" t="n">
        <v>14640.0260773505</v>
      </c>
      <c r="O161" s="24" t="n">
        <v>15234.4223772573</v>
      </c>
      <c r="P161" s="24" t="n">
        <v>15931.9927906141</v>
      </c>
      <c r="Q161" s="24" t="n">
        <v>16666.7622218584</v>
      </c>
      <c r="R161" s="24" t="n">
        <v>17441.3537746902</v>
      </c>
      <c r="S161" s="24" t="n">
        <v>18179.3391780876</v>
      </c>
      <c r="T161" s="24" t="n">
        <v>18820.1891091268</v>
      </c>
      <c r="U161" s="24" t="n">
        <v>19489.9268722315</v>
      </c>
      <c r="V161" s="24" t="n">
        <v>20190.5505563823</v>
      </c>
      <c r="W161" s="24" t="n">
        <v>20671.0497054796</v>
      </c>
      <c r="X161" s="24" t="n">
        <v>21462.288857412</v>
      </c>
      <c r="Y161" s="7"/>
      <c r="Z161" s="7"/>
      <c r="AA161" s="7"/>
    </row>
    <row r="162" customFormat="false" ht="12.75" hidden="false" customHeight="false" outlineLevel="0" collapsed="false">
      <c r="A162" s="25" t="s">
        <v>11</v>
      </c>
      <c r="B162" s="20" t="n">
        <f aca="false">NPV(0.1,D162:Y162)</f>
        <v>105054.742430285</v>
      </c>
      <c r="C162" s="20" t="n">
        <f aca="false">B162-B152</f>
        <v>3343.17712085687</v>
      </c>
      <c r="D162" s="26" t="n">
        <v>2623.98420111537</v>
      </c>
      <c r="E162" s="27" t="n">
        <v>4232.9457961847</v>
      </c>
      <c r="F162" s="27" t="n">
        <v>4233.49189579412</v>
      </c>
      <c r="G162" s="27" t="n">
        <v>16491.9911942392</v>
      </c>
      <c r="H162" s="27" t="n">
        <v>21469.5770471031</v>
      </c>
      <c r="I162" s="27" t="n">
        <v>16916.7708970059</v>
      </c>
      <c r="J162" s="27" t="n">
        <v>15195.9080948499</v>
      </c>
      <c r="K162" s="27" t="n">
        <v>15099.8336085932</v>
      </c>
      <c r="L162" s="27" t="n">
        <v>15034.3239987044</v>
      </c>
      <c r="M162" s="27" t="n">
        <v>14961.6007128009</v>
      </c>
      <c r="N162" s="28" t="n">
        <v>14855.7521361367</v>
      </c>
      <c r="O162" s="24" t="n">
        <v>14702.0702409559</v>
      </c>
      <c r="P162" s="24" t="n">
        <v>14580.2250658989</v>
      </c>
      <c r="Q162" s="24" t="n">
        <v>14444.1793910624</v>
      </c>
      <c r="R162" s="24" t="n">
        <v>14267.3393486438</v>
      </c>
      <c r="S162" s="24" t="n">
        <v>12187.2436580335</v>
      </c>
      <c r="T162" s="24" t="n">
        <v>10078.4071602183</v>
      </c>
      <c r="U162" s="24" t="n">
        <v>9734.63193902266</v>
      </c>
      <c r="V162" s="24" t="n">
        <v>9352.82059681812</v>
      </c>
      <c r="W162" s="24" t="n">
        <v>15178.675131713</v>
      </c>
      <c r="X162" s="24" t="n">
        <v>24740.3463022663</v>
      </c>
      <c r="Y162" s="7"/>
      <c r="Z162" s="7"/>
      <c r="AA162" s="7"/>
    </row>
    <row r="163" customFormat="false" ht="12.75" hidden="false" customHeight="false" outlineLevel="0" collapsed="false">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row>
    <row r="164" customFormat="false" ht="12.75" hidden="false" customHeight="false" outlineLevel="0" collapsed="false">
      <c r="A164" s="29" t="s">
        <v>27</v>
      </c>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row>
    <row r="165" customFormat="false" ht="12.75" hidden="false" customHeight="false" outlineLevel="0" collapsed="false">
      <c r="A165" s="36" t="n">
        <v>36257</v>
      </c>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row>
    <row r="166" customFormat="false" ht="12.75" hidden="false" customHeight="false" outlineLevel="0" collapsed="false">
      <c r="A166" s="10" t="s">
        <v>3</v>
      </c>
      <c r="B166" s="11" t="n">
        <v>71358.9924518365</v>
      </c>
      <c r="C166" s="7"/>
      <c r="D166" s="7"/>
      <c r="E166" s="7"/>
      <c r="F166" s="7"/>
      <c r="G166" s="7"/>
      <c r="H166" s="7"/>
      <c r="I166" s="7"/>
      <c r="J166" s="7"/>
      <c r="K166" s="7"/>
      <c r="L166" s="7"/>
      <c r="M166" s="7"/>
      <c r="N166" s="7"/>
      <c r="O166" s="7"/>
      <c r="P166" s="7"/>
      <c r="Q166" s="7"/>
      <c r="R166" s="7"/>
      <c r="S166" s="7"/>
      <c r="T166" s="7"/>
      <c r="U166" s="7"/>
      <c r="V166" s="7"/>
      <c r="W166" s="7"/>
      <c r="X166" s="7"/>
      <c r="Y166" s="7"/>
      <c r="Z166" s="7"/>
      <c r="AA166" s="7"/>
    </row>
    <row r="167" customFormat="false" ht="12.75" hidden="false" customHeight="false" outlineLevel="0" collapsed="false">
      <c r="A167" s="12" t="s">
        <v>4</v>
      </c>
      <c r="B167" s="13" t="n">
        <v>109482.013645601</v>
      </c>
      <c r="C167" s="7"/>
      <c r="D167" s="7"/>
      <c r="E167" s="7"/>
      <c r="F167" s="7"/>
      <c r="G167" s="7"/>
      <c r="H167" s="7"/>
      <c r="I167" s="7"/>
      <c r="J167" s="7"/>
      <c r="K167" s="7"/>
      <c r="L167" s="7"/>
      <c r="M167" s="7"/>
      <c r="N167" s="7"/>
      <c r="O167" s="7"/>
      <c r="P167" s="7"/>
      <c r="Q167" s="7"/>
      <c r="R167" s="7"/>
      <c r="S167" s="7"/>
      <c r="T167" s="7"/>
      <c r="U167" s="7"/>
      <c r="V167" s="7"/>
      <c r="W167" s="7"/>
      <c r="X167" s="7"/>
      <c r="Y167" s="7"/>
      <c r="Z167" s="7"/>
      <c r="AA167" s="7"/>
    </row>
    <row r="168" customFormat="false" ht="12.75" hidden="false" customHeight="false" outlineLevel="0" collapsed="false">
      <c r="A168" s="14" t="s">
        <v>5</v>
      </c>
      <c r="B168" s="15" t="s">
        <v>6</v>
      </c>
      <c r="C168" s="15" t="s">
        <v>7</v>
      </c>
      <c r="D168" s="16" t="n">
        <v>2000</v>
      </c>
      <c r="E168" s="17" t="n">
        <v>2001</v>
      </c>
      <c r="F168" s="17" t="n">
        <v>2002</v>
      </c>
      <c r="G168" s="17" t="n">
        <v>2003</v>
      </c>
      <c r="H168" s="17" t="n">
        <v>2004</v>
      </c>
      <c r="I168" s="17" t="n">
        <v>2005</v>
      </c>
      <c r="J168" s="17" t="n">
        <v>2006</v>
      </c>
      <c r="K168" s="17" t="n">
        <v>2007</v>
      </c>
      <c r="L168" s="17" t="n">
        <v>2008</v>
      </c>
      <c r="M168" s="17" t="n">
        <v>2009</v>
      </c>
      <c r="N168" s="18" t="n">
        <v>2010</v>
      </c>
      <c r="O168" s="19" t="n">
        <v>2011</v>
      </c>
      <c r="P168" s="19" t="n">
        <v>2012</v>
      </c>
      <c r="Q168" s="19" t="n">
        <v>2013</v>
      </c>
      <c r="R168" s="19" t="n">
        <v>2014</v>
      </c>
      <c r="S168" s="19" t="n">
        <v>2015</v>
      </c>
      <c r="T168" s="19" t="n">
        <v>2016</v>
      </c>
      <c r="U168" s="19" t="n">
        <v>2017</v>
      </c>
      <c r="V168" s="19" t="n">
        <v>2018</v>
      </c>
      <c r="W168" s="19" t="n">
        <v>2019</v>
      </c>
      <c r="X168" s="19" t="n">
        <v>2020</v>
      </c>
      <c r="Y168" s="7"/>
      <c r="Z168" s="7"/>
      <c r="AA168" s="7"/>
    </row>
    <row r="169" customFormat="false" ht="12.75" hidden="false" customHeight="false" outlineLevel="0" collapsed="false">
      <c r="A169" s="14" t="s">
        <v>8</v>
      </c>
      <c r="B169" s="20" t="n">
        <f aca="false">NPV(0.1,D169:Y169)</f>
        <v>475039.19507982</v>
      </c>
      <c r="C169" s="20" t="n">
        <f aca="false">B169-B159</f>
        <v>0.117440338479355</v>
      </c>
      <c r="D169" s="21" t="n">
        <v>26849.7925913932</v>
      </c>
      <c r="E169" s="22" t="n">
        <v>37745.0218289347</v>
      </c>
      <c r="F169" s="22" t="n">
        <v>38030.9313584736</v>
      </c>
      <c r="G169" s="22" t="n">
        <v>48482.8587213501</v>
      </c>
      <c r="H169" s="22" t="n">
        <v>57110.4251566482</v>
      </c>
      <c r="I169" s="22" t="n">
        <v>58527.8852523103</v>
      </c>
      <c r="J169" s="22" t="n">
        <v>59499.0759400692</v>
      </c>
      <c r="K169" s="22" t="n">
        <v>60572.0270644148</v>
      </c>
      <c r="L169" s="22" t="n">
        <v>61744.2752656557</v>
      </c>
      <c r="M169" s="22" t="n">
        <v>63019.7644181967</v>
      </c>
      <c r="N169" s="23" t="n">
        <v>64425.8397770817</v>
      </c>
      <c r="O169" s="24" t="n">
        <v>66127.8181503988</v>
      </c>
      <c r="P169" s="24" t="n">
        <v>67972.8098942582</v>
      </c>
      <c r="Q169" s="24" t="n">
        <v>69895.8521324035</v>
      </c>
      <c r="R169" s="24" t="n">
        <v>71890.5566069871</v>
      </c>
      <c r="S169" s="24" t="n">
        <v>73924.1288094929</v>
      </c>
      <c r="T169" s="24" t="n">
        <v>75644.6179627868</v>
      </c>
      <c r="U169" s="24" t="n">
        <v>77542.0245669089</v>
      </c>
      <c r="V169" s="24" t="n">
        <v>79194.4847333963</v>
      </c>
      <c r="W169" s="24" t="n">
        <v>80841.7225761144</v>
      </c>
      <c r="X169" s="24" t="n">
        <v>81811.9123509351</v>
      </c>
      <c r="Y169" s="7"/>
      <c r="Z169" s="7"/>
      <c r="AA169" s="7"/>
    </row>
    <row r="170" customFormat="false" ht="12.75" hidden="false" customHeight="false" outlineLevel="0" collapsed="false">
      <c r="A170" s="25" t="s">
        <v>9</v>
      </c>
      <c r="B170" s="20" t="n">
        <f aca="false">NPV(0.1,D170:Y170)</f>
        <v>212252.385318567</v>
      </c>
      <c r="C170" s="20" t="n">
        <f aca="false">B170-B160</f>
        <v>157.627256655571</v>
      </c>
      <c r="D170" s="21" t="n">
        <v>17155.5358547966</v>
      </c>
      <c r="E170" s="22" t="n">
        <v>20837.6580958876</v>
      </c>
      <c r="F170" s="22" t="n">
        <v>21225.0824257612</v>
      </c>
      <c r="G170" s="22" t="n">
        <v>21538.1861879746</v>
      </c>
      <c r="H170" s="22" t="n">
        <v>21912.9804584824</v>
      </c>
      <c r="I170" s="22" t="n">
        <v>22375.2633130682</v>
      </c>
      <c r="J170" s="22" t="n">
        <v>22913.4718976806</v>
      </c>
      <c r="K170" s="22" t="n">
        <v>23561.2029446805</v>
      </c>
      <c r="L170" s="22" t="n">
        <v>24316.8629154345</v>
      </c>
      <c r="M170" s="22" t="n">
        <v>25185.2576237579</v>
      </c>
      <c r="N170" s="23" t="n">
        <v>26194.691296895</v>
      </c>
      <c r="O170" s="24" t="n">
        <v>27354.0809148949</v>
      </c>
      <c r="P170" s="24" t="n">
        <v>28659.5061119044</v>
      </c>
      <c r="Q170" s="24" t="n">
        <v>30046.6350045844</v>
      </c>
      <c r="R170" s="24" t="n">
        <v>31509.7985526793</v>
      </c>
      <c r="S170" s="24" t="n">
        <v>33020.7212924637</v>
      </c>
      <c r="T170" s="24" t="n">
        <v>34593.0586598249</v>
      </c>
      <c r="U170" s="24" t="n">
        <v>36370.8800544349</v>
      </c>
      <c r="V170" s="24" t="n">
        <v>37934.163638191</v>
      </c>
      <c r="W170" s="24" t="n">
        <v>39510.9044407908</v>
      </c>
      <c r="X170" s="24" t="n">
        <v>40458.6955958738</v>
      </c>
      <c r="Y170" s="7"/>
      <c r="Z170" s="7"/>
      <c r="AA170" s="7"/>
    </row>
    <row r="171" customFormat="false" ht="12.75" hidden="false" customHeight="false" outlineLevel="0" collapsed="false">
      <c r="A171" s="25" t="s">
        <v>10</v>
      </c>
      <c r="B171" s="20" t="n">
        <f aca="false">NPV(0.1,D171:Y171)</f>
        <v>89750.5983757956</v>
      </c>
      <c r="C171" s="20" t="n">
        <f aca="false">B171-B161</f>
        <v>4705.11461734345</v>
      </c>
      <c r="D171" s="21" t="n">
        <v>211.462454689606</v>
      </c>
      <c r="E171" s="22" t="n">
        <v>591.283861131713</v>
      </c>
      <c r="F171" s="22" t="n">
        <v>632.056107209726</v>
      </c>
      <c r="G171" s="22" t="n">
        <v>6747.91334492609</v>
      </c>
      <c r="H171" s="22" t="n">
        <v>11682.5619950319</v>
      </c>
      <c r="I171" s="22" t="n">
        <v>12593.7683226962</v>
      </c>
      <c r="J171" s="22" t="n">
        <v>13175.8394312489</v>
      </c>
      <c r="K171" s="22" t="n">
        <v>13594.0308319091</v>
      </c>
      <c r="L171" s="22" t="n">
        <v>14093.2088211013</v>
      </c>
      <c r="M171" s="22" t="n">
        <v>14613.8914918015</v>
      </c>
      <c r="N171" s="23" t="n">
        <v>15157.4738072254</v>
      </c>
      <c r="O171" s="24" t="n">
        <v>15750.8973612931</v>
      </c>
      <c r="P171" s="24" t="n">
        <v>16447.4511560592</v>
      </c>
      <c r="Q171" s="24" t="n">
        <v>17181.1567638912</v>
      </c>
      <c r="R171" s="24" t="n">
        <v>17954.6335375686</v>
      </c>
      <c r="S171" s="24" t="n">
        <v>18691.4380914703</v>
      </c>
      <c r="T171" s="24" t="n">
        <v>19331.0364632693</v>
      </c>
      <c r="U171" s="24" t="n">
        <v>19999.4581341907</v>
      </c>
      <c r="V171" s="24" t="n">
        <v>20698.6961466301</v>
      </c>
      <c r="W171" s="24" t="n">
        <v>21177.8392181223</v>
      </c>
      <c r="X171" s="24" t="n">
        <v>21971.6420009233</v>
      </c>
      <c r="Y171" s="7"/>
      <c r="Z171" s="7"/>
      <c r="AA171" s="7"/>
    </row>
    <row r="172" customFormat="false" ht="12.75" hidden="false" customHeight="false" outlineLevel="0" collapsed="false">
      <c r="A172" s="25" t="s">
        <v>11</v>
      </c>
      <c r="B172" s="20" t="n">
        <f aca="false">NPV(0.1,D172:Y172)</f>
        <v>104972.071695364</v>
      </c>
      <c r="C172" s="20" t="n">
        <f aca="false">B172-B162</f>
        <v>-82.6707349210046</v>
      </c>
      <c r="D172" s="26" t="n">
        <v>2622.47458449546</v>
      </c>
      <c r="E172" s="27" t="n">
        <v>4230.30825265018</v>
      </c>
      <c r="F172" s="27" t="n">
        <v>4230.54255731321</v>
      </c>
      <c r="G172" s="27" t="n">
        <v>16483.8015902105</v>
      </c>
      <c r="H172" s="27" t="n">
        <v>21460.5666286728</v>
      </c>
      <c r="I172" s="27" t="n">
        <v>16751.9437104084</v>
      </c>
      <c r="J172" s="27" t="n">
        <v>15207.5059302484</v>
      </c>
      <c r="K172" s="27" t="n">
        <v>15111.2131650617</v>
      </c>
      <c r="L172" s="27" t="n">
        <v>15045.4417628792</v>
      </c>
      <c r="M172" s="27" t="n">
        <v>14972.5358364059</v>
      </c>
      <c r="N172" s="28" t="n">
        <v>14866.4643392669</v>
      </c>
      <c r="O172" s="24" t="n">
        <v>14712.6421789424</v>
      </c>
      <c r="P172" s="24" t="n">
        <v>14590.6202545483</v>
      </c>
      <c r="Q172" s="24" t="n">
        <v>14454.4845972446</v>
      </c>
      <c r="R172" s="24" t="n">
        <v>14277.5225411628</v>
      </c>
      <c r="S172" s="24" t="n">
        <v>12188.4322557199</v>
      </c>
      <c r="T172" s="24" t="n">
        <v>10070.6314696653</v>
      </c>
      <c r="U172" s="24" t="n">
        <v>9726.85935263668</v>
      </c>
      <c r="V172" s="24" t="n">
        <v>9345.09152480224</v>
      </c>
      <c r="W172" s="24" t="n">
        <v>15167.052310862</v>
      </c>
      <c r="X172" s="24" t="n">
        <v>24721.9833091352</v>
      </c>
      <c r="Y172" s="7"/>
      <c r="Z172" s="7"/>
      <c r="AA172" s="7"/>
    </row>
    <row r="173" customFormat="false" ht="12.75" hidden="false" customHeight="false" outlineLevel="0" collapsed="false">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row>
    <row r="174" customFormat="false" ht="12.75" hidden="false" customHeight="false" outlineLevel="0" collapsed="false">
      <c r="A174" s="29" t="s">
        <v>28</v>
      </c>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row>
    <row r="175" customFormat="false" ht="12.75" hidden="false" customHeight="false" outlineLevel="0" collapsed="false">
      <c r="A175" s="36" t="n">
        <v>36257</v>
      </c>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row>
    <row r="176" customFormat="false" ht="12.75" hidden="false" customHeight="false" outlineLevel="0" collapsed="false">
      <c r="A176" s="10" t="s">
        <v>3</v>
      </c>
      <c r="B176" s="11" t="n">
        <v>71526.957234969</v>
      </c>
      <c r="C176" s="7"/>
      <c r="D176" s="7"/>
      <c r="E176" s="7"/>
      <c r="F176" s="7"/>
      <c r="G176" s="7"/>
      <c r="H176" s="7"/>
      <c r="I176" s="7"/>
      <c r="J176" s="7"/>
      <c r="K176" s="7"/>
      <c r="L176" s="7"/>
      <c r="M176" s="7"/>
      <c r="N176" s="7"/>
      <c r="O176" s="7"/>
      <c r="P176" s="7"/>
      <c r="Q176" s="7"/>
      <c r="R176" s="7"/>
      <c r="S176" s="7"/>
      <c r="T176" s="7"/>
      <c r="U176" s="7"/>
      <c r="V176" s="7"/>
      <c r="W176" s="7"/>
      <c r="X176" s="7"/>
      <c r="Y176" s="7"/>
      <c r="Z176" s="7"/>
      <c r="AA176" s="7"/>
    </row>
    <row r="177" customFormat="false" ht="12.75" hidden="false" customHeight="false" outlineLevel="0" collapsed="false">
      <c r="A177" s="12" t="s">
        <v>4</v>
      </c>
      <c r="B177" s="13" t="n">
        <v>109818.180231864</v>
      </c>
      <c r="C177" s="7"/>
      <c r="D177" s="7"/>
      <c r="E177" s="7"/>
      <c r="F177" s="7"/>
      <c r="G177" s="7"/>
      <c r="H177" s="7"/>
      <c r="I177" s="7"/>
      <c r="J177" s="7"/>
      <c r="K177" s="7"/>
      <c r="L177" s="7"/>
      <c r="M177" s="7"/>
      <c r="N177" s="7"/>
      <c r="O177" s="7"/>
      <c r="P177" s="7"/>
      <c r="Q177" s="7"/>
      <c r="R177" s="7"/>
      <c r="S177" s="7"/>
      <c r="T177" s="7"/>
      <c r="U177" s="7"/>
      <c r="V177" s="7"/>
      <c r="W177" s="7"/>
      <c r="X177" s="7"/>
      <c r="Y177" s="7"/>
      <c r="Z177" s="7"/>
      <c r="AA177" s="7"/>
    </row>
    <row r="178" customFormat="false" ht="12.75" hidden="false" customHeight="false" outlineLevel="0" collapsed="false">
      <c r="A178" s="14" t="s">
        <v>5</v>
      </c>
      <c r="B178" s="15" t="s">
        <v>6</v>
      </c>
      <c r="C178" s="15" t="s">
        <v>7</v>
      </c>
      <c r="D178" s="16" t="n">
        <v>2000</v>
      </c>
      <c r="E178" s="17" t="n">
        <v>2001</v>
      </c>
      <c r="F178" s="17" t="n">
        <v>2002</v>
      </c>
      <c r="G178" s="17" t="n">
        <v>2003</v>
      </c>
      <c r="H178" s="17" t="n">
        <v>2004</v>
      </c>
      <c r="I178" s="17" t="n">
        <v>2005</v>
      </c>
      <c r="J178" s="17" t="n">
        <v>2006</v>
      </c>
      <c r="K178" s="17" t="n">
        <v>2007</v>
      </c>
      <c r="L178" s="17" t="n">
        <v>2008</v>
      </c>
      <c r="M178" s="17" t="n">
        <v>2009</v>
      </c>
      <c r="N178" s="18" t="n">
        <v>2010</v>
      </c>
      <c r="O178" s="19" t="n">
        <v>2011</v>
      </c>
      <c r="P178" s="19" t="n">
        <v>2012</v>
      </c>
      <c r="Q178" s="19" t="n">
        <v>2013</v>
      </c>
      <c r="R178" s="19" t="n">
        <v>2014</v>
      </c>
      <c r="S178" s="19" t="n">
        <v>2015</v>
      </c>
      <c r="T178" s="19" t="n">
        <v>2016</v>
      </c>
      <c r="U178" s="19" t="n">
        <v>2017</v>
      </c>
      <c r="V178" s="19" t="n">
        <v>2018</v>
      </c>
      <c r="W178" s="19" t="n">
        <v>2019</v>
      </c>
      <c r="X178" s="19" t="n">
        <v>2020</v>
      </c>
      <c r="Y178" s="7"/>
      <c r="Z178" s="7"/>
      <c r="AA178" s="7"/>
    </row>
    <row r="179" customFormat="false" ht="12.75" hidden="false" customHeight="false" outlineLevel="0" collapsed="false">
      <c r="A179" s="14" t="s">
        <v>8</v>
      </c>
      <c r="B179" s="20" t="n">
        <f aca="false">NPV(0.1,D179:Y179)</f>
        <v>475039.19507982</v>
      </c>
      <c r="C179" s="20" t="n">
        <f aca="false">B179-B169</f>
        <v>0</v>
      </c>
      <c r="D179" s="21" t="n">
        <v>26849.7925913932</v>
      </c>
      <c r="E179" s="22" t="n">
        <v>37745.0218289347</v>
      </c>
      <c r="F179" s="22" t="n">
        <v>38030.9313584736</v>
      </c>
      <c r="G179" s="22" t="n">
        <v>48482.8587213501</v>
      </c>
      <c r="H179" s="22" t="n">
        <v>57110.4251566482</v>
      </c>
      <c r="I179" s="22" t="n">
        <v>58527.8852523103</v>
      </c>
      <c r="J179" s="22" t="n">
        <v>59499.0759400692</v>
      </c>
      <c r="K179" s="22" t="n">
        <v>60572.0270644148</v>
      </c>
      <c r="L179" s="22" t="n">
        <v>61744.2752656557</v>
      </c>
      <c r="M179" s="22" t="n">
        <v>63019.7644181967</v>
      </c>
      <c r="N179" s="23" t="n">
        <v>64425.8397770817</v>
      </c>
      <c r="O179" s="24" t="n">
        <v>66127.8181503988</v>
      </c>
      <c r="P179" s="24" t="n">
        <v>67972.8098942582</v>
      </c>
      <c r="Q179" s="24" t="n">
        <v>69895.8521324035</v>
      </c>
      <c r="R179" s="24" t="n">
        <v>71890.5566069871</v>
      </c>
      <c r="S179" s="24" t="n">
        <v>73924.1288094929</v>
      </c>
      <c r="T179" s="24" t="n">
        <v>75644.6179627868</v>
      </c>
      <c r="U179" s="24" t="n">
        <v>77542.0245669089</v>
      </c>
      <c r="V179" s="24" t="n">
        <v>79194.4847333963</v>
      </c>
      <c r="W179" s="24" t="n">
        <v>80841.7225761144</v>
      </c>
      <c r="X179" s="24" t="n">
        <v>81811.9123509351</v>
      </c>
      <c r="Y179" s="7"/>
      <c r="Z179" s="7"/>
      <c r="AA179" s="7"/>
    </row>
    <row r="180" customFormat="false" ht="12.75" hidden="false" customHeight="false" outlineLevel="0" collapsed="false">
      <c r="A180" s="25" t="s">
        <v>9</v>
      </c>
      <c r="B180" s="20" t="n">
        <f aca="false">NPV(0.1,D180:Y180)</f>
        <v>212252.385318567</v>
      </c>
      <c r="C180" s="20" t="n">
        <f aca="false">B180-B170</f>
        <v>0</v>
      </c>
      <c r="D180" s="21" t="n">
        <v>17155.5358547966</v>
      </c>
      <c r="E180" s="22" t="n">
        <v>20837.6580958876</v>
      </c>
      <c r="F180" s="22" t="n">
        <v>21225.0824257612</v>
      </c>
      <c r="G180" s="22" t="n">
        <v>21538.1861879746</v>
      </c>
      <c r="H180" s="22" t="n">
        <v>21912.9804584824</v>
      </c>
      <c r="I180" s="22" t="n">
        <v>22375.2633130682</v>
      </c>
      <c r="J180" s="22" t="n">
        <v>22913.4718976806</v>
      </c>
      <c r="K180" s="22" t="n">
        <v>23561.2029446805</v>
      </c>
      <c r="L180" s="22" t="n">
        <v>24316.8629154345</v>
      </c>
      <c r="M180" s="22" t="n">
        <v>25185.2576237579</v>
      </c>
      <c r="N180" s="23" t="n">
        <v>26194.691296895</v>
      </c>
      <c r="O180" s="24" t="n">
        <v>27354.0809148949</v>
      </c>
      <c r="P180" s="24" t="n">
        <v>28659.5061119044</v>
      </c>
      <c r="Q180" s="24" t="n">
        <v>30046.6350045844</v>
      </c>
      <c r="R180" s="24" t="n">
        <v>31509.7985526793</v>
      </c>
      <c r="S180" s="24" t="n">
        <v>33020.7212924637</v>
      </c>
      <c r="T180" s="24" t="n">
        <v>34593.0586598249</v>
      </c>
      <c r="U180" s="24" t="n">
        <v>36370.8800544349</v>
      </c>
      <c r="V180" s="24" t="n">
        <v>37934.163638191</v>
      </c>
      <c r="W180" s="24" t="n">
        <v>39510.9044407908</v>
      </c>
      <c r="X180" s="24" t="n">
        <v>40458.6955958738</v>
      </c>
      <c r="Y180" s="7"/>
      <c r="Z180" s="7"/>
      <c r="AA180" s="7"/>
    </row>
    <row r="181" customFormat="false" ht="12.75" hidden="false" customHeight="false" outlineLevel="0" collapsed="false">
      <c r="A181" s="25" t="s">
        <v>10</v>
      </c>
      <c r="B181" s="20" t="n">
        <f aca="false">NPV(0.1,D181:Y181)</f>
        <v>90018.8032020606</v>
      </c>
      <c r="C181" s="20" t="n">
        <f aca="false">B181-B171</f>
        <v>268.204826264977</v>
      </c>
      <c r="D181" s="21" t="n">
        <v>177.403356001324</v>
      </c>
      <c r="E181" s="22" t="n">
        <v>521.348823796763</v>
      </c>
      <c r="F181" s="22" t="n">
        <v>547.253600922186</v>
      </c>
      <c r="G181" s="22" t="n">
        <v>6759.72773434554</v>
      </c>
      <c r="H181" s="22" t="n">
        <v>11740.9281720016</v>
      </c>
      <c r="I181" s="22" t="n">
        <v>12643.83589606</v>
      </c>
      <c r="J181" s="22" t="n">
        <v>13213.2530248961</v>
      </c>
      <c r="K181" s="22" t="n">
        <v>13679.0610870389</v>
      </c>
      <c r="L181" s="22" t="n">
        <v>14164.4956882041</v>
      </c>
      <c r="M181" s="22" t="n">
        <v>14670.8587299745</v>
      </c>
      <c r="N181" s="23" t="n">
        <v>15199.5228626969</v>
      </c>
      <c r="O181" s="24" t="n">
        <v>15847.0164873651</v>
      </c>
      <c r="P181" s="24" t="n">
        <v>16528.6289707338</v>
      </c>
      <c r="Q181" s="24" t="n">
        <v>17246.797125352</v>
      </c>
      <c r="R181" s="24" t="n">
        <v>18004.1178752066</v>
      </c>
      <c r="S181" s="24" t="n">
        <v>18801.1224669799</v>
      </c>
      <c r="T181" s="24" t="n">
        <v>19420.4815523572</v>
      </c>
      <c r="U181" s="24" t="n">
        <v>20067.8106706061</v>
      </c>
      <c r="V181" s="24" t="n">
        <v>20745.0699228718</v>
      </c>
      <c r="W181" s="24" t="n">
        <v>21462.6247013983</v>
      </c>
      <c r="X181" s="24" t="n">
        <v>22232.5719233665</v>
      </c>
      <c r="Y181" s="7"/>
      <c r="Z181" s="7"/>
      <c r="AA181" s="7"/>
    </row>
    <row r="182" customFormat="false" ht="12.75" hidden="false" customHeight="false" outlineLevel="0" collapsed="false">
      <c r="A182" s="25" t="s">
        <v>11</v>
      </c>
      <c r="B182" s="20" t="n">
        <f aca="false">NPV(0.1,D182:Y182)</f>
        <v>105212.387143519</v>
      </c>
      <c r="C182" s="20" t="n">
        <f aca="false">B182-B172</f>
        <v>240.315448155015</v>
      </c>
      <c r="D182" s="26" t="n">
        <v>2565.36437919128</v>
      </c>
      <c r="E182" s="27" t="n">
        <v>4113.04136967394</v>
      </c>
      <c r="F182" s="27" t="n">
        <v>4088.34594228484</v>
      </c>
      <c r="G182" s="27" t="n">
        <v>16503.6119266925</v>
      </c>
      <c r="H182" s="27" t="n">
        <v>21558.4348776265</v>
      </c>
      <c r="I182" s="27" t="n">
        <v>16882.2903257237</v>
      </c>
      <c r="J182" s="27" t="n">
        <v>15244.9195238956</v>
      </c>
      <c r="K182" s="27" t="n">
        <v>15196.2434201914</v>
      </c>
      <c r="L182" s="27" t="n">
        <v>15116.728629982</v>
      </c>
      <c r="M182" s="27" t="n">
        <v>15029.5030745789</v>
      </c>
      <c r="N182" s="28" t="n">
        <v>14908.5133947384</v>
      </c>
      <c r="O182" s="24" t="n">
        <v>14808.7613050144</v>
      </c>
      <c r="P182" s="24" t="n">
        <v>14671.7980692229</v>
      </c>
      <c r="Q182" s="24" t="n">
        <v>14520.1249587054</v>
      </c>
      <c r="R182" s="24" t="n">
        <v>14327.0068788008</v>
      </c>
      <c r="S182" s="24" t="n">
        <v>12298.1166312295</v>
      </c>
      <c r="T182" s="24" t="n">
        <v>10160.0765587532</v>
      </c>
      <c r="U182" s="24" t="n">
        <v>9795.21188905206</v>
      </c>
      <c r="V182" s="24" t="n">
        <v>9391.46530104396</v>
      </c>
      <c r="W182" s="24" t="n">
        <v>15451.8377941381</v>
      </c>
      <c r="X182" s="24" t="n">
        <v>24982.9132315784</v>
      </c>
      <c r="Y182" s="7"/>
      <c r="Z182" s="7"/>
      <c r="AA182" s="7"/>
    </row>
    <row r="183" customFormat="false" ht="12.75" hidden="false" customHeight="false" outlineLevel="0" collapsed="false">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row>
    <row r="184" customFormat="false" ht="12.75" hidden="false" customHeight="false" outlineLevel="0" collapsed="false">
      <c r="A184" s="29" t="s">
        <v>29</v>
      </c>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row>
    <row r="185" customFormat="false" ht="12.75" hidden="false" customHeight="false" outlineLevel="0" collapsed="false">
      <c r="A185" s="36" t="n">
        <v>36257</v>
      </c>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row>
    <row r="186" customFormat="false" ht="12.75" hidden="false" customHeight="false" outlineLevel="0" collapsed="false">
      <c r="A186" s="10" t="s">
        <v>3</v>
      </c>
      <c r="B186" s="11" t="n">
        <v>70111.4136121643</v>
      </c>
      <c r="C186" s="7"/>
      <c r="D186" s="7"/>
      <c r="E186" s="7"/>
      <c r="F186" s="7"/>
      <c r="G186" s="7"/>
      <c r="H186" s="7"/>
      <c r="I186" s="7"/>
      <c r="J186" s="7"/>
      <c r="K186" s="7"/>
      <c r="L186" s="7"/>
      <c r="M186" s="7"/>
      <c r="N186" s="7"/>
      <c r="O186" s="7"/>
      <c r="P186" s="7"/>
      <c r="Q186" s="7"/>
      <c r="R186" s="7"/>
      <c r="S186" s="7"/>
      <c r="T186" s="7"/>
      <c r="U186" s="7"/>
      <c r="V186" s="7"/>
      <c r="W186" s="7"/>
      <c r="X186" s="7"/>
      <c r="Y186" s="7"/>
      <c r="Z186" s="7"/>
      <c r="AA186" s="7"/>
    </row>
    <row r="187" customFormat="false" ht="12.75" hidden="false" customHeight="false" outlineLevel="0" collapsed="false">
      <c r="A187" s="12" t="s">
        <v>4</v>
      </c>
      <c r="B187" s="13" t="n">
        <v>107958.371240738</v>
      </c>
      <c r="C187" s="7"/>
      <c r="D187" s="7"/>
      <c r="E187" s="7"/>
      <c r="F187" s="7"/>
      <c r="G187" s="7"/>
      <c r="H187" s="7"/>
      <c r="I187" s="7"/>
      <c r="J187" s="7"/>
      <c r="K187" s="7"/>
      <c r="L187" s="7"/>
      <c r="M187" s="7"/>
      <c r="N187" s="7"/>
      <c r="O187" s="7"/>
      <c r="P187" s="7"/>
      <c r="Q187" s="7"/>
      <c r="R187" s="7"/>
      <c r="S187" s="7"/>
      <c r="T187" s="7"/>
      <c r="U187" s="7"/>
      <c r="V187" s="7"/>
      <c r="W187" s="7"/>
      <c r="X187" s="7"/>
      <c r="Y187" s="7"/>
      <c r="Z187" s="7"/>
      <c r="AA187" s="7"/>
    </row>
    <row r="188" customFormat="false" ht="12.75" hidden="false" customHeight="false" outlineLevel="0" collapsed="false">
      <c r="A188" s="14" t="s">
        <v>5</v>
      </c>
      <c r="B188" s="15" t="s">
        <v>6</v>
      </c>
      <c r="C188" s="15" t="s">
        <v>7</v>
      </c>
      <c r="D188" s="16" t="n">
        <v>2000</v>
      </c>
      <c r="E188" s="17" t="n">
        <v>2001</v>
      </c>
      <c r="F188" s="17" t="n">
        <v>2002</v>
      </c>
      <c r="G188" s="17" t="n">
        <v>2003</v>
      </c>
      <c r="H188" s="17" t="n">
        <v>2004</v>
      </c>
      <c r="I188" s="17" t="n">
        <v>2005</v>
      </c>
      <c r="J188" s="17" t="n">
        <v>2006</v>
      </c>
      <c r="K188" s="17" t="n">
        <v>2007</v>
      </c>
      <c r="L188" s="17" t="n">
        <v>2008</v>
      </c>
      <c r="M188" s="17" t="n">
        <v>2009</v>
      </c>
      <c r="N188" s="18" t="n">
        <v>2010</v>
      </c>
      <c r="O188" s="19" t="n">
        <v>2011</v>
      </c>
      <c r="P188" s="19" t="n">
        <v>2012</v>
      </c>
      <c r="Q188" s="19" t="n">
        <v>2013</v>
      </c>
      <c r="R188" s="19" t="n">
        <v>2014</v>
      </c>
      <c r="S188" s="19" t="n">
        <v>2015</v>
      </c>
      <c r="T188" s="19" t="n">
        <v>2016</v>
      </c>
      <c r="U188" s="19" t="n">
        <v>2017</v>
      </c>
      <c r="V188" s="19" t="n">
        <v>2018</v>
      </c>
      <c r="W188" s="19" t="n">
        <v>2019</v>
      </c>
      <c r="X188" s="19" t="n">
        <v>2020</v>
      </c>
      <c r="Y188" s="7"/>
      <c r="Z188" s="7"/>
      <c r="AA188" s="7"/>
    </row>
    <row r="189" customFormat="false" ht="12.75" hidden="false" customHeight="false" outlineLevel="0" collapsed="false">
      <c r="A189" s="14" t="s">
        <v>8</v>
      </c>
      <c r="B189" s="20" t="n">
        <f aca="false">NPV(0.1,D189:Y189)</f>
        <v>475041.936614073</v>
      </c>
      <c r="C189" s="20" t="n">
        <f aca="false">B189-B179</f>
        <v>2.74153425323311</v>
      </c>
      <c r="D189" s="21" t="n">
        <v>26849.9513759836</v>
      </c>
      <c r="E189" s="22" t="n">
        <v>37745.3021971544</v>
      </c>
      <c r="F189" s="22" t="n">
        <v>38031.2201377399</v>
      </c>
      <c r="G189" s="22" t="n">
        <v>48483.1561639944</v>
      </c>
      <c r="H189" s="22" t="n">
        <v>57110.7315225719</v>
      </c>
      <c r="I189" s="22" t="n">
        <v>58528.2008092116</v>
      </c>
      <c r="J189" s="22" t="n">
        <v>59499.4009636776</v>
      </c>
      <c r="K189" s="22" t="n">
        <v>60572.3618387314</v>
      </c>
      <c r="L189" s="22" t="n">
        <v>61744.6200832019</v>
      </c>
      <c r="M189" s="22" t="n">
        <v>63020.1195802693</v>
      </c>
      <c r="N189" s="23" t="n">
        <v>64426.2055940164</v>
      </c>
      <c r="O189" s="24" t="n">
        <v>66128.1949418415</v>
      </c>
      <c r="P189" s="24" t="n">
        <v>67973.1979894442</v>
      </c>
      <c r="Q189" s="24" t="n">
        <v>69896.2518704451</v>
      </c>
      <c r="R189" s="24" t="n">
        <v>71890.9683371699</v>
      </c>
      <c r="S189" s="24" t="n">
        <v>73924.5528915812</v>
      </c>
      <c r="T189" s="24" t="n">
        <v>75645.0547673379</v>
      </c>
      <c r="U189" s="24" t="n">
        <v>77542.4744755964</v>
      </c>
      <c r="V189" s="24" t="n">
        <v>79194.9481393445</v>
      </c>
      <c r="W189" s="24" t="n">
        <v>80842.199884241</v>
      </c>
      <c r="X189" s="24" t="n">
        <v>81811.9123509351</v>
      </c>
      <c r="Y189" s="7"/>
      <c r="Z189" s="7"/>
      <c r="AA189" s="7"/>
    </row>
    <row r="190" customFormat="false" ht="12.75" hidden="false" customHeight="false" outlineLevel="0" collapsed="false">
      <c r="A190" s="25" t="s">
        <v>9</v>
      </c>
      <c r="B190" s="20" t="n">
        <f aca="false">NPV(0.1,D190:Y190)</f>
        <v>214111.782559198</v>
      </c>
      <c r="C190" s="20" t="n">
        <f aca="false">B190-B180</f>
        <v>1859.39724063114</v>
      </c>
      <c r="D190" s="21" t="n">
        <v>17260.6845471149</v>
      </c>
      <c r="E190" s="22" t="n">
        <v>21023.3206440382</v>
      </c>
      <c r="F190" s="22" t="n">
        <v>21416.3148503562</v>
      </c>
      <c r="G190" s="22" t="n">
        <v>21735.1555853075</v>
      </c>
      <c r="H190" s="22" t="n">
        <v>22115.8589377353</v>
      </c>
      <c r="I190" s="22" t="n">
        <v>22584.2281466987</v>
      </c>
      <c r="J190" s="22" t="n">
        <v>23128.70567632</v>
      </c>
      <c r="K190" s="22" t="n">
        <v>23782.8937366791</v>
      </c>
      <c r="L190" s="22" t="n">
        <v>24545.2044311931</v>
      </c>
      <c r="M190" s="22" t="n">
        <v>25420.4493849892</v>
      </c>
      <c r="N190" s="23" t="n">
        <v>26436.9388109632</v>
      </c>
      <c r="O190" s="24" t="n">
        <v>27603.5958543852</v>
      </c>
      <c r="P190" s="24" t="n">
        <v>28916.5064995794</v>
      </c>
      <c r="Q190" s="24" t="n">
        <v>30311.3454038896</v>
      </c>
      <c r="R190" s="24" t="n">
        <v>31782.4502639637</v>
      </c>
      <c r="S190" s="24" t="n">
        <v>33301.5525550866</v>
      </c>
      <c r="T190" s="24" t="n">
        <v>34882.3148603265</v>
      </c>
      <c r="U190" s="24" t="n">
        <v>36668.8139409515</v>
      </c>
      <c r="V190" s="24" t="n">
        <v>38241.0355413032</v>
      </c>
      <c r="W190" s="24" t="n">
        <v>39826.9825009963</v>
      </c>
      <c r="X190" s="24" t="n">
        <v>40783.7643705151</v>
      </c>
      <c r="Y190" s="7"/>
      <c r="Z190" s="7"/>
      <c r="AA190" s="7"/>
    </row>
    <row r="191" customFormat="false" ht="12.75" hidden="false" customHeight="false" outlineLevel="0" collapsed="false">
      <c r="A191" s="25" t="s">
        <v>10</v>
      </c>
      <c r="B191" s="20" t="n">
        <f aca="false">NPV(0.1,D191:Y191)</f>
        <v>89201.6201602414</v>
      </c>
      <c r="C191" s="20" t="n">
        <f aca="false">B191-B181</f>
        <v>-817.183041819197</v>
      </c>
      <c r="D191" s="21" t="n">
        <v>142.732841319134</v>
      </c>
      <c r="E191" s="22" t="n">
        <v>457.146796458984</v>
      </c>
      <c r="F191" s="22" t="n">
        <v>476.80211567922</v>
      </c>
      <c r="G191" s="22" t="n">
        <v>6682.50424418614</v>
      </c>
      <c r="H191" s="22" t="n">
        <v>11659.7113332932</v>
      </c>
      <c r="I191" s="22" t="n">
        <v>12558.3717768385</v>
      </c>
      <c r="J191" s="22" t="n">
        <v>13123.269344718</v>
      </c>
      <c r="K191" s="22" t="n">
        <v>13584.2658080851</v>
      </c>
      <c r="L191" s="22" t="n">
        <v>14064.5754954418</v>
      </c>
      <c r="M191" s="22" t="n">
        <v>14565.4773915541</v>
      </c>
      <c r="N191" s="23" t="n">
        <v>15088.3194610587</v>
      </c>
      <c r="O191" s="24" t="n">
        <v>15729.6035107673</v>
      </c>
      <c r="P191" s="24" t="n">
        <v>16404.5902540948</v>
      </c>
      <c r="Q191" s="24" t="n">
        <v>17115.6856284112</v>
      </c>
      <c r="R191" s="24" t="n">
        <v>17865.4532850507</v>
      </c>
      <c r="S191" s="24" t="n">
        <v>18654.3886109479</v>
      </c>
      <c r="T191" s="24" t="n">
        <v>19265.123606219</v>
      </c>
      <c r="U191" s="24" t="n">
        <v>19903.2321457046</v>
      </c>
      <c r="V191" s="24" t="n">
        <v>20570.6294146137</v>
      </c>
      <c r="W191" s="24" t="n">
        <v>21277.6323800742</v>
      </c>
      <c r="X191" s="24" t="n">
        <v>22036.2857467589</v>
      </c>
      <c r="Y191" s="7"/>
      <c r="Z191" s="7"/>
      <c r="AA191" s="7"/>
    </row>
    <row r="192" customFormat="false" ht="12.75" hidden="false" customHeight="false" outlineLevel="0" collapsed="false">
      <c r="A192" s="25" t="s">
        <v>11</v>
      </c>
      <c r="B192" s="20" t="n">
        <f aca="false">NPV(0.1,D192:Y192)</f>
        <v>104707.187146557</v>
      </c>
      <c r="C192" s="20" t="n">
        <f aca="false">B192-B182</f>
        <v>-505.199996961775</v>
      </c>
      <c r="D192" s="26" t="n">
        <v>2539.82356509981</v>
      </c>
      <c r="E192" s="27" t="n">
        <v>4067.94358936386</v>
      </c>
      <c r="F192" s="27" t="n">
        <v>4041.89522856545</v>
      </c>
      <c r="G192" s="27" t="n">
        <v>16383.1503544458</v>
      </c>
      <c r="H192" s="27" t="n">
        <v>21434.3594582124</v>
      </c>
      <c r="I192" s="27" t="n">
        <v>17034.1645672049</v>
      </c>
      <c r="J192" s="27" t="n">
        <v>15174.1886247686</v>
      </c>
      <c r="K192" s="27" t="n">
        <v>15124.8200498332</v>
      </c>
      <c r="L192" s="27" t="n">
        <v>15044.706370715</v>
      </c>
      <c r="M192" s="27" t="n">
        <v>14956.9874647121</v>
      </c>
      <c r="N192" s="28" t="n">
        <v>14835.623019128</v>
      </c>
      <c r="O192" s="24" t="n">
        <v>14735.6289768922</v>
      </c>
      <c r="P192" s="24" t="n">
        <v>14598.5721107142</v>
      </c>
      <c r="Q192" s="24" t="n">
        <v>14446.9705880552</v>
      </c>
      <c r="R192" s="24" t="n">
        <v>14254.1077129738</v>
      </c>
      <c r="S192" s="24" t="n">
        <v>12225.6763132459</v>
      </c>
      <c r="T192" s="24" t="n">
        <v>10088.3205198738</v>
      </c>
      <c r="U192" s="24" t="n">
        <v>9724.38925674138</v>
      </c>
      <c r="V192" s="24" t="n">
        <v>9321.85096451792</v>
      </c>
      <c r="W192" s="24" t="n">
        <v>15312.4338018156</v>
      </c>
      <c r="X192" s="24" t="n">
        <v>24786.6270549708</v>
      </c>
      <c r="Y192" s="7"/>
      <c r="Z192" s="7"/>
      <c r="AA192" s="7"/>
    </row>
    <row r="193" customFormat="false" ht="12.75" hidden="false" customHeight="false" outlineLevel="0" collapsed="false">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row>
    <row r="194" customFormat="false" ht="12.75" hidden="false" customHeight="false" outlineLevel="0" collapsed="false">
      <c r="A194" s="29" t="s">
        <v>30</v>
      </c>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row>
    <row r="195" customFormat="false" ht="12.75" hidden="false" customHeight="false" outlineLevel="0" collapsed="false">
      <c r="A195" s="36" t="n">
        <v>36257</v>
      </c>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row>
    <row r="196" customFormat="false" ht="12.75" hidden="false" customHeight="false" outlineLevel="0" collapsed="false">
      <c r="A196" s="10" t="s">
        <v>3</v>
      </c>
      <c r="B196" s="11" t="n">
        <v>70485.5298006089</v>
      </c>
      <c r="C196" s="7"/>
      <c r="D196" s="7"/>
      <c r="E196" s="7"/>
      <c r="F196" s="7"/>
      <c r="G196" s="7"/>
      <c r="H196" s="7"/>
      <c r="I196" s="7"/>
      <c r="J196" s="7"/>
      <c r="K196" s="7"/>
      <c r="L196" s="7"/>
      <c r="M196" s="7"/>
      <c r="N196" s="7"/>
      <c r="O196" s="7"/>
      <c r="P196" s="7"/>
      <c r="Q196" s="7"/>
      <c r="R196" s="7"/>
      <c r="S196" s="7"/>
      <c r="T196" s="7"/>
      <c r="U196" s="7"/>
      <c r="V196" s="7"/>
      <c r="W196" s="7"/>
      <c r="X196" s="7"/>
      <c r="Y196" s="7"/>
      <c r="Z196" s="7"/>
      <c r="AA196" s="7"/>
    </row>
    <row r="197" customFormat="false" ht="12.75" hidden="false" customHeight="false" outlineLevel="0" collapsed="false">
      <c r="A197" s="12" t="s">
        <v>4</v>
      </c>
      <c r="B197" s="13" t="n">
        <v>108449.844921066</v>
      </c>
      <c r="C197" s="7"/>
      <c r="D197" s="7"/>
      <c r="E197" s="7"/>
      <c r="F197" s="7"/>
      <c r="G197" s="7"/>
      <c r="H197" s="7"/>
      <c r="I197" s="7"/>
      <c r="J197" s="7"/>
      <c r="K197" s="7"/>
      <c r="L197" s="7"/>
      <c r="M197" s="7"/>
      <c r="N197" s="7"/>
      <c r="O197" s="7"/>
      <c r="P197" s="7"/>
      <c r="Q197" s="7"/>
      <c r="R197" s="7"/>
      <c r="S197" s="7"/>
      <c r="T197" s="7"/>
      <c r="U197" s="7"/>
      <c r="V197" s="7"/>
      <c r="W197" s="7"/>
      <c r="X197" s="7"/>
      <c r="Y197" s="7"/>
      <c r="Z197" s="7"/>
      <c r="AA197" s="7"/>
    </row>
    <row r="198" customFormat="false" ht="12.75" hidden="false" customHeight="false" outlineLevel="0" collapsed="false">
      <c r="A198" s="14" t="s">
        <v>5</v>
      </c>
      <c r="B198" s="15" t="s">
        <v>6</v>
      </c>
      <c r="C198" s="15" t="s">
        <v>7</v>
      </c>
      <c r="D198" s="16" t="n">
        <v>2000</v>
      </c>
      <c r="E198" s="17" t="n">
        <v>2001</v>
      </c>
      <c r="F198" s="17" t="n">
        <v>2002</v>
      </c>
      <c r="G198" s="17" t="n">
        <v>2003</v>
      </c>
      <c r="H198" s="17" t="n">
        <v>2004</v>
      </c>
      <c r="I198" s="17" t="n">
        <v>2005</v>
      </c>
      <c r="J198" s="17" t="n">
        <v>2006</v>
      </c>
      <c r="K198" s="17" t="n">
        <v>2007</v>
      </c>
      <c r="L198" s="17" t="n">
        <v>2008</v>
      </c>
      <c r="M198" s="17" t="n">
        <v>2009</v>
      </c>
      <c r="N198" s="18" t="n">
        <v>2010</v>
      </c>
      <c r="O198" s="19" t="n">
        <v>2011</v>
      </c>
      <c r="P198" s="19" t="n">
        <v>2012</v>
      </c>
      <c r="Q198" s="19" t="n">
        <v>2013</v>
      </c>
      <c r="R198" s="19" t="n">
        <v>2014</v>
      </c>
      <c r="S198" s="19" t="n">
        <v>2015</v>
      </c>
      <c r="T198" s="19" t="n">
        <v>2016</v>
      </c>
      <c r="U198" s="19" t="n">
        <v>2017</v>
      </c>
      <c r="V198" s="19" t="n">
        <v>2018</v>
      </c>
      <c r="W198" s="19" t="n">
        <v>2019</v>
      </c>
      <c r="X198" s="19" t="n">
        <v>2020</v>
      </c>
      <c r="Y198" s="7"/>
      <c r="Z198" s="7"/>
      <c r="AA198" s="7"/>
    </row>
    <row r="199" customFormat="false" ht="12.75" hidden="false" customHeight="false" outlineLevel="0" collapsed="false">
      <c r="A199" s="14" t="s">
        <v>8</v>
      </c>
      <c r="B199" s="20" t="n">
        <f aca="false">NPV(0.1,D199:Y199)</f>
        <v>475041.211774132</v>
      </c>
      <c r="C199" s="20" t="n">
        <f aca="false">B199-B189</f>
        <v>-0.724839941423852</v>
      </c>
      <c r="D199" s="21" t="n">
        <v>26849.9093945956</v>
      </c>
      <c r="E199" s="22" t="n">
        <v>37745.2280700178</v>
      </c>
      <c r="F199" s="22" t="n">
        <v>38031.1437867892</v>
      </c>
      <c r="G199" s="22" t="n">
        <v>48483.0775225152</v>
      </c>
      <c r="H199" s="22" t="n">
        <v>57110.6505218483</v>
      </c>
      <c r="I199" s="22" t="n">
        <v>58528.1173784664</v>
      </c>
      <c r="J199" s="22" t="n">
        <v>59499.3150300099</v>
      </c>
      <c r="K199" s="22" t="n">
        <v>60572.2733270538</v>
      </c>
      <c r="L199" s="22" t="n">
        <v>61744.5289161739</v>
      </c>
      <c r="M199" s="22" t="n">
        <v>63020.0256782305</v>
      </c>
      <c r="N199" s="23" t="n">
        <v>64426.1088749164</v>
      </c>
      <c r="O199" s="24" t="n">
        <v>66128.0953211685</v>
      </c>
      <c r="P199" s="24" t="n">
        <v>67973.0953801511</v>
      </c>
      <c r="Q199" s="24" t="n">
        <v>69896.1461828732</v>
      </c>
      <c r="R199" s="24" t="n">
        <v>71890.8594789708</v>
      </c>
      <c r="S199" s="24" t="n">
        <v>73924.4407676361</v>
      </c>
      <c r="T199" s="24" t="n">
        <v>75644.9392796744</v>
      </c>
      <c r="U199" s="24" t="n">
        <v>77542.355523303</v>
      </c>
      <c r="V199" s="24" t="n">
        <v>79194.8256184823</v>
      </c>
      <c r="W199" s="24" t="n">
        <v>80842.0736877529</v>
      </c>
      <c r="X199" s="24" t="n">
        <v>81811.9123509351</v>
      </c>
      <c r="Y199" s="7"/>
      <c r="Z199" s="7"/>
      <c r="AA199" s="7"/>
    </row>
    <row r="200" customFormat="false" ht="12.75" hidden="false" customHeight="false" outlineLevel="0" collapsed="false">
      <c r="A200" s="25" t="s">
        <v>9</v>
      </c>
      <c r="B200" s="20" t="n">
        <f aca="false">NPV(0.1,D200:Y200)</f>
        <v>213620.435290192</v>
      </c>
      <c r="C200" s="20" t="n">
        <f aca="false">B200-B190</f>
        <v>-491.34726900587</v>
      </c>
      <c r="D200" s="21" t="n">
        <v>17232.8318529274</v>
      </c>
      <c r="E200" s="22" t="n">
        <v>20974.3714716401</v>
      </c>
      <c r="F200" s="22" t="n">
        <v>21366.1140025434</v>
      </c>
      <c r="G200" s="22" t="n">
        <v>21683.531286319</v>
      </c>
      <c r="H200" s="22" t="n">
        <v>22062.7052370619</v>
      </c>
      <c r="I200" s="22" t="n">
        <v>22528.8296561996</v>
      </c>
      <c r="J200" s="22" t="n">
        <v>23071.6497264156</v>
      </c>
      <c r="K200" s="22" t="n">
        <v>23724.1306035872</v>
      </c>
      <c r="L200" s="22" t="n">
        <v>24484.682899418</v>
      </c>
      <c r="M200" s="22" t="n">
        <v>25358.1167025705</v>
      </c>
      <c r="N200" s="23" t="n">
        <v>26372.7406433816</v>
      </c>
      <c r="O200" s="24" t="n">
        <v>27537.4762370858</v>
      </c>
      <c r="P200" s="24" t="n">
        <v>28848.4077890706</v>
      </c>
      <c r="Q200" s="24" t="n">
        <v>30241.2082273752</v>
      </c>
      <c r="R200" s="24" t="n">
        <v>31710.2134674634</v>
      </c>
      <c r="S200" s="24" t="n">
        <v>33227.153150001</v>
      </c>
      <c r="T200" s="24" t="n">
        <v>34805.6879683979</v>
      </c>
      <c r="U200" s="24" t="n">
        <v>36589.8927375747</v>
      </c>
      <c r="V200" s="24" t="n">
        <v>38159.7511971347</v>
      </c>
      <c r="W200" s="24" t="n">
        <v>39743.4139654665</v>
      </c>
      <c r="X200" s="24" t="n">
        <v>40697.8187613021</v>
      </c>
      <c r="Y200" s="7"/>
      <c r="Z200" s="7"/>
      <c r="AA200" s="7"/>
    </row>
    <row r="201" customFormat="false" ht="12.75" hidden="false" customHeight="false" outlineLevel="0" collapsed="false">
      <c r="A201" s="25" t="s">
        <v>10</v>
      </c>
      <c r="B201" s="20" t="n">
        <f aca="false">NPV(0.1,D201:Y201)</f>
        <v>89417.4501353094</v>
      </c>
      <c r="C201" s="20" t="n">
        <f aca="false">B201-B191</f>
        <v>215.829975067943</v>
      </c>
      <c r="D201" s="21" t="n">
        <v>151.936588541818</v>
      </c>
      <c r="E201" s="22" t="n">
        <v>474.049561029896</v>
      </c>
      <c r="F201" s="22" t="n">
        <v>495.219765311273</v>
      </c>
      <c r="G201" s="22" t="n">
        <v>6702.64381706265</v>
      </c>
      <c r="H201" s="22" t="n">
        <v>11680.8778590262</v>
      </c>
      <c r="I201" s="22" t="n">
        <v>12581.0347177096</v>
      </c>
      <c r="J201" s="22" t="n">
        <v>13147.1281952954</v>
      </c>
      <c r="K201" s="22" t="n">
        <v>13609.3978587421</v>
      </c>
      <c r="L201" s="22" t="n">
        <v>14091.0636683094</v>
      </c>
      <c r="M201" s="22" t="n">
        <v>14593.4106745176</v>
      </c>
      <c r="N201" s="23" t="n">
        <v>15117.7933759772</v>
      </c>
      <c r="O201" s="24" t="n">
        <v>15760.7206186405</v>
      </c>
      <c r="P201" s="24" t="n">
        <v>16437.4607001155</v>
      </c>
      <c r="Q201" s="24" t="n">
        <v>17150.4277300802</v>
      </c>
      <c r="R201" s="24" t="n">
        <v>17902.1941667827</v>
      </c>
      <c r="S201" s="24" t="n">
        <v>18693.2648888694</v>
      </c>
      <c r="T201" s="24" t="n">
        <v>19306.2821271583</v>
      </c>
      <c r="U201" s="24" t="n">
        <v>19946.8307846902</v>
      </c>
      <c r="V201" s="24" t="n">
        <v>20616.8379355441</v>
      </c>
      <c r="W201" s="24" t="n">
        <v>21326.5428845465</v>
      </c>
      <c r="X201" s="24" t="n">
        <v>22088.182257112</v>
      </c>
      <c r="Y201" s="7"/>
      <c r="Z201" s="7"/>
      <c r="AA201" s="7"/>
    </row>
    <row r="202" customFormat="false" ht="12.75" hidden="false" customHeight="false" outlineLevel="0" collapsed="false">
      <c r="A202" s="25" t="s">
        <v>11</v>
      </c>
      <c r="B202" s="20" t="n">
        <f aca="false">NPV(0.1,D202:Y202)</f>
        <v>104840.802678007</v>
      </c>
      <c r="C202" s="20" t="n">
        <f aca="false">B202-B192</f>
        <v>133.615531450298</v>
      </c>
      <c r="D202" s="26" t="n">
        <v>2546.58905580967</v>
      </c>
      <c r="E202" s="27" t="n">
        <v>4079.83338402844</v>
      </c>
      <c r="F202" s="27" t="n">
        <v>4054.08897635982</v>
      </c>
      <c r="G202" s="27" t="n">
        <v>16414.7220696702</v>
      </c>
      <c r="H202" s="27" t="n">
        <v>21466.8664869317</v>
      </c>
      <c r="I202" s="27" t="n">
        <v>16994.6171340046</v>
      </c>
      <c r="J202" s="27" t="n">
        <v>15192.9351536531</v>
      </c>
      <c r="K202" s="27" t="n">
        <v>15143.7489509909</v>
      </c>
      <c r="L202" s="27" t="n">
        <v>15063.7928447903</v>
      </c>
      <c r="M202" s="27" t="n">
        <v>14976.2035467266</v>
      </c>
      <c r="N202" s="28" t="n">
        <v>14854.937289781</v>
      </c>
      <c r="O202" s="24" t="n">
        <v>14755.0062497007</v>
      </c>
      <c r="P202" s="24" t="n">
        <v>14617.9730930293</v>
      </c>
      <c r="Q202" s="24" t="n">
        <v>14466.3515138315</v>
      </c>
      <c r="R202" s="24" t="n">
        <v>14273.4199449982</v>
      </c>
      <c r="S202" s="24" t="n">
        <v>12244.8659123474</v>
      </c>
      <c r="T202" s="24" t="n">
        <v>10107.3277784376</v>
      </c>
      <c r="U202" s="24" t="n">
        <v>9743.14819363424</v>
      </c>
      <c r="V202" s="24" t="n">
        <v>9340.28877829903</v>
      </c>
      <c r="W202" s="24" t="n">
        <v>15349.2378306039</v>
      </c>
      <c r="X202" s="24" t="n">
        <v>24838.5235653239</v>
      </c>
      <c r="Y202" s="7"/>
      <c r="Z202" s="7"/>
      <c r="AA202" s="7"/>
    </row>
    <row r="203" customFormat="false" ht="12.75" hidden="false" customHeight="false" outlineLevel="0" collapsed="false">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row>
    <row r="204" customFormat="false" ht="12.75" hidden="false" customHeight="false" outlineLevel="0" collapsed="false">
      <c r="A204" s="29" t="s">
        <v>31</v>
      </c>
      <c r="B204" s="7"/>
      <c r="C204" s="7"/>
      <c r="D204" s="7"/>
      <c r="E204" s="7"/>
      <c r="F204" s="7"/>
      <c r="G204" s="7"/>
      <c r="H204" s="7"/>
      <c r="I204" s="7"/>
      <c r="J204" s="7"/>
      <c r="K204" s="7"/>
      <c r="L204" s="7"/>
      <c r="M204" s="7"/>
      <c r="N204" s="7"/>
      <c r="O204" s="7"/>
      <c r="P204" s="7"/>
      <c r="Q204" s="7"/>
      <c r="R204" s="7"/>
      <c r="S204" s="7"/>
      <c r="T204" s="7"/>
      <c r="U204" s="7"/>
      <c r="V204" s="7"/>
      <c r="W204" s="7"/>
      <c r="X204" s="7"/>
      <c r="Y204" s="7"/>
      <c r="Z204" s="7"/>
      <c r="AA204" s="7"/>
    </row>
    <row r="205" customFormat="false" ht="12.75" hidden="false" customHeight="false" outlineLevel="0" collapsed="false">
      <c r="A205" s="36" t="n">
        <v>36258</v>
      </c>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row>
    <row r="206" customFormat="false" ht="12.75" hidden="false" customHeight="false" outlineLevel="0" collapsed="false">
      <c r="A206" s="10" t="s">
        <v>3</v>
      </c>
      <c r="B206" s="11" t="n">
        <v>72416.0311633891</v>
      </c>
      <c r="C206" s="7"/>
      <c r="D206" s="7"/>
      <c r="E206" s="7"/>
      <c r="F206" s="7"/>
      <c r="G206" s="7"/>
      <c r="H206" s="7"/>
      <c r="I206" s="7"/>
      <c r="J206" s="7"/>
      <c r="K206" s="7"/>
      <c r="L206" s="7"/>
      <c r="M206" s="7"/>
      <c r="N206" s="7"/>
      <c r="O206" s="7"/>
      <c r="P206" s="7"/>
      <c r="Q206" s="7"/>
      <c r="R206" s="7"/>
      <c r="S206" s="7"/>
      <c r="T206" s="7"/>
      <c r="U206" s="7"/>
      <c r="V206" s="7"/>
      <c r="W206" s="7"/>
      <c r="X206" s="7"/>
      <c r="Y206" s="7"/>
      <c r="Z206" s="7"/>
      <c r="AA206" s="7"/>
    </row>
    <row r="207" customFormat="false" ht="12.75" hidden="false" customHeight="false" outlineLevel="0" collapsed="false">
      <c r="A207" s="12" t="s">
        <v>4</v>
      </c>
      <c r="B207" s="13" t="n">
        <v>110990.889299012</v>
      </c>
      <c r="C207" s="7"/>
      <c r="D207" s="7"/>
      <c r="E207" s="7"/>
      <c r="F207" s="7"/>
      <c r="G207" s="7"/>
      <c r="H207" s="7"/>
      <c r="I207" s="7"/>
      <c r="J207" s="7"/>
      <c r="K207" s="7"/>
      <c r="L207" s="7"/>
      <c r="M207" s="7"/>
      <c r="N207" s="7"/>
      <c r="O207" s="7"/>
      <c r="P207" s="7"/>
      <c r="Q207" s="7"/>
      <c r="R207" s="7"/>
      <c r="S207" s="7"/>
      <c r="T207" s="7"/>
      <c r="U207" s="7"/>
      <c r="V207" s="7"/>
      <c r="W207" s="7"/>
      <c r="X207" s="7"/>
      <c r="Y207" s="7"/>
      <c r="Z207" s="7"/>
      <c r="AA207" s="7"/>
    </row>
    <row r="208" customFormat="false" ht="12.75" hidden="false" customHeight="false" outlineLevel="0" collapsed="false">
      <c r="A208" s="14" t="s">
        <v>5</v>
      </c>
      <c r="B208" s="15" t="s">
        <v>6</v>
      </c>
      <c r="C208" s="15" t="s">
        <v>7</v>
      </c>
      <c r="D208" s="16" t="n">
        <v>2000</v>
      </c>
      <c r="E208" s="17" t="n">
        <v>2001</v>
      </c>
      <c r="F208" s="17" t="n">
        <v>2002</v>
      </c>
      <c r="G208" s="17" t="n">
        <v>2003</v>
      </c>
      <c r="H208" s="17" t="n">
        <v>2004</v>
      </c>
      <c r="I208" s="17" t="n">
        <v>2005</v>
      </c>
      <c r="J208" s="17" t="n">
        <v>2006</v>
      </c>
      <c r="K208" s="17" t="n">
        <v>2007</v>
      </c>
      <c r="L208" s="17" t="n">
        <v>2008</v>
      </c>
      <c r="M208" s="17" t="n">
        <v>2009</v>
      </c>
      <c r="N208" s="18" t="n">
        <v>2010</v>
      </c>
      <c r="O208" s="19" t="n">
        <v>2011</v>
      </c>
      <c r="P208" s="19" t="n">
        <v>2012</v>
      </c>
      <c r="Q208" s="19" t="n">
        <v>2013</v>
      </c>
      <c r="R208" s="19" t="n">
        <v>2014</v>
      </c>
      <c r="S208" s="19" t="n">
        <v>2015</v>
      </c>
      <c r="T208" s="19" t="n">
        <v>2016</v>
      </c>
      <c r="U208" s="19" t="n">
        <v>2017</v>
      </c>
      <c r="V208" s="19" t="n">
        <v>2018</v>
      </c>
      <c r="W208" s="19" t="n">
        <v>2019</v>
      </c>
      <c r="X208" s="19" t="n">
        <v>2020</v>
      </c>
      <c r="Y208" s="7"/>
      <c r="Z208" s="7"/>
      <c r="AA208" s="7"/>
    </row>
    <row r="209" customFormat="false" ht="12.75" hidden="false" customHeight="false" outlineLevel="0" collapsed="false">
      <c r="A209" s="14" t="s">
        <v>8</v>
      </c>
      <c r="B209" s="20" t="n">
        <f aca="false">NPV(0.1,D209:Y209)</f>
        <v>478914.879290889</v>
      </c>
      <c r="C209" s="20" t="n">
        <f aca="false">B209-B199</f>
        <v>3873.66751675698</v>
      </c>
      <c r="D209" s="21" t="n">
        <v>27066.1160352032</v>
      </c>
      <c r="E209" s="22" t="n">
        <v>38051.7062974691</v>
      </c>
      <c r="F209" s="22" t="n">
        <v>38339.7910366597</v>
      </c>
      <c r="G209" s="22" t="n">
        <v>48878.4418716986</v>
      </c>
      <c r="H209" s="22" t="n">
        <v>57577.5487767858</v>
      </c>
      <c r="I209" s="22" t="n">
        <v>59006.5732718893</v>
      </c>
      <c r="J209" s="22" t="n">
        <v>59985.6061247518</v>
      </c>
      <c r="K209" s="22" t="n">
        <v>61067.2323565216</v>
      </c>
      <c r="L209" s="22" t="n">
        <v>62248.9680526402</v>
      </c>
      <c r="M209" s="22" t="n">
        <v>63534.7893760415</v>
      </c>
      <c r="N209" s="23" t="n">
        <v>64952.2668939491</v>
      </c>
      <c r="O209" s="24" t="n">
        <v>66668.0915234808</v>
      </c>
      <c r="P209" s="24" t="n">
        <v>68528.1021318873</v>
      </c>
      <c r="Q209" s="24" t="n">
        <v>70466.7997293226</v>
      </c>
      <c r="R209" s="24" t="n">
        <v>72477.7431033096</v>
      </c>
      <c r="S209" s="24" t="n">
        <v>74527.8669630515</v>
      </c>
      <c r="T209" s="24" t="n">
        <v>76262.2922612376</v>
      </c>
      <c r="U209" s="24" t="n">
        <v>78175.0844510979</v>
      </c>
      <c r="V209" s="24" t="n">
        <v>79840.8994282789</v>
      </c>
      <c r="W209" s="24" t="n">
        <v>81501.4383547474</v>
      </c>
      <c r="X209" s="24" t="n">
        <v>82479.0702043249</v>
      </c>
      <c r="Y209" s="7"/>
      <c r="Z209" s="7"/>
      <c r="AA209" s="7"/>
    </row>
    <row r="210" customFormat="false" ht="12.75" hidden="false" customHeight="false" outlineLevel="0" collapsed="false">
      <c r="A210" s="25" t="s">
        <v>9</v>
      </c>
      <c r="B210" s="20" t="n">
        <f aca="false">NPV(0.1,D210:Y210)</f>
        <v>214978.609345339</v>
      </c>
      <c r="C210" s="20" t="n">
        <f aca="false">B210-B200</f>
        <v>1358.17405514658</v>
      </c>
      <c r="D210" s="21" t="n">
        <v>17347.1453031004</v>
      </c>
      <c r="E210" s="22" t="n">
        <v>21106.0413609252</v>
      </c>
      <c r="F210" s="22" t="n">
        <v>21499.911199182</v>
      </c>
      <c r="G210" s="22" t="n">
        <v>21818.8044672534</v>
      </c>
      <c r="H210" s="22" t="n">
        <v>22199.926507996</v>
      </c>
      <c r="I210" s="22" t="n">
        <v>22669.4386927104</v>
      </c>
      <c r="J210" s="22" t="n">
        <v>23215.5975839539</v>
      </c>
      <c r="K210" s="22" t="n">
        <v>23872.2844576152</v>
      </c>
      <c r="L210" s="22" t="n">
        <v>24637.8954775288</v>
      </c>
      <c r="M210" s="22" t="n">
        <v>25517.2794634946</v>
      </c>
      <c r="N210" s="23" t="n">
        <v>26538.9771508879</v>
      </c>
      <c r="O210" s="24" t="n">
        <v>27711.9826296683</v>
      </c>
      <c r="P210" s="24" t="n">
        <v>29032.3464270433</v>
      </c>
      <c r="Q210" s="24" t="n">
        <v>30435.2097613154</v>
      </c>
      <c r="R210" s="24" t="n">
        <v>31914.8602706263</v>
      </c>
      <c r="S210" s="24" t="n">
        <v>33442.7617765662</v>
      </c>
      <c r="T210" s="24" t="n">
        <v>35032.686231291</v>
      </c>
      <c r="U210" s="24" t="n">
        <v>36829.9267664036</v>
      </c>
      <c r="V210" s="24" t="n">
        <v>38411.0009987996</v>
      </c>
      <c r="W210" s="24" t="n">
        <v>40005.8705774826</v>
      </c>
      <c r="X210" s="24" t="n">
        <v>40966.4066003607</v>
      </c>
      <c r="Y210" s="7"/>
      <c r="Z210" s="7"/>
      <c r="AA210" s="7"/>
    </row>
    <row r="211" customFormat="false" ht="12.75" hidden="false" customHeight="false" outlineLevel="0" collapsed="false">
      <c r="A211" s="25" t="s">
        <v>10</v>
      </c>
      <c r="B211" s="20" t="n">
        <f aca="false">NPV(0.1,D211:Y211)</f>
        <v>90511.5105529681</v>
      </c>
      <c r="C211" s="20" t="n">
        <f aca="false">B211-B201</f>
        <v>1094.06041765871</v>
      </c>
      <c r="D211" s="21" t="n">
        <v>175.946590336563</v>
      </c>
      <c r="E211" s="22" t="n">
        <v>516.005778017978</v>
      </c>
      <c r="F211" s="22" t="n">
        <v>538.487289632867</v>
      </c>
      <c r="G211" s="22" t="n">
        <v>6798.76973305324</v>
      </c>
      <c r="H211" s="22" t="n">
        <v>11819.1113480246</v>
      </c>
      <c r="I211" s="22" t="n">
        <v>12725.626153178</v>
      </c>
      <c r="J211" s="22" t="n">
        <v>13296.1293059622</v>
      </c>
      <c r="K211" s="22" t="n">
        <v>13763.0092265769</v>
      </c>
      <c r="L211" s="22" t="n">
        <v>14249.4992369466</v>
      </c>
      <c r="M211" s="22" t="n">
        <v>14756.8987940691</v>
      </c>
      <c r="N211" s="23" t="n">
        <v>15286.5779323992</v>
      </c>
      <c r="O211" s="24" t="n">
        <v>15935.8524819599</v>
      </c>
      <c r="P211" s="24" t="n">
        <v>16619.2909778033</v>
      </c>
      <c r="Q211" s="24" t="n">
        <v>17339.3326622468</v>
      </c>
      <c r="R211" s="24" t="n">
        <v>18098.5771004405</v>
      </c>
      <c r="S211" s="24" t="n">
        <v>18897.5584106167</v>
      </c>
      <c r="T211" s="24" t="n">
        <v>19517.1181865998</v>
      </c>
      <c r="U211" s="24" t="n">
        <v>20164.5397072519</v>
      </c>
      <c r="V211" s="24" t="n">
        <v>20841.7737136347</v>
      </c>
      <c r="W211" s="24" t="n">
        <v>21559.1942390159</v>
      </c>
      <c r="X211" s="24" t="n">
        <v>22328.8506643124</v>
      </c>
      <c r="Y211" s="7"/>
      <c r="Z211" s="7"/>
      <c r="AA211" s="7"/>
    </row>
    <row r="212" customFormat="false" ht="12.75" hidden="false" customHeight="false" outlineLevel="0" collapsed="false">
      <c r="A212" s="25" t="s">
        <v>11</v>
      </c>
      <c r="B212" s="20" t="n">
        <f aca="false">NPV(0.1,D212:Y212)</f>
        <v>105568.076459372</v>
      </c>
      <c r="C212" s="20" t="n">
        <f aca="false">B212-B202</f>
        <v>727.27378136458</v>
      </c>
      <c r="D212" s="26" t="n">
        <v>2571.3765338673</v>
      </c>
      <c r="E212" s="27" t="n">
        <v>4122.35887398614</v>
      </c>
      <c r="F212" s="27" t="n">
        <v>4096.62461430949</v>
      </c>
      <c r="G212" s="27" t="n">
        <v>16574.0279102227</v>
      </c>
      <c r="H212" s="27" t="n">
        <v>21668.7936396337</v>
      </c>
      <c r="I212" s="27" t="n">
        <v>16871.1463174472</v>
      </c>
      <c r="J212" s="27" t="n">
        <v>15301.7768344925</v>
      </c>
      <c r="K212" s="27" t="n">
        <v>15252.2033593174</v>
      </c>
      <c r="L212" s="27" t="n">
        <v>15171.6903439923</v>
      </c>
      <c r="M212" s="27" t="n">
        <v>15083.3607998757</v>
      </c>
      <c r="N212" s="28" t="n">
        <v>14961.1562806325</v>
      </c>
      <c r="O212" s="24" t="n">
        <v>14860.3399829226</v>
      </c>
      <c r="P212" s="24" t="n">
        <v>14722.1900685984</v>
      </c>
      <c r="Q212" s="24" t="n">
        <v>14569.2005202115</v>
      </c>
      <c r="R212" s="24" t="n">
        <v>14374.6285553399</v>
      </c>
      <c r="S212" s="24" t="n">
        <v>12344.1388658436</v>
      </c>
      <c r="T212" s="24" t="n">
        <v>10203.72676424</v>
      </c>
      <c r="U212" s="24" t="n">
        <v>9836.32900454718</v>
      </c>
      <c r="V212" s="24" t="n">
        <v>9429.8825521427</v>
      </c>
      <c r="W212" s="24" t="n">
        <v>15502.1201779657</v>
      </c>
      <c r="X212" s="24" t="n">
        <v>25079.1919725243</v>
      </c>
      <c r="Y212" s="7"/>
      <c r="Z212" s="7"/>
      <c r="AA212" s="7"/>
    </row>
    <row r="213" customFormat="false" ht="12.75" hidden="false" customHeight="false" outlineLevel="0" collapsed="false">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row>
    <row r="214" customFormat="false" ht="12.75" hidden="false" customHeight="false" outlineLevel="0" collapsed="false">
      <c r="A214" s="29" t="s">
        <v>32</v>
      </c>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row>
    <row r="215" customFormat="false" ht="12.75" hidden="false" customHeight="false" outlineLevel="0" collapsed="false">
      <c r="A215" s="36" t="n">
        <v>36260</v>
      </c>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row>
    <row r="216" customFormat="false" ht="12.75" hidden="false" customHeight="false" outlineLevel="0" collapsed="false">
      <c r="A216" s="10" t="s">
        <v>3</v>
      </c>
      <c r="B216" s="11" t="n">
        <v>72416.0311633891</v>
      </c>
      <c r="C216" s="7"/>
      <c r="D216" s="7"/>
      <c r="E216" s="7"/>
      <c r="F216" s="7"/>
      <c r="G216" s="7"/>
      <c r="H216" s="7"/>
      <c r="I216" s="7"/>
      <c r="J216" s="7"/>
      <c r="K216" s="7"/>
      <c r="L216" s="7"/>
      <c r="M216" s="7"/>
      <c r="N216" s="7"/>
      <c r="O216" s="7"/>
      <c r="P216" s="7"/>
      <c r="Q216" s="7"/>
      <c r="R216" s="7"/>
      <c r="S216" s="7"/>
      <c r="T216" s="7"/>
      <c r="U216" s="7"/>
      <c r="V216" s="7"/>
      <c r="W216" s="7"/>
      <c r="X216" s="7"/>
      <c r="Y216" s="7"/>
      <c r="Z216" s="7"/>
      <c r="AA216" s="7"/>
    </row>
    <row r="217" customFormat="false" ht="12.75" hidden="false" customHeight="false" outlineLevel="0" collapsed="false">
      <c r="A217" s="12" t="s">
        <v>4</v>
      </c>
      <c r="B217" s="13" t="n">
        <v>110990.889299012</v>
      </c>
      <c r="C217" s="7"/>
      <c r="D217" s="7"/>
      <c r="E217" s="7"/>
      <c r="F217" s="7"/>
      <c r="G217" s="7"/>
      <c r="H217" s="7"/>
      <c r="I217" s="7"/>
      <c r="J217" s="7"/>
      <c r="K217" s="7"/>
      <c r="L217" s="7"/>
      <c r="M217" s="7"/>
      <c r="N217" s="7"/>
      <c r="O217" s="7"/>
      <c r="P217" s="7"/>
      <c r="Q217" s="7"/>
      <c r="R217" s="7"/>
      <c r="S217" s="7"/>
      <c r="T217" s="7"/>
      <c r="U217" s="7"/>
      <c r="V217" s="7"/>
      <c r="W217" s="7"/>
      <c r="X217" s="7"/>
      <c r="Y217" s="7"/>
      <c r="Z217" s="7"/>
      <c r="AA217" s="7"/>
    </row>
    <row r="218" customFormat="false" ht="12.75" hidden="false" customHeight="false" outlineLevel="0" collapsed="false">
      <c r="A218" s="14" t="s">
        <v>5</v>
      </c>
      <c r="B218" s="15" t="s">
        <v>6</v>
      </c>
      <c r="C218" s="15" t="s">
        <v>7</v>
      </c>
      <c r="D218" s="16" t="n">
        <v>2000</v>
      </c>
      <c r="E218" s="17" t="n">
        <v>2001</v>
      </c>
      <c r="F218" s="17" t="n">
        <v>2002</v>
      </c>
      <c r="G218" s="17" t="n">
        <v>2003</v>
      </c>
      <c r="H218" s="17" t="n">
        <v>2004</v>
      </c>
      <c r="I218" s="17" t="n">
        <v>2005</v>
      </c>
      <c r="J218" s="17" t="n">
        <v>2006</v>
      </c>
      <c r="K218" s="17" t="n">
        <v>2007</v>
      </c>
      <c r="L218" s="17" t="n">
        <v>2008</v>
      </c>
      <c r="M218" s="17" t="n">
        <v>2009</v>
      </c>
      <c r="N218" s="18" t="n">
        <v>2010</v>
      </c>
      <c r="O218" s="19" t="n">
        <v>2011</v>
      </c>
      <c r="P218" s="19" t="n">
        <v>2012</v>
      </c>
      <c r="Q218" s="19" t="n">
        <v>2013</v>
      </c>
      <c r="R218" s="19" t="n">
        <v>2014</v>
      </c>
      <c r="S218" s="19" t="n">
        <v>2015</v>
      </c>
      <c r="T218" s="19" t="n">
        <v>2016</v>
      </c>
      <c r="U218" s="19" t="n">
        <v>2017</v>
      </c>
      <c r="V218" s="19" t="n">
        <v>2018</v>
      </c>
      <c r="W218" s="19" t="n">
        <v>2019</v>
      </c>
      <c r="X218" s="19" t="n">
        <v>2020</v>
      </c>
      <c r="Y218" s="7"/>
      <c r="Z218" s="7"/>
      <c r="AA218" s="7"/>
    </row>
    <row r="219" customFormat="false" ht="12.75" hidden="false" customHeight="false" outlineLevel="0" collapsed="false">
      <c r="A219" s="14" t="s">
        <v>8</v>
      </c>
      <c r="B219" s="20" t="n">
        <f aca="false">NPV(0.1,D219:Y219)</f>
        <v>478972.692191098</v>
      </c>
      <c r="C219" s="20" t="n">
        <f aca="false">B219-B209</f>
        <v>57.8129002089263</v>
      </c>
      <c r="D219" s="21" t="n">
        <v>27070.9950689876</v>
      </c>
      <c r="E219" s="22" t="n">
        <v>38057.3094825924</v>
      </c>
      <c r="F219" s="22" t="n">
        <v>38345.4875301028</v>
      </c>
      <c r="G219" s="22" t="n">
        <v>48884.2068552953</v>
      </c>
      <c r="H219" s="22" t="n">
        <v>57583.4051961126</v>
      </c>
      <c r="I219" s="22" t="n">
        <v>59012.5469926428</v>
      </c>
      <c r="J219" s="22" t="n">
        <v>59991.7213441001</v>
      </c>
      <c r="K219" s="22" t="n">
        <v>61073.5264119321</v>
      </c>
      <c r="L219" s="22" t="n">
        <v>62255.4776559316</v>
      </c>
      <c r="M219" s="22" t="n">
        <v>63541.5529077109</v>
      </c>
      <c r="N219" s="23" t="n">
        <v>64959.3327461746</v>
      </c>
      <c r="O219" s="24" t="n">
        <v>66675.5112171489</v>
      </c>
      <c r="P219" s="24" t="n">
        <v>68535.9257279452</v>
      </c>
      <c r="Q219" s="24" t="n">
        <v>70475.054345556</v>
      </c>
      <c r="R219" s="24" t="n">
        <v>72486.4537718453</v>
      </c>
      <c r="S219" s="24" t="n">
        <v>74537.0472444851</v>
      </c>
      <c r="T219" s="24" t="n">
        <v>76271.9605134862</v>
      </c>
      <c r="U219" s="24" t="n">
        <v>78185.3115930783</v>
      </c>
      <c r="V219" s="24" t="n">
        <v>79851.6068307352</v>
      </c>
      <c r="W219" s="24" t="n">
        <v>81512.6333214295</v>
      </c>
      <c r="X219" s="24" t="n">
        <v>82490.5214963809</v>
      </c>
      <c r="Y219" s="7"/>
      <c r="Z219" s="7"/>
      <c r="AA219" s="7"/>
    </row>
    <row r="220" customFormat="false" ht="12.75" hidden="false" customHeight="false" outlineLevel="0" collapsed="false">
      <c r="A220" s="25" t="s">
        <v>9</v>
      </c>
      <c r="B220" s="20" t="n">
        <f aca="false">NPV(0.1,D220:Y220)</f>
        <v>215036.422245548</v>
      </c>
      <c r="C220" s="20" t="n">
        <f aca="false">B220-B210</f>
        <v>57.8129002089263</v>
      </c>
      <c r="D220" s="21" t="n">
        <v>17352.0243368848</v>
      </c>
      <c r="E220" s="22" t="n">
        <v>21111.6445460486</v>
      </c>
      <c r="F220" s="22" t="n">
        <v>21505.607692625</v>
      </c>
      <c r="G220" s="22" t="n">
        <v>21824.5694508501</v>
      </c>
      <c r="H220" s="22" t="n">
        <v>22205.7829273229</v>
      </c>
      <c r="I220" s="22" t="n">
        <v>22675.4124134638</v>
      </c>
      <c r="J220" s="22" t="n">
        <v>23221.7128033022</v>
      </c>
      <c r="K220" s="22" t="n">
        <v>23878.5785130257</v>
      </c>
      <c r="L220" s="22" t="n">
        <v>24644.4050808202</v>
      </c>
      <c r="M220" s="22" t="n">
        <v>25524.042995164</v>
      </c>
      <c r="N220" s="23" t="n">
        <v>26546.0430031134</v>
      </c>
      <c r="O220" s="24" t="n">
        <v>27719.4023233364</v>
      </c>
      <c r="P220" s="24" t="n">
        <v>29040.1700231013</v>
      </c>
      <c r="Q220" s="24" t="n">
        <v>30443.4643775489</v>
      </c>
      <c r="R220" s="24" t="n">
        <v>31923.570939162</v>
      </c>
      <c r="S220" s="24" t="n">
        <v>33451.9420579999</v>
      </c>
      <c r="T220" s="24" t="n">
        <v>35042.3544835397</v>
      </c>
      <c r="U220" s="24" t="n">
        <v>36840.153908384</v>
      </c>
      <c r="V220" s="24" t="n">
        <v>38421.7084012559</v>
      </c>
      <c r="W220" s="24" t="n">
        <v>40017.0655441647</v>
      </c>
      <c r="X220" s="24" t="n">
        <v>40977.8578924167</v>
      </c>
      <c r="Y220" s="7"/>
      <c r="Z220" s="7"/>
      <c r="AA220" s="7"/>
    </row>
    <row r="221" customFormat="false" ht="12.75" hidden="false" customHeight="false" outlineLevel="0" collapsed="false">
      <c r="A221" s="25" t="s">
        <v>10</v>
      </c>
      <c r="B221" s="20" t="n">
        <f aca="false">NPV(0.1,D221:Y221)</f>
        <v>90511.5105529681</v>
      </c>
      <c r="C221" s="20" t="n">
        <f aca="false">B221-B211</f>
        <v>0</v>
      </c>
      <c r="D221" s="21" t="n">
        <v>175.946590336561</v>
      </c>
      <c r="E221" s="22" t="n">
        <v>516.005778017978</v>
      </c>
      <c r="F221" s="22" t="n">
        <v>538.487289632867</v>
      </c>
      <c r="G221" s="22" t="n">
        <v>6798.76973305324</v>
      </c>
      <c r="H221" s="22" t="n">
        <v>11819.1113480246</v>
      </c>
      <c r="I221" s="22" t="n">
        <v>12725.626153178</v>
      </c>
      <c r="J221" s="22" t="n">
        <v>13296.1293059622</v>
      </c>
      <c r="K221" s="22" t="n">
        <v>13763.0092265769</v>
      </c>
      <c r="L221" s="22" t="n">
        <v>14249.4992369466</v>
      </c>
      <c r="M221" s="22" t="n">
        <v>14756.8987940691</v>
      </c>
      <c r="N221" s="23" t="n">
        <v>15286.5779323992</v>
      </c>
      <c r="O221" s="24" t="n">
        <v>15935.8524819599</v>
      </c>
      <c r="P221" s="24" t="n">
        <v>16619.2909778033</v>
      </c>
      <c r="Q221" s="24" t="n">
        <v>17339.3326622468</v>
      </c>
      <c r="R221" s="24" t="n">
        <v>18098.5771004405</v>
      </c>
      <c r="S221" s="24" t="n">
        <v>18897.5584106167</v>
      </c>
      <c r="T221" s="24" t="n">
        <v>19517.1181865998</v>
      </c>
      <c r="U221" s="24" t="n">
        <v>20164.5397072519</v>
      </c>
      <c r="V221" s="24" t="n">
        <v>20841.7737136347</v>
      </c>
      <c r="W221" s="24" t="n">
        <v>21559.1942390159</v>
      </c>
      <c r="X221" s="24" t="n">
        <v>22328.8506643124</v>
      </c>
      <c r="Y221" s="7"/>
      <c r="Z221" s="7"/>
      <c r="AA221" s="7"/>
    </row>
    <row r="222" customFormat="false" ht="12.75" hidden="false" customHeight="false" outlineLevel="0" collapsed="false">
      <c r="A222" s="25" t="s">
        <v>11</v>
      </c>
      <c r="B222" s="20" t="n">
        <f aca="false">NPV(0.1,D222:Y222)</f>
        <v>105568.076459372</v>
      </c>
      <c r="C222" s="20" t="n">
        <f aca="false">B222-B212</f>
        <v>0</v>
      </c>
      <c r="D222" s="26" t="n">
        <v>2571.3765338673</v>
      </c>
      <c r="E222" s="27" t="n">
        <v>4122.35887398614</v>
      </c>
      <c r="F222" s="27" t="n">
        <v>4096.62461430949</v>
      </c>
      <c r="G222" s="27" t="n">
        <v>16574.0279102227</v>
      </c>
      <c r="H222" s="27" t="n">
        <v>21668.7936396337</v>
      </c>
      <c r="I222" s="27" t="n">
        <v>16871.1463174472</v>
      </c>
      <c r="J222" s="27" t="n">
        <v>15301.7768344925</v>
      </c>
      <c r="K222" s="27" t="n">
        <v>15252.2033593174</v>
      </c>
      <c r="L222" s="27" t="n">
        <v>15171.6903439923</v>
      </c>
      <c r="M222" s="27" t="n">
        <v>15083.3607998757</v>
      </c>
      <c r="N222" s="28" t="n">
        <v>14961.1562806325</v>
      </c>
      <c r="O222" s="24" t="n">
        <v>14860.3399829226</v>
      </c>
      <c r="P222" s="24" t="n">
        <v>14722.1900685984</v>
      </c>
      <c r="Q222" s="24" t="n">
        <v>14569.2005202115</v>
      </c>
      <c r="R222" s="24" t="n">
        <v>14374.6285553399</v>
      </c>
      <c r="S222" s="24" t="n">
        <v>12344.1388658436</v>
      </c>
      <c r="T222" s="24" t="n">
        <v>10203.72676424</v>
      </c>
      <c r="U222" s="24" t="n">
        <v>9836.32900454718</v>
      </c>
      <c r="V222" s="24" t="n">
        <v>9429.88255214271</v>
      </c>
      <c r="W222" s="24" t="n">
        <v>15502.1201779657</v>
      </c>
      <c r="X222" s="24" t="n">
        <v>25079.1919725243</v>
      </c>
      <c r="Y222" s="7"/>
      <c r="Z222" s="7"/>
      <c r="AA222" s="7"/>
    </row>
    <row r="223" customFormat="false" ht="12.75" hidden="false" customHeight="false" outlineLevel="0" collapsed="false">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row>
    <row r="224" customFormat="false" ht="12.75" hidden="false" customHeight="false" outlineLevel="0" collapsed="false">
      <c r="A224" s="29" t="s">
        <v>33</v>
      </c>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row>
    <row r="225" customFormat="false" ht="12.75" hidden="false" customHeight="false" outlineLevel="0" collapsed="false">
      <c r="A225" s="36" t="n">
        <v>36260</v>
      </c>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row>
    <row r="226" customFormat="false" ht="12.75" hidden="false" customHeight="false" outlineLevel="0" collapsed="false">
      <c r="A226" s="10" t="s">
        <v>3</v>
      </c>
      <c r="B226" s="11" t="n">
        <v>72416.0311633891</v>
      </c>
      <c r="C226" s="7"/>
      <c r="D226" s="7"/>
      <c r="E226" s="7"/>
      <c r="F226" s="7"/>
      <c r="G226" s="7"/>
      <c r="H226" s="7"/>
      <c r="I226" s="7"/>
      <c r="J226" s="7"/>
      <c r="K226" s="7"/>
      <c r="L226" s="7"/>
      <c r="M226" s="7"/>
      <c r="N226" s="7"/>
      <c r="O226" s="7"/>
      <c r="P226" s="7"/>
      <c r="Q226" s="7"/>
      <c r="R226" s="7"/>
      <c r="S226" s="7"/>
      <c r="T226" s="7"/>
      <c r="U226" s="7"/>
      <c r="V226" s="7"/>
      <c r="W226" s="7"/>
      <c r="X226" s="7"/>
      <c r="Y226" s="7"/>
      <c r="Z226" s="7"/>
      <c r="AA226" s="7"/>
    </row>
    <row r="227" customFormat="false" ht="12.75" hidden="false" customHeight="false" outlineLevel="0" collapsed="false">
      <c r="A227" s="12" t="s">
        <v>4</v>
      </c>
      <c r="B227" s="13" t="n">
        <v>110990.889299012</v>
      </c>
      <c r="C227" s="7"/>
      <c r="D227" s="7"/>
      <c r="E227" s="7"/>
      <c r="F227" s="7"/>
      <c r="G227" s="7"/>
      <c r="H227" s="7"/>
      <c r="I227" s="7"/>
      <c r="J227" s="7"/>
      <c r="K227" s="7"/>
      <c r="L227" s="7"/>
      <c r="M227" s="7"/>
      <c r="N227" s="7"/>
      <c r="O227" s="7"/>
      <c r="P227" s="7"/>
      <c r="Q227" s="7"/>
      <c r="R227" s="7"/>
      <c r="S227" s="7"/>
      <c r="T227" s="7"/>
      <c r="U227" s="7"/>
      <c r="V227" s="7"/>
      <c r="W227" s="7"/>
      <c r="X227" s="7"/>
      <c r="Y227" s="7"/>
      <c r="Z227" s="7"/>
      <c r="AA227" s="7"/>
    </row>
    <row r="228" customFormat="false" ht="12.75" hidden="false" customHeight="false" outlineLevel="0" collapsed="false">
      <c r="A228" s="14" t="s">
        <v>5</v>
      </c>
      <c r="B228" s="15" t="s">
        <v>6</v>
      </c>
      <c r="C228" s="15" t="s">
        <v>7</v>
      </c>
      <c r="D228" s="16" t="n">
        <v>2000</v>
      </c>
      <c r="E228" s="17" t="n">
        <v>2001</v>
      </c>
      <c r="F228" s="17" t="n">
        <v>2002</v>
      </c>
      <c r="G228" s="17" t="n">
        <v>2003</v>
      </c>
      <c r="H228" s="17" t="n">
        <v>2004</v>
      </c>
      <c r="I228" s="17" t="n">
        <v>2005</v>
      </c>
      <c r="J228" s="17" t="n">
        <v>2006</v>
      </c>
      <c r="K228" s="17" t="n">
        <v>2007</v>
      </c>
      <c r="L228" s="17" t="n">
        <v>2008</v>
      </c>
      <c r="M228" s="17" t="n">
        <v>2009</v>
      </c>
      <c r="N228" s="18" t="n">
        <v>2010</v>
      </c>
      <c r="O228" s="19" t="n">
        <v>2011</v>
      </c>
      <c r="P228" s="19" t="n">
        <v>2012</v>
      </c>
      <c r="Q228" s="19" t="n">
        <v>2013</v>
      </c>
      <c r="R228" s="19" t="n">
        <v>2014</v>
      </c>
      <c r="S228" s="19" t="n">
        <v>2015</v>
      </c>
      <c r="T228" s="19" t="n">
        <v>2016</v>
      </c>
      <c r="U228" s="19" t="n">
        <v>2017</v>
      </c>
      <c r="V228" s="19" t="n">
        <v>2018</v>
      </c>
      <c r="W228" s="19" t="n">
        <v>2019</v>
      </c>
      <c r="X228" s="19" t="n">
        <v>2020</v>
      </c>
      <c r="Y228" s="7"/>
      <c r="Z228" s="7"/>
      <c r="AA228" s="7"/>
    </row>
    <row r="229" customFormat="false" ht="12.75" hidden="false" customHeight="false" outlineLevel="0" collapsed="false">
      <c r="A229" s="14" t="s">
        <v>8</v>
      </c>
      <c r="B229" s="20" t="n">
        <f aca="false">NPV(0.1,D229:Y229)</f>
        <v>461777.60733673</v>
      </c>
      <c r="C229" s="20" t="n">
        <f aca="false">B229-B219</f>
        <v>-17195.0848543677</v>
      </c>
      <c r="D229" s="21" t="n">
        <v>30465.2246077526</v>
      </c>
      <c r="E229" s="22" t="n">
        <v>39401.8729675824</v>
      </c>
      <c r="F229" s="22" t="n">
        <v>39425.8258597828</v>
      </c>
      <c r="G229" s="22" t="n">
        <v>49770.6618495353</v>
      </c>
      <c r="H229" s="22" t="n">
        <v>58210.9550046126</v>
      </c>
      <c r="I229" s="22" t="n">
        <v>59307.8942568827</v>
      </c>
      <c r="J229" s="22" t="n">
        <v>59886.2975674001</v>
      </c>
      <c r="K229" s="22" t="n">
        <v>60461.5233106221</v>
      </c>
      <c r="L229" s="22" t="n">
        <v>61032.8602695316</v>
      </c>
      <c r="M229" s="22" t="n">
        <v>61599.5574139009</v>
      </c>
      <c r="N229" s="23" t="n">
        <v>62160.8221515946</v>
      </c>
      <c r="O229" s="24" t="n">
        <v>62874.4819124889</v>
      </c>
      <c r="P229" s="24" t="n">
        <v>63590.5118580052</v>
      </c>
      <c r="Q229" s="24" t="n">
        <v>64308.411905436</v>
      </c>
      <c r="R229" s="24" t="n">
        <v>65027.6498339453</v>
      </c>
      <c r="S229" s="24" t="n">
        <v>65747.6598063551</v>
      </c>
      <c r="T229" s="24" t="n">
        <v>66099.9720948862</v>
      </c>
      <c r="U229" s="24" t="n">
        <v>66429.7455658084</v>
      </c>
      <c r="V229" s="24" t="n">
        <v>66735.3108090052</v>
      </c>
      <c r="W229" s="24" t="n">
        <v>67014.9185346895</v>
      </c>
      <c r="X229" s="24" t="n">
        <v>50037.2205121345</v>
      </c>
      <c r="Y229" s="7"/>
      <c r="Z229" s="7"/>
      <c r="AA229" s="7"/>
    </row>
    <row r="230" customFormat="false" ht="12.75" hidden="false" customHeight="false" outlineLevel="0" collapsed="false">
      <c r="A230" s="25" t="s">
        <v>9</v>
      </c>
      <c r="B230" s="20" t="n">
        <f aca="false">NPV(0.1,D230:Y230)</f>
        <v>197841.33739118</v>
      </c>
      <c r="C230" s="20" t="n">
        <f aca="false">B230-B220</f>
        <v>-17195.0848543677</v>
      </c>
      <c r="D230" s="21" t="n">
        <v>20746.2538756498</v>
      </c>
      <c r="E230" s="22" t="n">
        <v>22456.2080310386</v>
      </c>
      <c r="F230" s="22" t="n">
        <v>22585.946022305</v>
      </c>
      <c r="G230" s="22" t="n">
        <v>22711.0244450901</v>
      </c>
      <c r="H230" s="22" t="n">
        <v>22833.3327358229</v>
      </c>
      <c r="I230" s="22" t="n">
        <v>22970.7596777038</v>
      </c>
      <c r="J230" s="22" t="n">
        <v>23116.2890266022</v>
      </c>
      <c r="K230" s="22" t="n">
        <v>23266.5754117157</v>
      </c>
      <c r="L230" s="22" t="n">
        <v>23421.7876944202</v>
      </c>
      <c r="M230" s="22" t="n">
        <v>23582.047501354</v>
      </c>
      <c r="N230" s="23" t="n">
        <v>23747.5324085334</v>
      </c>
      <c r="O230" s="24" t="n">
        <v>23918.3730186764</v>
      </c>
      <c r="P230" s="24" t="n">
        <v>24094.7561531613</v>
      </c>
      <c r="Q230" s="24" t="n">
        <v>24276.8219374289</v>
      </c>
      <c r="R230" s="24" t="n">
        <v>24464.767001262</v>
      </c>
      <c r="S230" s="24" t="n">
        <v>24662.5546198699</v>
      </c>
      <c r="T230" s="24" t="n">
        <v>24870.3660649397</v>
      </c>
      <c r="U230" s="24" t="n">
        <v>25084.587881114</v>
      </c>
      <c r="V230" s="24" t="n">
        <v>25305.4123795259</v>
      </c>
      <c r="W230" s="24" t="n">
        <v>25519.3507574247</v>
      </c>
      <c r="X230" s="24" t="n">
        <v>8524.55690817032</v>
      </c>
      <c r="Y230" s="7"/>
      <c r="Z230" s="7"/>
      <c r="AA230" s="7"/>
    </row>
    <row r="231" customFormat="false" ht="12.75" hidden="false" customHeight="false" outlineLevel="0" collapsed="false">
      <c r="A231" s="25" t="s">
        <v>10</v>
      </c>
      <c r="B231" s="20" t="n">
        <f aca="false">NPV(0.1,D231:Y231)</f>
        <v>90511.5105529681</v>
      </c>
      <c r="C231" s="20" t="n">
        <f aca="false">B231-B221</f>
        <v>0</v>
      </c>
      <c r="D231" s="21" t="n">
        <v>175.946590336559</v>
      </c>
      <c r="E231" s="22" t="n">
        <v>516.005778017973</v>
      </c>
      <c r="F231" s="22" t="n">
        <v>538.487289632864</v>
      </c>
      <c r="G231" s="22" t="n">
        <v>6798.76973305324</v>
      </c>
      <c r="H231" s="22" t="n">
        <v>11819.1113480246</v>
      </c>
      <c r="I231" s="22" t="n">
        <v>12725.626153178</v>
      </c>
      <c r="J231" s="22" t="n">
        <v>13296.1293059622</v>
      </c>
      <c r="K231" s="22" t="n">
        <v>13763.0092265769</v>
      </c>
      <c r="L231" s="22" t="n">
        <v>14249.4992369466</v>
      </c>
      <c r="M231" s="22" t="n">
        <v>14756.8987940691</v>
      </c>
      <c r="N231" s="23" t="n">
        <v>15286.5779323992</v>
      </c>
      <c r="O231" s="24" t="n">
        <v>15935.8524819599</v>
      </c>
      <c r="P231" s="24" t="n">
        <v>16619.2909778033</v>
      </c>
      <c r="Q231" s="24" t="n">
        <v>17339.3326622468</v>
      </c>
      <c r="R231" s="24" t="n">
        <v>18098.5771004405</v>
      </c>
      <c r="S231" s="24" t="n">
        <v>18897.5584106167</v>
      </c>
      <c r="T231" s="24" t="n">
        <v>19517.1181865998</v>
      </c>
      <c r="U231" s="24" t="n">
        <v>20164.5397072519</v>
      </c>
      <c r="V231" s="24" t="n">
        <v>20841.7737136347</v>
      </c>
      <c r="W231" s="24" t="n">
        <v>21559.1942390159</v>
      </c>
      <c r="X231" s="24" t="n">
        <v>22328.8506643124</v>
      </c>
      <c r="Y231" s="7"/>
      <c r="Z231" s="7"/>
      <c r="AA231" s="7"/>
    </row>
    <row r="232" customFormat="false" ht="12.75" hidden="false" customHeight="false" outlineLevel="0" collapsed="false">
      <c r="A232" s="25" t="s">
        <v>11</v>
      </c>
      <c r="B232" s="20" t="n">
        <f aca="false">NPV(0.1,D232:Y232)</f>
        <v>105568.076459372</v>
      </c>
      <c r="C232" s="20" t="n">
        <f aca="false">B232-B222</f>
        <v>0</v>
      </c>
      <c r="D232" s="26" t="n">
        <v>2571.3765338673</v>
      </c>
      <c r="E232" s="27" t="n">
        <v>4122.35887398614</v>
      </c>
      <c r="F232" s="27" t="n">
        <v>4096.62461430949</v>
      </c>
      <c r="G232" s="27" t="n">
        <v>16574.0279102227</v>
      </c>
      <c r="H232" s="27" t="n">
        <v>21668.7936396337</v>
      </c>
      <c r="I232" s="27" t="n">
        <v>16871.1463174472</v>
      </c>
      <c r="J232" s="27" t="n">
        <v>15301.7768344925</v>
      </c>
      <c r="K232" s="27" t="n">
        <v>15252.2033593174</v>
      </c>
      <c r="L232" s="27" t="n">
        <v>15171.6903439923</v>
      </c>
      <c r="M232" s="27" t="n">
        <v>15083.3607998757</v>
      </c>
      <c r="N232" s="28" t="n">
        <v>14961.1562806325</v>
      </c>
      <c r="O232" s="24" t="n">
        <v>14860.3399829226</v>
      </c>
      <c r="P232" s="24" t="n">
        <v>14722.1900685984</v>
      </c>
      <c r="Q232" s="24" t="n">
        <v>14569.2005202115</v>
      </c>
      <c r="R232" s="24" t="n">
        <v>14374.6285553399</v>
      </c>
      <c r="S232" s="24" t="n">
        <v>12344.1388658436</v>
      </c>
      <c r="T232" s="24" t="n">
        <v>10203.72676424</v>
      </c>
      <c r="U232" s="24" t="n">
        <v>9836.32900454718</v>
      </c>
      <c r="V232" s="24" t="n">
        <v>9429.8825521427</v>
      </c>
      <c r="W232" s="24" t="n">
        <v>15502.1201779657</v>
      </c>
      <c r="X232" s="24" t="n">
        <v>25079.1919725243</v>
      </c>
      <c r="Y232" s="7"/>
      <c r="Z232" s="7"/>
      <c r="AA232" s="7"/>
    </row>
    <row r="233" customFormat="false" ht="12.75" hidden="false" customHeight="false" outlineLevel="0" collapsed="false">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row>
    <row r="234" customFormat="false" ht="12.75" hidden="false" customHeight="false" outlineLevel="0" collapsed="false">
      <c r="A234" s="29" t="s">
        <v>34</v>
      </c>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row>
    <row r="235" customFormat="false" ht="12.75" hidden="false" customHeight="false" outlineLevel="0" collapsed="false">
      <c r="A235" s="36" t="n">
        <v>36263</v>
      </c>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row>
    <row r="236" customFormat="false" ht="12.75" hidden="false" customHeight="false" outlineLevel="0" collapsed="false">
      <c r="A236" s="10" t="s">
        <v>3</v>
      </c>
      <c r="B236" s="11" t="n">
        <v>82557.1782225626</v>
      </c>
      <c r="C236" s="7"/>
      <c r="D236" s="7"/>
      <c r="E236" s="7"/>
      <c r="F236" s="7"/>
      <c r="G236" s="7"/>
      <c r="H236" s="7"/>
      <c r="I236" s="7"/>
      <c r="J236" s="7"/>
      <c r="K236" s="7"/>
      <c r="L236" s="7"/>
      <c r="M236" s="7"/>
      <c r="N236" s="7"/>
      <c r="O236" s="7"/>
      <c r="P236" s="7"/>
      <c r="Q236" s="7"/>
      <c r="R236" s="7"/>
      <c r="S236" s="7"/>
      <c r="T236" s="7"/>
      <c r="U236" s="7"/>
      <c r="V236" s="7"/>
      <c r="W236" s="7"/>
      <c r="X236" s="7"/>
      <c r="Y236" s="7"/>
      <c r="Z236" s="7"/>
      <c r="AA236" s="7"/>
    </row>
    <row r="237" customFormat="false" ht="12.75" hidden="false" customHeight="false" outlineLevel="0" collapsed="false">
      <c r="A237" s="12" t="s">
        <v>4</v>
      </c>
      <c r="B237" s="13" t="n">
        <v>124192.370303666</v>
      </c>
      <c r="C237" s="7"/>
      <c r="D237" s="7"/>
      <c r="E237" s="7"/>
      <c r="F237" s="7"/>
      <c r="G237" s="7"/>
      <c r="H237" s="7"/>
      <c r="I237" s="7"/>
      <c r="J237" s="7"/>
      <c r="K237" s="7"/>
      <c r="L237" s="7"/>
      <c r="M237" s="7"/>
      <c r="N237" s="7"/>
      <c r="O237" s="7"/>
      <c r="P237" s="7"/>
      <c r="Q237" s="7"/>
      <c r="R237" s="7"/>
      <c r="S237" s="7"/>
      <c r="T237" s="7"/>
      <c r="U237" s="7"/>
      <c r="V237" s="7"/>
      <c r="W237" s="7"/>
      <c r="X237" s="7"/>
      <c r="Y237" s="7"/>
      <c r="Z237" s="7"/>
      <c r="AA237" s="7"/>
    </row>
    <row r="238" customFormat="false" ht="12.75" hidden="false" customHeight="false" outlineLevel="0" collapsed="false">
      <c r="A238" s="14" t="s">
        <v>5</v>
      </c>
      <c r="B238" s="15" t="s">
        <v>6</v>
      </c>
      <c r="C238" s="15" t="s">
        <v>7</v>
      </c>
      <c r="D238" s="16" t="n">
        <v>2000</v>
      </c>
      <c r="E238" s="17" t="n">
        <v>2001</v>
      </c>
      <c r="F238" s="17" t="n">
        <v>2002</v>
      </c>
      <c r="G238" s="17" t="n">
        <v>2003</v>
      </c>
      <c r="H238" s="17" t="n">
        <v>2004</v>
      </c>
      <c r="I238" s="17" t="n">
        <v>2005</v>
      </c>
      <c r="J238" s="17" t="n">
        <v>2006</v>
      </c>
      <c r="K238" s="17" t="n">
        <v>2007</v>
      </c>
      <c r="L238" s="17" t="n">
        <v>2008</v>
      </c>
      <c r="M238" s="17" t="n">
        <v>2009</v>
      </c>
      <c r="N238" s="18" t="n">
        <v>2010</v>
      </c>
      <c r="O238" s="19" t="n">
        <v>2011</v>
      </c>
      <c r="P238" s="19" t="n">
        <v>2012</v>
      </c>
      <c r="Q238" s="19" t="n">
        <v>2013</v>
      </c>
      <c r="R238" s="19" t="n">
        <v>2014</v>
      </c>
      <c r="S238" s="19" t="n">
        <v>2015</v>
      </c>
      <c r="T238" s="19" t="n">
        <v>2016</v>
      </c>
      <c r="U238" s="19" t="n">
        <v>2017</v>
      </c>
      <c r="V238" s="19" t="n">
        <v>2018</v>
      </c>
      <c r="W238" s="19" t="n">
        <v>2019</v>
      </c>
      <c r="X238" s="19" t="n">
        <v>2020</v>
      </c>
      <c r="Y238" s="7"/>
      <c r="Z238" s="7"/>
      <c r="AA238" s="7"/>
    </row>
    <row r="239" customFormat="false" ht="12.75" hidden="false" customHeight="false" outlineLevel="0" collapsed="false">
      <c r="A239" s="14" t="s">
        <v>8</v>
      </c>
      <c r="B239" s="20" t="n">
        <f aca="false">NPV(0.1,D239:Y239)</f>
        <v>482570.162353064</v>
      </c>
      <c r="C239" s="20" t="n">
        <f aca="false">B239-B229</f>
        <v>20792.5550163338</v>
      </c>
      <c r="D239" s="21" t="n">
        <v>32035.69926</v>
      </c>
      <c r="E239" s="22" t="n">
        <v>40381.4142428</v>
      </c>
      <c r="F239" s="22" t="n">
        <v>40454.765675084</v>
      </c>
      <c r="G239" s="22" t="n">
        <v>51741.5821611226</v>
      </c>
      <c r="H239" s="22" t="n">
        <v>60870.7822273747</v>
      </c>
      <c r="I239" s="22" t="n">
        <v>62021.7005981548</v>
      </c>
      <c r="J239" s="22" t="n">
        <v>62655.7024007374</v>
      </c>
      <c r="K239" s="22" t="n">
        <v>63288.1945907867</v>
      </c>
      <c r="L239" s="22" t="n">
        <v>63918.5159899282</v>
      </c>
      <c r="M239" s="22" t="n">
        <v>64545.9671077365</v>
      </c>
      <c r="N239" s="23" t="n">
        <v>65169.8084380724</v>
      </c>
      <c r="O239" s="24" t="n">
        <v>65947.922089388</v>
      </c>
      <c r="P239" s="24" t="n">
        <v>66730.3395420384</v>
      </c>
      <c r="Q239" s="24" t="n">
        <v>67516.6187218173</v>
      </c>
      <c r="R239" s="24" t="n">
        <v>68306.2871566452</v>
      </c>
      <c r="S239" s="24" t="n">
        <v>69098.840550563</v>
      </c>
      <c r="T239" s="24" t="n">
        <v>69525.8725632475</v>
      </c>
      <c r="U239" s="24" t="n">
        <v>69932.6073500476</v>
      </c>
      <c r="V239" s="24" t="n">
        <v>70317.4427485987</v>
      </c>
      <c r="W239" s="24" t="n">
        <v>70678.6987342978</v>
      </c>
      <c r="X239" s="24" t="n">
        <v>53090.1376905152</v>
      </c>
      <c r="Y239" s="7"/>
      <c r="Z239" s="7"/>
      <c r="AA239" s="7"/>
    </row>
    <row r="240" customFormat="false" ht="12.75" hidden="false" customHeight="false" outlineLevel="0" collapsed="false">
      <c r="A240" s="25" t="s">
        <v>9</v>
      </c>
      <c r="B240" s="20" t="n">
        <f aca="false">NPV(0.1,D240:Y240)</f>
        <v>205728.438294866</v>
      </c>
      <c r="C240" s="20" t="n">
        <f aca="false">B240-B230</f>
        <v>7887.10090368622</v>
      </c>
      <c r="D240" s="21" t="n">
        <v>22271.5663482566</v>
      </c>
      <c r="E240" s="22" t="n">
        <v>23310.2807881782</v>
      </c>
      <c r="F240" s="22" t="n">
        <v>23440.1374687474</v>
      </c>
      <c r="G240" s="22" t="n">
        <v>23564.5477193986</v>
      </c>
      <c r="H240" s="22" t="n">
        <v>23685.5994789988</v>
      </c>
      <c r="I240" s="22" t="n">
        <v>23823.3786391034</v>
      </c>
      <c r="J240" s="22" t="n">
        <v>23968.6678184721</v>
      </c>
      <c r="K240" s="22" t="n">
        <v>24118.7068289701</v>
      </c>
      <c r="L240" s="22" t="n">
        <v>24273.6643158206</v>
      </c>
      <c r="M240" s="22" t="n">
        <v>24433.6616830249</v>
      </c>
      <c r="N240" s="23" t="n">
        <v>24598.8762772828</v>
      </c>
      <c r="O240" s="24" t="n">
        <v>24769.4384651166</v>
      </c>
      <c r="P240" s="24" t="n">
        <v>24945.5348246231</v>
      </c>
      <c r="Q240" s="24" t="n">
        <v>25127.3052306629</v>
      </c>
      <c r="R240" s="24" t="n">
        <v>25314.9460549215</v>
      </c>
      <c r="S240" s="24" t="n">
        <v>25512.4203067675</v>
      </c>
      <c r="T240" s="24" t="n">
        <v>25719.9089840726</v>
      </c>
      <c r="U240" s="24" t="n">
        <v>25933.7983494493</v>
      </c>
      <c r="V240" s="24" t="n">
        <v>26154.2804235397</v>
      </c>
      <c r="W240" s="24" t="n">
        <v>26367.7647644304</v>
      </c>
      <c r="X240" s="24" t="n">
        <v>8677.64690817032</v>
      </c>
      <c r="Y240" s="7"/>
      <c r="Z240" s="7"/>
      <c r="AA240" s="7"/>
    </row>
    <row r="241" customFormat="false" ht="12.75" hidden="false" customHeight="false" outlineLevel="0" collapsed="false">
      <c r="A241" s="25" t="s">
        <v>10</v>
      </c>
      <c r="B241" s="20" t="n">
        <f aca="false">NPV(0.1,D241:Y241)</f>
        <v>95805.2435639027</v>
      </c>
      <c r="C241" s="20" t="n">
        <f aca="false">B241-B231</f>
        <v>5293.73301093459</v>
      </c>
      <c r="D241" s="21" t="n">
        <v>24.3358897146357</v>
      </c>
      <c r="E241" s="22" t="n">
        <v>272.856692262996</v>
      </c>
      <c r="F241" s="22" t="n">
        <v>304.840059290887</v>
      </c>
      <c r="G241" s="22" t="n">
        <v>7114.24927923133</v>
      </c>
      <c r="H241" s="22" t="n">
        <v>12543.9174383421</v>
      </c>
      <c r="I241" s="22" t="n">
        <v>13487.9770349927</v>
      </c>
      <c r="J241" s="22" t="n">
        <v>14098.7969843435</v>
      </c>
      <c r="K241" s="22" t="n">
        <v>14608.5988181888</v>
      </c>
      <c r="L241" s="22" t="n">
        <v>15140.8056609746</v>
      </c>
      <c r="M241" s="22" t="n">
        <v>15696.9213982173</v>
      </c>
      <c r="N241" s="23" t="n">
        <v>16278.5362722213</v>
      </c>
      <c r="O241" s="24" t="n">
        <v>16983.2033452882</v>
      </c>
      <c r="P241" s="24" t="n">
        <v>17725.7467533661</v>
      </c>
      <c r="Q241" s="24" t="n">
        <v>18508.8811594761</v>
      </c>
      <c r="R241" s="24" t="n">
        <v>19335.5029360165</v>
      </c>
      <c r="S241" s="24" t="n">
        <v>20206.4660865223</v>
      </c>
      <c r="T241" s="24" t="n">
        <v>20902.9569944241</v>
      </c>
      <c r="U241" s="24" t="n">
        <v>21632.6306042419</v>
      </c>
      <c r="V241" s="24" t="n">
        <v>22397.838327618</v>
      </c>
      <c r="W241" s="24" t="n">
        <v>23209.4473639417</v>
      </c>
      <c r="X241" s="24" t="n">
        <v>24079.8524032381</v>
      </c>
      <c r="Y241" s="7"/>
      <c r="Z241" s="7"/>
      <c r="AA241" s="7"/>
    </row>
    <row r="242" customFormat="false" ht="12.75" hidden="false" customHeight="false" outlineLevel="0" collapsed="false">
      <c r="A242" s="25" t="s">
        <v>11</v>
      </c>
      <c r="B242" s="20" t="n">
        <f aca="false">NPV(0.1,D242:Y242)</f>
        <v>109896.85811197</v>
      </c>
      <c r="C242" s="20" t="n">
        <f aca="false">B242-B232</f>
        <v>4328.78165259771</v>
      </c>
      <c r="D242" s="26" t="n">
        <v>2582.36310256835</v>
      </c>
      <c r="E242" s="27" t="n">
        <v>4152.88150386474</v>
      </c>
      <c r="F242" s="27" t="n">
        <v>4139.13551557996</v>
      </c>
      <c r="G242" s="27" t="n">
        <v>17258.433595556</v>
      </c>
      <c r="H242" s="27" t="n">
        <v>22775.9244333802</v>
      </c>
      <c r="I242" s="27" t="n">
        <v>17216.4082112539</v>
      </c>
      <c r="J242" s="27" t="n">
        <v>15932.7119536204</v>
      </c>
      <c r="K242" s="27" t="n">
        <v>15889.3162583587</v>
      </c>
      <c r="L242" s="27" t="n">
        <v>15814.1462456097</v>
      </c>
      <c r="M242" s="27" t="n">
        <v>15730.2182745529</v>
      </c>
      <c r="N242" s="28" t="n">
        <v>15611.3575184004</v>
      </c>
      <c r="O242" s="24" t="n">
        <v>15512.7002509403</v>
      </c>
      <c r="P242" s="24" t="n">
        <v>15375.3862883807</v>
      </c>
      <c r="Q242" s="24" t="n">
        <v>15221.7588929676</v>
      </c>
      <c r="R242" s="24" t="n">
        <v>15024.9111581275</v>
      </c>
      <c r="S242" s="24" t="n">
        <v>12990.3291350299</v>
      </c>
      <c r="T242" s="24" t="n">
        <v>10843.8137760401</v>
      </c>
      <c r="U242" s="24" t="n">
        <v>10468.0904551609</v>
      </c>
      <c r="V242" s="24" t="n">
        <v>10050.8663321693</v>
      </c>
      <c r="W242" s="24" t="n">
        <v>16157.9022057467</v>
      </c>
      <c r="X242" s="24" t="n">
        <v>26830.19371145</v>
      </c>
      <c r="Y242" s="7"/>
      <c r="Z242" s="7"/>
      <c r="AA242" s="7"/>
    </row>
    <row r="243" customFormat="false" ht="12.75" hidden="false" customHeight="false" outlineLevel="0" collapsed="false">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row>
    <row r="244" customFormat="false" ht="12.75" hidden="false" customHeight="false" outlineLevel="0" collapsed="false">
      <c r="A244" s="29" t="s">
        <v>35</v>
      </c>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row>
    <row r="245" customFormat="false" ht="12.75" hidden="false" customHeight="false" outlineLevel="1" collapsed="false">
      <c r="A245" s="36" t="n">
        <v>36264</v>
      </c>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37"/>
      <c r="AC245" s="37"/>
      <c r="AD245" s="38"/>
      <c r="AE245" s="38"/>
      <c r="AF245" s="38"/>
      <c r="AG245" s="38"/>
      <c r="AH245" s="38"/>
      <c r="AI245" s="38"/>
      <c r="AJ245" s="38"/>
      <c r="AK245" s="38"/>
      <c r="AL245" s="38"/>
      <c r="AM245" s="38"/>
      <c r="AN245" s="38"/>
      <c r="AO245" s="38"/>
      <c r="AP245" s="38"/>
      <c r="AQ245" s="38"/>
      <c r="AR245" s="38"/>
      <c r="AS245" s="38"/>
      <c r="AT245" s="38"/>
      <c r="AU245" s="38"/>
      <c r="AV245" s="38"/>
      <c r="AW245" s="38"/>
      <c r="AX245" s="38"/>
      <c r="AY245" s="38"/>
      <c r="AZ245" s="38"/>
      <c r="BA245" s="38"/>
      <c r="BB245" s="38"/>
      <c r="BC245" s="38"/>
      <c r="BD245" s="38"/>
      <c r="BE245" s="38"/>
      <c r="BF245" s="38"/>
      <c r="BG245" s="38"/>
      <c r="BH245" s="38"/>
      <c r="BI245" s="38"/>
      <c r="BJ245" s="38"/>
      <c r="BK245" s="38"/>
      <c r="BL245" s="38"/>
      <c r="BM245" s="38"/>
      <c r="BN245" s="38"/>
      <c r="BO245" s="38"/>
      <c r="BP245" s="38"/>
      <c r="BQ245" s="38"/>
      <c r="BR245" s="38"/>
      <c r="BS245" s="38"/>
      <c r="BT245" s="38"/>
      <c r="BU245" s="38"/>
      <c r="BV245" s="38"/>
      <c r="BW245" s="38"/>
      <c r="BX245" s="38"/>
      <c r="BY245" s="38"/>
      <c r="BZ245" s="38"/>
      <c r="CA245" s="38"/>
      <c r="CB245" s="38"/>
      <c r="CC245" s="38"/>
      <c r="CD245" s="38"/>
      <c r="CE245" s="38"/>
      <c r="CF245" s="38"/>
      <c r="CG245" s="38"/>
      <c r="CH245" s="38"/>
      <c r="CI245" s="38"/>
      <c r="CJ245" s="38"/>
      <c r="CK245" s="38"/>
      <c r="CL245" s="38"/>
      <c r="CM245" s="38"/>
      <c r="CN245" s="38"/>
      <c r="CO245" s="38"/>
      <c r="CP245" s="38"/>
      <c r="CQ245" s="38"/>
      <c r="CR245" s="38"/>
      <c r="CS245" s="38"/>
      <c r="CT245" s="38"/>
      <c r="CU245" s="38"/>
      <c r="CV245" s="38"/>
      <c r="CW245" s="38"/>
      <c r="CX245" s="38"/>
      <c r="CY245" s="38"/>
      <c r="CZ245" s="38"/>
      <c r="DA245" s="38"/>
      <c r="DB245" s="38"/>
      <c r="DC245" s="38"/>
      <c r="DD245" s="38"/>
      <c r="DE245" s="38"/>
      <c r="DF245" s="38"/>
      <c r="DG245" s="38"/>
      <c r="DH245" s="38"/>
      <c r="DI245" s="38"/>
      <c r="DJ245" s="38"/>
      <c r="DK245" s="38"/>
      <c r="DL245" s="38"/>
      <c r="DM245" s="38"/>
      <c r="DN245" s="38"/>
      <c r="DO245" s="38"/>
      <c r="DP245" s="38"/>
      <c r="DQ245" s="38"/>
      <c r="DR245" s="38"/>
      <c r="DS245" s="38"/>
      <c r="DT245" s="38"/>
      <c r="DU245" s="38"/>
      <c r="DV245" s="38"/>
      <c r="DW245" s="38"/>
      <c r="DX245" s="38"/>
      <c r="DY245" s="38"/>
      <c r="DZ245" s="38"/>
      <c r="EA245" s="38"/>
      <c r="EB245" s="38"/>
      <c r="EC245" s="38"/>
      <c r="ED245" s="38"/>
      <c r="EE245" s="38"/>
      <c r="EF245" s="38"/>
      <c r="EG245" s="38"/>
      <c r="EH245" s="38"/>
      <c r="EI245" s="38"/>
      <c r="EJ245" s="38"/>
      <c r="EK245" s="38"/>
      <c r="EL245" s="38"/>
      <c r="EM245" s="38"/>
      <c r="EN245" s="38"/>
      <c r="EO245" s="38"/>
      <c r="EP245" s="38"/>
      <c r="EQ245" s="38"/>
      <c r="ER245" s="38"/>
      <c r="ES245" s="38"/>
      <c r="ET245" s="38"/>
      <c r="EU245" s="38"/>
      <c r="EV245" s="38"/>
      <c r="EW245" s="38"/>
      <c r="EX245" s="38"/>
      <c r="EY245" s="38"/>
      <c r="EZ245" s="38"/>
      <c r="FA245" s="38"/>
      <c r="FB245" s="38"/>
      <c r="FC245" s="38"/>
      <c r="FD245" s="38"/>
      <c r="FE245" s="38"/>
      <c r="FF245" s="38"/>
      <c r="FG245" s="38"/>
      <c r="FH245" s="38"/>
      <c r="FI245" s="38"/>
      <c r="FJ245" s="38"/>
      <c r="FK245" s="38"/>
      <c r="FL245" s="38"/>
      <c r="FM245" s="38"/>
      <c r="FN245" s="38"/>
      <c r="FO245" s="38"/>
      <c r="FP245" s="38"/>
      <c r="FQ245" s="38"/>
      <c r="FR245" s="38"/>
      <c r="FS245" s="38"/>
      <c r="FT245" s="38"/>
      <c r="FU245" s="38"/>
      <c r="FV245" s="38"/>
      <c r="FW245" s="38"/>
      <c r="FX245" s="38"/>
      <c r="FY245" s="38"/>
      <c r="FZ245" s="38"/>
      <c r="GA245" s="38"/>
      <c r="GB245" s="38"/>
      <c r="GC245" s="38"/>
      <c r="GD245" s="38"/>
      <c r="GE245" s="38"/>
      <c r="GF245" s="38"/>
      <c r="GG245" s="38"/>
      <c r="GH245" s="38"/>
      <c r="GI245" s="38"/>
      <c r="GJ245" s="38"/>
      <c r="GK245" s="38"/>
      <c r="GL245" s="38"/>
      <c r="GM245" s="38"/>
      <c r="GN245" s="38"/>
      <c r="GO245" s="38"/>
      <c r="GP245" s="38"/>
      <c r="GQ245" s="38"/>
      <c r="GR245" s="38"/>
      <c r="GS245" s="38"/>
      <c r="GT245" s="38"/>
      <c r="GU245" s="38"/>
      <c r="GV245" s="38"/>
      <c r="GW245" s="38"/>
      <c r="GX245" s="38"/>
      <c r="GY245" s="38"/>
      <c r="GZ245" s="38"/>
      <c r="HA245" s="38"/>
      <c r="HB245" s="38"/>
      <c r="HC245" s="38"/>
      <c r="HD245" s="38"/>
      <c r="HE245" s="38"/>
      <c r="HF245" s="38"/>
      <c r="HG245" s="38"/>
      <c r="HH245" s="38"/>
      <c r="HI245" s="38"/>
      <c r="HJ245" s="38"/>
      <c r="HK245" s="38"/>
      <c r="HL245" s="38"/>
      <c r="HM245" s="38"/>
      <c r="HN245" s="38"/>
      <c r="HO245" s="38"/>
      <c r="HP245" s="38"/>
      <c r="HQ245" s="38"/>
      <c r="HR245" s="38"/>
      <c r="HS245" s="38"/>
      <c r="HT245" s="38"/>
      <c r="HU245" s="38"/>
      <c r="HV245" s="38"/>
      <c r="HW245" s="38"/>
      <c r="HX245" s="38"/>
      <c r="HY245" s="38"/>
      <c r="HZ245" s="38"/>
      <c r="IA245" s="38"/>
      <c r="IB245" s="38"/>
      <c r="IC245" s="38"/>
      <c r="ID245" s="38"/>
      <c r="IE245" s="38"/>
      <c r="IF245" s="38"/>
      <c r="IG245" s="38"/>
      <c r="IH245" s="38"/>
      <c r="II245" s="38"/>
      <c r="IJ245" s="38"/>
      <c r="IK245" s="38"/>
      <c r="IL245" s="38"/>
      <c r="IM245" s="38"/>
      <c r="IN245" s="38"/>
      <c r="IO245" s="38"/>
      <c r="IP245" s="38"/>
      <c r="IQ245" s="38"/>
      <c r="IR245" s="38"/>
      <c r="IS245" s="38"/>
      <c r="IT245" s="38"/>
      <c r="IU245" s="38"/>
      <c r="IV245" s="38"/>
      <c r="IW245" s="38"/>
    </row>
    <row r="246" customFormat="false" ht="12.75" hidden="false" customHeight="false" outlineLevel="1" collapsed="false">
      <c r="A246" s="10" t="s">
        <v>3</v>
      </c>
      <c r="B246" s="11" t="n">
        <v>88146.5253373209</v>
      </c>
      <c r="C246" s="7"/>
      <c r="D246" s="7"/>
      <c r="E246" s="7"/>
      <c r="F246" s="7"/>
      <c r="G246" s="7"/>
      <c r="H246" s="7"/>
      <c r="I246" s="7"/>
      <c r="J246" s="7"/>
      <c r="K246" s="7"/>
      <c r="L246" s="7"/>
      <c r="M246" s="7"/>
      <c r="N246" s="7"/>
      <c r="O246" s="7"/>
      <c r="P246" s="7"/>
      <c r="Q246" s="7"/>
      <c r="R246" s="7"/>
      <c r="S246" s="7"/>
      <c r="T246" s="7"/>
      <c r="U246" s="7"/>
      <c r="V246" s="7"/>
      <c r="W246" s="7"/>
      <c r="X246" s="7"/>
      <c r="Y246" s="7"/>
      <c r="Z246" s="7"/>
      <c r="AA246" s="7"/>
      <c r="AB246" s="37"/>
      <c r="AC246" s="37"/>
      <c r="AD246" s="38"/>
      <c r="AE246" s="38"/>
      <c r="AF246" s="38"/>
      <c r="AG246" s="38"/>
      <c r="AH246" s="38"/>
      <c r="AI246" s="38"/>
      <c r="AJ246" s="38"/>
      <c r="AK246" s="38"/>
      <c r="AL246" s="38"/>
      <c r="AM246" s="38"/>
      <c r="AN246" s="38"/>
      <c r="AO246" s="38"/>
      <c r="AP246" s="38"/>
      <c r="AQ246" s="38"/>
      <c r="AR246" s="38"/>
      <c r="AS246" s="38"/>
      <c r="AT246" s="38"/>
      <c r="AU246" s="38"/>
      <c r="AV246" s="38"/>
      <c r="AW246" s="38"/>
      <c r="AX246" s="38"/>
      <c r="AY246" s="38"/>
      <c r="AZ246" s="38"/>
      <c r="BA246" s="38"/>
      <c r="BB246" s="38"/>
      <c r="BC246" s="38"/>
      <c r="BD246" s="38"/>
      <c r="BE246" s="38"/>
      <c r="BF246" s="38"/>
      <c r="BG246" s="38"/>
      <c r="BH246" s="38"/>
      <c r="BI246" s="38"/>
      <c r="BJ246" s="38"/>
      <c r="BK246" s="38"/>
      <c r="BL246" s="38"/>
      <c r="BM246" s="38"/>
      <c r="BN246" s="38"/>
      <c r="BO246" s="38"/>
      <c r="BP246" s="38"/>
      <c r="BQ246" s="38"/>
      <c r="BR246" s="38"/>
      <c r="BS246" s="38"/>
      <c r="BT246" s="38"/>
      <c r="BU246" s="38"/>
      <c r="BV246" s="38"/>
      <c r="BW246" s="38"/>
      <c r="BX246" s="38"/>
      <c r="BY246" s="38"/>
      <c r="BZ246" s="38"/>
      <c r="CA246" s="38"/>
      <c r="CB246" s="38"/>
      <c r="CC246" s="38"/>
      <c r="CD246" s="38"/>
      <c r="CE246" s="38"/>
      <c r="CF246" s="38"/>
      <c r="CG246" s="38"/>
      <c r="CH246" s="38"/>
      <c r="CI246" s="38"/>
      <c r="CJ246" s="38"/>
      <c r="CK246" s="38"/>
      <c r="CL246" s="38"/>
      <c r="CM246" s="38"/>
      <c r="CN246" s="38"/>
      <c r="CO246" s="38"/>
      <c r="CP246" s="38"/>
      <c r="CQ246" s="38"/>
      <c r="CR246" s="38"/>
      <c r="CS246" s="38"/>
      <c r="CT246" s="38"/>
      <c r="CU246" s="38"/>
      <c r="CV246" s="38"/>
      <c r="CW246" s="38"/>
      <c r="CX246" s="38"/>
      <c r="CY246" s="38"/>
      <c r="CZ246" s="38"/>
      <c r="DA246" s="38"/>
      <c r="DB246" s="38"/>
      <c r="DC246" s="38"/>
      <c r="DD246" s="38"/>
      <c r="DE246" s="38"/>
      <c r="DF246" s="38"/>
      <c r="DG246" s="38"/>
      <c r="DH246" s="38"/>
      <c r="DI246" s="38"/>
      <c r="DJ246" s="38"/>
      <c r="DK246" s="38"/>
      <c r="DL246" s="38"/>
      <c r="DM246" s="38"/>
      <c r="DN246" s="38"/>
      <c r="DO246" s="38"/>
      <c r="DP246" s="38"/>
      <c r="DQ246" s="38"/>
      <c r="DR246" s="38"/>
      <c r="DS246" s="38"/>
      <c r="DT246" s="38"/>
      <c r="DU246" s="38"/>
      <c r="DV246" s="38"/>
      <c r="DW246" s="38"/>
      <c r="DX246" s="38"/>
      <c r="DY246" s="38"/>
      <c r="DZ246" s="38"/>
      <c r="EA246" s="38"/>
      <c r="EB246" s="38"/>
      <c r="EC246" s="38"/>
      <c r="ED246" s="38"/>
      <c r="EE246" s="38"/>
      <c r="EF246" s="38"/>
      <c r="EG246" s="38"/>
      <c r="EH246" s="38"/>
      <c r="EI246" s="38"/>
      <c r="EJ246" s="38"/>
      <c r="EK246" s="38"/>
      <c r="EL246" s="38"/>
      <c r="EM246" s="38"/>
      <c r="EN246" s="38"/>
      <c r="EO246" s="38"/>
      <c r="EP246" s="38"/>
      <c r="EQ246" s="38"/>
      <c r="ER246" s="38"/>
      <c r="ES246" s="38"/>
      <c r="ET246" s="38"/>
      <c r="EU246" s="38"/>
      <c r="EV246" s="38"/>
      <c r="EW246" s="38"/>
      <c r="EX246" s="38"/>
      <c r="EY246" s="38"/>
      <c r="EZ246" s="38"/>
      <c r="FA246" s="38"/>
      <c r="FB246" s="38"/>
      <c r="FC246" s="38"/>
      <c r="FD246" s="38"/>
      <c r="FE246" s="38"/>
      <c r="FF246" s="38"/>
      <c r="FG246" s="38"/>
      <c r="FH246" s="38"/>
      <c r="FI246" s="38"/>
      <c r="FJ246" s="38"/>
      <c r="FK246" s="38"/>
      <c r="FL246" s="38"/>
      <c r="FM246" s="38"/>
      <c r="FN246" s="38"/>
      <c r="FO246" s="38"/>
      <c r="FP246" s="38"/>
      <c r="FQ246" s="38"/>
      <c r="FR246" s="38"/>
      <c r="FS246" s="38"/>
      <c r="FT246" s="38"/>
      <c r="FU246" s="38"/>
      <c r="FV246" s="38"/>
      <c r="FW246" s="38"/>
      <c r="FX246" s="38"/>
      <c r="FY246" s="38"/>
      <c r="FZ246" s="38"/>
      <c r="GA246" s="38"/>
      <c r="GB246" s="38"/>
      <c r="GC246" s="38"/>
      <c r="GD246" s="38"/>
      <c r="GE246" s="38"/>
      <c r="GF246" s="38"/>
      <c r="GG246" s="38"/>
      <c r="GH246" s="38"/>
      <c r="GI246" s="38"/>
      <c r="GJ246" s="38"/>
      <c r="GK246" s="38"/>
      <c r="GL246" s="38"/>
      <c r="GM246" s="38"/>
      <c r="GN246" s="38"/>
      <c r="GO246" s="38"/>
      <c r="GP246" s="38"/>
      <c r="GQ246" s="38"/>
      <c r="GR246" s="38"/>
      <c r="GS246" s="38"/>
      <c r="GT246" s="38"/>
      <c r="GU246" s="38"/>
      <c r="GV246" s="38"/>
      <c r="GW246" s="38"/>
      <c r="GX246" s="38"/>
      <c r="GY246" s="38"/>
      <c r="GZ246" s="38"/>
      <c r="HA246" s="38"/>
      <c r="HB246" s="38"/>
      <c r="HC246" s="38"/>
      <c r="HD246" s="38"/>
      <c r="HE246" s="38"/>
      <c r="HF246" s="38"/>
      <c r="HG246" s="38"/>
      <c r="HH246" s="38"/>
      <c r="HI246" s="38"/>
      <c r="HJ246" s="38"/>
      <c r="HK246" s="38"/>
      <c r="HL246" s="38"/>
      <c r="HM246" s="38"/>
      <c r="HN246" s="38"/>
      <c r="HO246" s="38"/>
      <c r="HP246" s="38"/>
      <c r="HQ246" s="38"/>
      <c r="HR246" s="38"/>
      <c r="HS246" s="38"/>
      <c r="HT246" s="38"/>
      <c r="HU246" s="38"/>
      <c r="HV246" s="38"/>
      <c r="HW246" s="38"/>
      <c r="HX246" s="38"/>
      <c r="HY246" s="38"/>
      <c r="HZ246" s="38"/>
      <c r="IA246" s="38"/>
      <c r="IB246" s="38"/>
      <c r="IC246" s="38"/>
      <c r="ID246" s="38"/>
      <c r="IE246" s="38"/>
      <c r="IF246" s="38"/>
      <c r="IG246" s="38"/>
      <c r="IH246" s="38"/>
      <c r="II246" s="38"/>
      <c r="IJ246" s="38"/>
      <c r="IK246" s="38"/>
      <c r="IL246" s="38"/>
      <c r="IM246" s="38"/>
      <c r="IN246" s="38"/>
      <c r="IO246" s="38"/>
      <c r="IP246" s="38"/>
      <c r="IQ246" s="38"/>
      <c r="IR246" s="38"/>
      <c r="IS246" s="38"/>
      <c r="IT246" s="38"/>
      <c r="IU246" s="38"/>
      <c r="IV246" s="38"/>
      <c r="IW246" s="38"/>
    </row>
    <row r="247" customFormat="false" ht="12.75" hidden="false" customHeight="false" outlineLevel="0" collapsed="false">
      <c r="A247" s="12" t="s">
        <v>4</v>
      </c>
      <c r="B247" s="13" t="n">
        <v>129701.244685697</v>
      </c>
      <c r="C247" s="7"/>
      <c r="D247" s="7"/>
      <c r="E247" s="7"/>
      <c r="F247" s="7"/>
      <c r="G247" s="7"/>
      <c r="H247" s="7"/>
      <c r="I247" s="7"/>
      <c r="J247" s="7"/>
      <c r="K247" s="7"/>
      <c r="L247" s="7"/>
      <c r="M247" s="7"/>
      <c r="N247" s="7"/>
      <c r="O247" s="7"/>
      <c r="P247" s="7"/>
      <c r="Q247" s="7"/>
      <c r="R247" s="7"/>
      <c r="S247" s="7"/>
      <c r="T247" s="7"/>
      <c r="U247" s="7"/>
      <c r="V247" s="7"/>
      <c r="W247" s="7"/>
      <c r="X247" s="7"/>
      <c r="Y247" s="7"/>
      <c r="Z247" s="7"/>
      <c r="AA247" s="7"/>
    </row>
    <row r="248" customFormat="false" ht="12.75" hidden="false" customHeight="false" outlineLevel="0" collapsed="false">
      <c r="A248" s="14" t="s">
        <v>5</v>
      </c>
      <c r="B248" s="15" t="s">
        <v>6</v>
      </c>
      <c r="C248" s="15" t="s">
        <v>7</v>
      </c>
      <c r="D248" s="16" t="n">
        <v>2000</v>
      </c>
      <c r="E248" s="17" t="n">
        <v>2001</v>
      </c>
      <c r="F248" s="17" t="n">
        <v>2002</v>
      </c>
      <c r="G248" s="17" t="n">
        <v>2003</v>
      </c>
      <c r="H248" s="17" t="n">
        <v>2004</v>
      </c>
      <c r="I248" s="17" t="n">
        <v>2005</v>
      </c>
      <c r="J248" s="17" t="n">
        <v>2006</v>
      </c>
      <c r="K248" s="17" t="n">
        <v>2007</v>
      </c>
      <c r="L248" s="17" t="n">
        <v>2008</v>
      </c>
      <c r="M248" s="17" t="n">
        <v>2009</v>
      </c>
      <c r="N248" s="18" t="n">
        <v>2010</v>
      </c>
      <c r="O248" s="19" t="n">
        <v>2011</v>
      </c>
      <c r="P248" s="19" t="n">
        <v>2012</v>
      </c>
      <c r="Q248" s="19" t="n">
        <v>2013</v>
      </c>
      <c r="R248" s="19" t="n">
        <v>2014</v>
      </c>
      <c r="S248" s="19" t="n">
        <v>2015</v>
      </c>
      <c r="T248" s="19" t="n">
        <v>2016</v>
      </c>
      <c r="U248" s="19" t="n">
        <v>2017</v>
      </c>
      <c r="V248" s="19" t="n">
        <v>2018</v>
      </c>
      <c r="W248" s="19" t="n">
        <v>2019</v>
      </c>
      <c r="X248" s="19" t="n">
        <v>2020</v>
      </c>
      <c r="Y248" s="7"/>
      <c r="Z248" s="7"/>
      <c r="AA248" s="7"/>
    </row>
    <row r="249" customFormat="false" ht="12.75" hidden="false" customHeight="false" outlineLevel="0" collapsed="false">
      <c r="A249" s="14" t="s">
        <v>8</v>
      </c>
      <c r="B249" s="20" t="n">
        <f aca="false">NPV(0.1,D249:Y249)</f>
        <v>482382.658032381</v>
      </c>
      <c r="C249" s="20" t="n">
        <f aca="false">B249-B239</f>
        <v>-187.5043206829</v>
      </c>
      <c r="D249" s="21" t="n">
        <v>32035.69926</v>
      </c>
      <c r="E249" s="22" t="n">
        <v>40381.4142428</v>
      </c>
      <c r="F249" s="22" t="n">
        <v>40454.765675084</v>
      </c>
      <c r="G249" s="22" t="n">
        <v>51741.5821611226</v>
      </c>
      <c r="H249" s="22" t="n">
        <v>60870.7822273747</v>
      </c>
      <c r="I249" s="22" t="n">
        <v>62021.7005981548</v>
      </c>
      <c r="J249" s="22" t="n">
        <v>62655.7024007374</v>
      </c>
      <c r="K249" s="22" t="n">
        <v>63288.1945907867</v>
      </c>
      <c r="L249" s="22" t="n">
        <v>63918.5159899282</v>
      </c>
      <c r="M249" s="22" t="n">
        <v>64545.9671077365</v>
      </c>
      <c r="N249" s="23" t="n">
        <v>65169.8084380723</v>
      </c>
      <c r="O249" s="24" t="n">
        <v>65947.922089388</v>
      </c>
      <c r="P249" s="24" t="n">
        <v>66730.3395420384</v>
      </c>
      <c r="Q249" s="24" t="n">
        <v>67516.6187218173</v>
      </c>
      <c r="R249" s="24" t="n">
        <v>68306.2871566452</v>
      </c>
      <c r="S249" s="24" t="n">
        <v>69098.840550563</v>
      </c>
      <c r="T249" s="24" t="n">
        <v>69525.8725632475</v>
      </c>
      <c r="U249" s="24" t="n">
        <v>69932.6073500476</v>
      </c>
      <c r="V249" s="24" t="n">
        <v>70317.4427485987</v>
      </c>
      <c r="W249" s="24" t="n">
        <v>70678.6987342979</v>
      </c>
      <c r="X249" s="24" t="n">
        <v>51702.5588518337</v>
      </c>
      <c r="Y249" s="7"/>
      <c r="Z249" s="7"/>
      <c r="AA249" s="7"/>
    </row>
    <row r="250" customFormat="false" ht="12.75" hidden="false" customHeight="false" outlineLevel="0" collapsed="false">
      <c r="A250" s="25" t="s">
        <v>9</v>
      </c>
      <c r="B250" s="20" t="n">
        <f aca="false">NPV(0.1,D250:Y250)</f>
        <v>205617.161221092</v>
      </c>
      <c r="C250" s="20" t="n">
        <f aca="false">B250-B240</f>
        <v>-111.277073774138</v>
      </c>
      <c r="D250" s="21" t="n">
        <v>22258.4438655729</v>
      </c>
      <c r="E250" s="22" t="n">
        <v>23297.1387903298</v>
      </c>
      <c r="F250" s="22" t="n">
        <v>23426.975581253</v>
      </c>
      <c r="G250" s="22" t="n">
        <v>23551.365538726</v>
      </c>
      <c r="H250" s="22" t="n">
        <v>23672.3968871561</v>
      </c>
      <c r="I250" s="22" t="n">
        <v>23810.0830821178</v>
      </c>
      <c r="J250" s="22" t="n">
        <v>23955.3438379109</v>
      </c>
      <c r="K250" s="22" t="n">
        <v>24105.3543973248</v>
      </c>
      <c r="L250" s="22" t="n">
        <v>24260.2834605997</v>
      </c>
      <c r="M250" s="22" t="n">
        <v>24420.2523767198</v>
      </c>
      <c r="N250" s="23" t="n">
        <v>24585.4385474021</v>
      </c>
      <c r="O250" s="24" t="n">
        <v>24755.9722841519</v>
      </c>
      <c r="P250" s="24" t="n">
        <v>24932.0402200827</v>
      </c>
      <c r="Q250" s="24" t="n">
        <v>25113.7821750384</v>
      </c>
      <c r="R250" s="24" t="n">
        <v>25301.3945757214</v>
      </c>
      <c r="S250" s="24" t="n">
        <v>25498.8485190073</v>
      </c>
      <c r="T250" s="24" t="n">
        <v>25706.3250027679</v>
      </c>
      <c r="U250" s="24" t="n">
        <v>25920.2021746001</v>
      </c>
      <c r="V250" s="24" t="n">
        <v>26140.6720551461</v>
      </c>
      <c r="W250" s="24" t="n">
        <v>26367.9324256671</v>
      </c>
      <c r="X250" s="24" t="n">
        <v>8677.80237586256</v>
      </c>
      <c r="Y250" s="7"/>
      <c r="Z250" s="7"/>
      <c r="AA250" s="7"/>
    </row>
    <row r="251" customFormat="false" ht="12.75" hidden="false" customHeight="false" outlineLevel="0" collapsed="false">
      <c r="A251" s="25" t="s">
        <v>10</v>
      </c>
      <c r="B251" s="20" t="n">
        <f aca="false">NPV(0.1,D251:Y251)</f>
        <v>95695.4276487099</v>
      </c>
      <c r="C251" s="20" t="n">
        <f aca="false">B251-B241</f>
        <v>-109.815915192739</v>
      </c>
      <c r="D251" s="21" t="n">
        <v>27.0583561621976</v>
      </c>
      <c r="E251" s="22" t="n">
        <v>272.20168997816</v>
      </c>
      <c r="F251" s="22" t="n">
        <v>304.448539780969</v>
      </c>
      <c r="G251" s="22" t="n">
        <v>7114.1416824433</v>
      </c>
      <c r="H251" s="22" t="n">
        <v>12543.8928600351</v>
      </c>
      <c r="I251" s="22" t="n">
        <v>13488.085330425</v>
      </c>
      <c r="J251" s="22" t="n">
        <v>14099.0070946377</v>
      </c>
      <c r="K251" s="22" t="n">
        <v>14608.9180745399</v>
      </c>
      <c r="L251" s="22" t="n">
        <v>15141.2419470484</v>
      </c>
      <c r="M251" s="22" t="n">
        <v>15697.4832623977</v>
      </c>
      <c r="N251" s="23" t="n">
        <v>16279.2329127381</v>
      </c>
      <c r="O251" s="24" t="n">
        <v>16984.0447302544</v>
      </c>
      <c r="P251" s="24" t="n">
        <v>17726.743614319</v>
      </c>
      <c r="Q251" s="24" t="n">
        <v>18510.0451205007</v>
      </c>
      <c r="R251" s="24" t="n">
        <v>19336.8465170998</v>
      </c>
      <c r="S251" s="24" t="n">
        <v>20207.9979265773</v>
      </c>
      <c r="T251" s="24" t="n">
        <v>20904.6866606168</v>
      </c>
      <c r="U251" s="24" t="n">
        <v>21634.573566339</v>
      </c>
      <c r="V251" s="24" t="n">
        <v>22400.0112929676</v>
      </c>
      <c r="W251" s="24" t="n">
        <v>23203.5426379888</v>
      </c>
      <c r="X251" s="24" t="n">
        <v>23236.0907809305</v>
      </c>
      <c r="Y251" s="7"/>
      <c r="Z251" s="7"/>
      <c r="AA251" s="7"/>
    </row>
    <row r="252" customFormat="false" ht="12.75" hidden="false" customHeight="false" outlineLevel="0" collapsed="false">
      <c r="A252" s="25" t="s">
        <v>11</v>
      </c>
      <c r="B252" s="20" t="n">
        <f aca="false">NPV(0.1,D252:Y252)</f>
        <v>108891.102432205</v>
      </c>
      <c r="C252" s="20" t="n">
        <f aca="false">B252-B242</f>
        <v>-1005.75567976465</v>
      </c>
      <c r="D252" s="26" t="n">
        <v>2585.5553988366</v>
      </c>
      <c r="E252" s="27" t="n">
        <v>4156.07854757209</v>
      </c>
      <c r="F252" s="27" t="n">
        <v>4142.33739782621</v>
      </c>
      <c r="G252" s="27" t="n">
        <v>17266.5076812179</v>
      </c>
      <c r="H252" s="27" t="n">
        <v>22784.0110208839</v>
      </c>
      <c r="I252" s="27" t="n">
        <v>17259.0113220912</v>
      </c>
      <c r="J252" s="27" t="n">
        <v>15944.5294862609</v>
      </c>
      <c r="K252" s="27" t="n">
        <v>15901.0904468285</v>
      </c>
      <c r="L252" s="27" t="n">
        <v>15825.8455388184</v>
      </c>
      <c r="M252" s="27" t="n">
        <v>15741.8631024238</v>
      </c>
      <c r="N252" s="28" t="n">
        <v>15622.9154401498</v>
      </c>
      <c r="O252" s="24" t="n">
        <v>15524.1907356223</v>
      </c>
      <c r="P252" s="24" t="n">
        <v>15386.7758574735</v>
      </c>
      <c r="Q252" s="24" t="n">
        <v>15233.0658947679</v>
      </c>
      <c r="R252" s="24" t="n">
        <v>15036.1009036953</v>
      </c>
      <c r="S252" s="24" t="n">
        <v>12997.5396132999</v>
      </c>
      <c r="T252" s="24" t="n">
        <v>10847.033541533</v>
      </c>
      <c r="U252" s="24" t="n">
        <v>10471.1733311039</v>
      </c>
      <c r="V252" s="24" t="n">
        <v>10053.8010110741</v>
      </c>
      <c r="W252" s="24" t="n">
        <v>9592.04546683509</v>
      </c>
      <c r="X252" s="24" t="n">
        <v>25992.2385388992</v>
      </c>
      <c r="Y252" s="7"/>
      <c r="Z252" s="7"/>
      <c r="AA252" s="7"/>
    </row>
    <row r="253" customFormat="false" ht="12.75" hidden="false" customHeight="false" outlineLevel="0" collapsed="false">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row>
    <row r="254" customFormat="false" ht="12.75" hidden="false" customHeight="false" outlineLevel="0" collapsed="false">
      <c r="A254" s="29" t="s">
        <v>36</v>
      </c>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row>
    <row r="255" customFormat="false" ht="12.75" hidden="false" customHeight="false" outlineLevel="0" collapsed="false">
      <c r="A255" s="36" t="n">
        <v>36266</v>
      </c>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row>
    <row r="256" customFormat="false" ht="12.75" hidden="false" customHeight="false" outlineLevel="0" collapsed="false">
      <c r="A256" s="10" t="s">
        <v>3</v>
      </c>
      <c r="B256" s="11" t="n">
        <v>71475.3023711839</v>
      </c>
      <c r="C256" s="7"/>
      <c r="D256" s="7"/>
      <c r="E256" s="7"/>
      <c r="F256" s="7"/>
      <c r="G256" s="7"/>
      <c r="H256" s="7"/>
      <c r="I256" s="7"/>
      <c r="J256" s="7"/>
      <c r="K256" s="7"/>
      <c r="L256" s="7"/>
      <c r="M256" s="7"/>
      <c r="N256" s="7"/>
      <c r="O256" s="7"/>
      <c r="P256" s="7"/>
      <c r="Q256" s="7"/>
      <c r="R256" s="7"/>
      <c r="S256" s="7"/>
      <c r="T256" s="7"/>
      <c r="U256" s="7"/>
      <c r="V256" s="7"/>
      <c r="W256" s="7"/>
      <c r="X256" s="7"/>
      <c r="Y256" s="7"/>
      <c r="Z256" s="7"/>
      <c r="AA256" s="7"/>
    </row>
    <row r="257" customFormat="false" ht="12.75" hidden="false" customHeight="false" outlineLevel="0" collapsed="false">
      <c r="A257" s="12" t="s">
        <v>4</v>
      </c>
      <c r="B257" s="13" t="n">
        <v>107633.472917216</v>
      </c>
      <c r="C257" s="7"/>
      <c r="D257" s="7"/>
      <c r="E257" s="7"/>
      <c r="F257" s="7"/>
      <c r="G257" s="7"/>
      <c r="H257" s="7"/>
      <c r="I257" s="7"/>
      <c r="J257" s="7"/>
      <c r="K257" s="7"/>
      <c r="L257" s="7"/>
      <c r="M257" s="7"/>
      <c r="N257" s="7"/>
      <c r="O257" s="7"/>
      <c r="P257" s="7"/>
      <c r="Q257" s="7"/>
      <c r="R257" s="7"/>
      <c r="S257" s="7"/>
      <c r="T257" s="7"/>
      <c r="U257" s="7"/>
      <c r="V257" s="7"/>
      <c r="W257" s="7"/>
      <c r="X257" s="7"/>
      <c r="Y257" s="7"/>
      <c r="Z257" s="7"/>
      <c r="AA257" s="7"/>
    </row>
    <row r="258" customFormat="false" ht="12.75" hidden="false" customHeight="false" outlineLevel="0" collapsed="false">
      <c r="A258" s="14" t="s">
        <v>5</v>
      </c>
      <c r="B258" s="15" t="s">
        <v>6</v>
      </c>
      <c r="C258" s="15" t="s">
        <v>7</v>
      </c>
      <c r="D258" s="16" t="n">
        <v>2000</v>
      </c>
      <c r="E258" s="17" t="n">
        <v>2001</v>
      </c>
      <c r="F258" s="17" t="n">
        <v>2002</v>
      </c>
      <c r="G258" s="17" t="n">
        <v>2003</v>
      </c>
      <c r="H258" s="17" t="n">
        <v>2004</v>
      </c>
      <c r="I258" s="17" t="n">
        <v>2005</v>
      </c>
      <c r="J258" s="17" t="n">
        <v>2006</v>
      </c>
      <c r="K258" s="17" t="n">
        <v>2007</v>
      </c>
      <c r="L258" s="17" t="n">
        <v>2008</v>
      </c>
      <c r="M258" s="17" t="n">
        <v>2009</v>
      </c>
      <c r="N258" s="18" t="n">
        <v>2010</v>
      </c>
      <c r="O258" s="19" t="n">
        <v>2011</v>
      </c>
      <c r="P258" s="19" t="n">
        <v>2012</v>
      </c>
      <c r="Q258" s="19" t="n">
        <v>2013</v>
      </c>
      <c r="R258" s="19" t="n">
        <v>2014</v>
      </c>
      <c r="S258" s="19" t="n">
        <v>2015</v>
      </c>
      <c r="T258" s="19" t="n">
        <v>2016</v>
      </c>
      <c r="U258" s="19" t="n">
        <v>2017</v>
      </c>
      <c r="V258" s="19" t="n">
        <v>2018</v>
      </c>
      <c r="W258" s="19" t="n">
        <v>2019</v>
      </c>
      <c r="X258" s="19" t="n">
        <v>2020</v>
      </c>
      <c r="Y258" s="7"/>
      <c r="Z258" s="7"/>
      <c r="AA258" s="7"/>
    </row>
    <row r="259" customFormat="false" ht="12.75" hidden="false" customHeight="false" outlineLevel="0" collapsed="false">
      <c r="A259" s="14" t="s">
        <v>8</v>
      </c>
      <c r="B259" s="20" t="n">
        <f aca="false">NPV(0.1,D259:Y259)</f>
        <v>460928.472953776</v>
      </c>
      <c r="C259" s="20" t="n">
        <f aca="false">B259-B249</f>
        <v>-21454.1850786048</v>
      </c>
      <c r="D259" s="21" t="n">
        <v>32035.69926</v>
      </c>
      <c r="E259" s="22" t="n">
        <v>40381.4142428</v>
      </c>
      <c r="F259" s="22" t="n">
        <v>40454.765675084</v>
      </c>
      <c r="G259" s="22" t="n">
        <v>50061.1399055198</v>
      </c>
      <c r="H259" s="22" t="n">
        <v>57129.5541398078</v>
      </c>
      <c r="I259" s="22" t="n">
        <v>57370.9670617138</v>
      </c>
      <c r="J259" s="22" t="n">
        <v>58276.0401904204</v>
      </c>
      <c r="K259" s="22" t="n">
        <v>59200.0536463439</v>
      </c>
      <c r="L259" s="22" t="n">
        <v>60143.3292833014</v>
      </c>
      <c r="M259" s="22" t="n">
        <v>61106.1912200446</v>
      </c>
      <c r="N259" s="23" t="n">
        <v>62088.9656864875</v>
      </c>
      <c r="O259" s="24" t="n">
        <v>62774.6540552556</v>
      </c>
      <c r="P259" s="24" t="n">
        <v>63461.873466882</v>
      </c>
      <c r="Q259" s="24" t="n">
        <v>64150.0986644062</v>
      </c>
      <c r="R259" s="24" t="n">
        <v>64838.7714975117</v>
      </c>
      <c r="S259" s="24" t="n">
        <v>65527.2994216556</v>
      </c>
      <c r="T259" s="24" t="n">
        <v>66031.1195686116</v>
      </c>
      <c r="U259" s="24" t="n">
        <v>66522.4641647555</v>
      </c>
      <c r="V259" s="24" t="n">
        <v>67000.1312389062</v>
      </c>
      <c r="W259" s="24" t="n">
        <v>67462.8579296077</v>
      </c>
      <c r="X259" s="24" t="n">
        <v>48597.2625748048</v>
      </c>
      <c r="Y259" s="7"/>
      <c r="Z259" s="7"/>
      <c r="AA259" s="7"/>
    </row>
    <row r="260" customFormat="false" ht="12.75" hidden="false" customHeight="false" outlineLevel="0" collapsed="false">
      <c r="A260" s="25" t="s">
        <v>9</v>
      </c>
      <c r="B260" s="20" t="n">
        <f aca="false">NPV(0.1,D260:Y260)</f>
        <v>205613.984979836</v>
      </c>
      <c r="C260" s="20" t="n">
        <f aca="false">B260-B250</f>
        <v>-3.17624125577277</v>
      </c>
      <c r="D260" s="21" t="n">
        <v>22258.0283927687</v>
      </c>
      <c r="E260" s="22" t="n">
        <v>23295.97850141</v>
      </c>
      <c r="F260" s="22" t="n">
        <v>23425.0120821893</v>
      </c>
      <c r="G260" s="22" t="n">
        <v>23549.9792759081</v>
      </c>
      <c r="H260" s="22" t="n">
        <v>23673.3348801028</v>
      </c>
      <c r="I260" s="22" t="n">
        <v>23810.0830821178</v>
      </c>
      <c r="J260" s="22" t="n">
        <v>23955.3438379109</v>
      </c>
      <c r="K260" s="22" t="n">
        <v>24105.3543973248</v>
      </c>
      <c r="L260" s="22" t="n">
        <v>24260.2834605997</v>
      </c>
      <c r="M260" s="22" t="n">
        <v>24420.2523767198</v>
      </c>
      <c r="N260" s="23" t="n">
        <v>24585.4385474021</v>
      </c>
      <c r="O260" s="24" t="n">
        <v>24755.9722841519</v>
      </c>
      <c r="P260" s="24" t="n">
        <v>24932.0402200827</v>
      </c>
      <c r="Q260" s="24" t="n">
        <v>25113.7821750384</v>
      </c>
      <c r="R260" s="24" t="n">
        <v>25301.3945757214</v>
      </c>
      <c r="S260" s="24" t="n">
        <v>25498.8485190073</v>
      </c>
      <c r="T260" s="24" t="n">
        <v>25706.3250027679</v>
      </c>
      <c r="U260" s="24" t="n">
        <v>25920.2021746001</v>
      </c>
      <c r="V260" s="24" t="n">
        <v>26140.6720551461</v>
      </c>
      <c r="W260" s="24" t="n">
        <v>26367.9324256671</v>
      </c>
      <c r="X260" s="24" t="n">
        <v>8677.80237586256</v>
      </c>
      <c r="Y260" s="7"/>
      <c r="Z260" s="7"/>
      <c r="AA260" s="7"/>
    </row>
    <row r="261" customFormat="false" ht="12.75" hidden="false" customHeight="false" outlineLevel="0" collapsed="false">
      <c r="A261" s="25" t="s">
        <v>10</v>
      </c>
      <c r="B261" s="20" t="n">
        <f aca="false">NPV(0.1,D261:Y261)</f>
        <v>86623.1798521109</v>
      </c>
      <c r="C261" s="20" t="n">
        <f aca="false">B261-B251</f>
        <v>-9072.247796599</v>
      </c>
      <c r="D261" s="21" t="n">
        <v>319.382494366595</v>
      </c>
      <c r="E261" s="22" t="n">
        <v>796.249779099133</v>
      </c>
      <c r="F261" s="22" t="n">
        <v>869.582312026537</v>
      </c>
      <c r="G261" s="22" t="n">
        <v>6708.00177064678</v>
      </c>
      <c r="H261" s="22" t="n">
        <v>10908.5606396106</v>
      </c>
      <c r="I261" s="22" t="n">
        <v>11282.6615098984</v>
      </c>
      <c r="J261" s="22" t="n">
        <v>12016.7357620395</v>
      </c>
      <c r="K261" s="22" t="n">
        <v>12664.0783616895</v>
      </c>
      <c r="L261" s="22" t="n">
        <v>13349.2513045235</v>
      </c>
      <c r="M261" s="22" t="n">
        <v>14074.9843000886</v>
      </c>
      <c r="N261" s="23" t="n">
        <v>14844.1869377592</v>
      </c>
      <c r="O261" s="24" t="n">
        <v>15468.4154900022</v>
      </c>
      <c r="P261" s="24" t="n">
        <v>16125.1110599535</v>
      </c>
      <c r="Q261" s="24" t="n">
        <v>16816.586397646</v>
      </c>
      <c r="R261" s="24" t="n">
        <v>17545.3046653524</v>
      </c>
      <c r="S261" s="24" t="n">
        <v>18311.6481026941</v>
      </c>
      <c r="T261" s="24" t="n">
        <v>19007.3647201407</v>
      </c>
      <c r="U261" s="24" t="n">
        <v>19738.6807679019</v>
      </c>
      <c r="V261" s="24" t="n">
        <v>20508.1540752873</v>
      </c>
      <c r="W261" s="24" t="n">
        <v>21318.5475879141</v>
      </c>
      <c r="X261" s="24" t="n">
        <v>21361.0207003772</v>
      </c>
      <c r="Y261" s="7"/>
      <c r="Z261" s="7"/>
      <c r="AA261" s="7"/>
    </row>
    <row r="262" customFormat="false" ht="12.75" hidden="false" customHeight="false" outlineLevel="0" collapsed="false">
      <c r="A262" s="25" t="s">
        <v>11</v>
      </c>
      <c r="B262" s="20" t="n">
        <f aca="false">NPV(0.1,D262:Y262)</f>
        <v>101861.045714008</v>
      </c>
      <c r="C262" s="20" t="n">
        <f aca="false">B262-B252</f>
        <v>-7030.05671819724</v>
      </c>
      <c r="D262" s="26" t="n">
        <v>2585.65647058608</v>
      </c>
      <c r="E262" s="27" t="n">
        <v>4156.36081016507</v>
      </c>
      <c r="F262" s="27" t="n">
        <v>4142.81505673303</v>
      </c>
      <c r="G262" s="27" t="n">
        <v>16238.0858856372</v>
      </c>
      <c r="H262" s="27" t="n">
        <v>20491.9342965693</v>
      </c>
      <c r="I262" s="27" t="n">
        <v>16349.725263846</v>
      </c>
      <c r="J262" s="27" t="n">
        <v>14671.2620338691</v>
      </c>
      <c r="K262" s="27" t="n">
        <v>14713.3664182512</v>
      </c>
      <c r="L262" s="27" t="n">
        <v>14726.3581401821</v>
      </c>
      <c r="M262" s="27" t="n">
        <v>14733.1033159403</v>
      </c>
      <c r="N262" s="28" t="n">
        <v>14707.1345206198</v>
      </c>
      <c r="O262" s="24" t="n">
        <v>14606.337868274</v>
      </c>
      <c r="P262" s="24" t="n">
        <v>14468.8210022537</v>
      </c>
      <c r="Q262" s="24" t="n">
        <v>14317.2006798925</v>
      </c>
      <c r="R262" s="24" t="n">
        <v>14124.7582812546</v>
      </c>
      <c r="S262" s="24" t="n">
        <v>12093.4151449774</v>
      </c>
      <c r="T262" s="24" t="n">
        <v>9990.59973135385</v>
      </c>
      <c r="U262" s="24" t="n">
        <v>9665.59578964998</v>
      </c>
      <c r="V262" s="24" t="n">
        <v>9302.35160069577</v>
      </c>
      <c r="W262" s="24" t="n">
        <v>8898.10256664555</v>
      </c>
      <c r="X262" s="24" t="n">
        <v>24117.168458346</v>
      </c>
      <c r="Y262" s="7"/>
      <c r="Z262" s="7"/>
      <c r="AA262" s="7"/>
    </row>
    <row r="263" customFormat="false" ht="12.75" hidden="false" customHeight="false" outlineLevel="0" collapsed="false">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c r="AA263" s="7"/>
    </row>
    <row r="264" customFormat="false" ht="12.75" hidden="false" customHeight="false" outlineLevel="0" collapsed="false">
      <c r="A264" s="29" t="s">
        <v>37</v>
      </c>
      <c r="B264" s="7"/>
      <c r="C264" s="7"/>
      <c r="D264" s="7"/>
      <c r="E264" s="7"/>
      <c r="F264" s="7"/>
      <c r="G264" s="7"/>
      <c r="H264" s="7"/>
      <c r="I264" s="7"/>
      <c r="J264" s="7"/>
      <c r="K264" s="7"/>
      <c r="L264" s="7"/>
      <c r="M264" s="7"/>
      <c r="N264" s="7"/>
      <c r="O264" s="7"/>
      <c r="P264" s="7"/>
      <c r="Q264" s="7"/>
      <c r="R264" s="7"/>
      <c r="S264" s="7"/>
      <c r="T264" s="7"/>
      <c r="U264" s="7"/>
      <c r="V264" s="7"/>
      <c r="W264" s="7"/>
      <c r="X264" s="7"/>
      <c r="Y264" s="7"/>
      <c r="Z264" s="7"/>
      <c r="AA264" s="7"/>
    </row>
    <row r="265" customFormat="false" ht="12.75" hidden="false" customHeight="false" outlineLevel="0" collapsed="false">
      <c r="A265" s="36" t="n">
        <v>36266</v>
      </c>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row>
    <row r="266" customFormat="false" ht="12.75" hidden="false" customHeight="false" outlineLevel="0" collapsed="false">
      <c r="A266" s="10" t="s">
        <v>3</v>
      </c>
      <c r="B266" s="11" t="n">
        <v>71475.3023711839</v>
      </c>
      <c r="C266" s="7"/>
      <c r="D266" s="7"/>
      <c r="E266" s="7"/>
      <c r="F266" s="7"/>
      <c r="G266" s="7"/>
      <c r="H266" s="7"/>
      <c r="I266" s="7"/>
      <c r="J266" s="7"/>
      <c r="K266" s="7"/>
      <c r="L266" s="7"/>
      <c r="M266" s="7"/>
      <c r="N266" s="7"/>
      <c r="O266" s="7"/>
      <c r="P266" s="7"/>
      <c r="Q266" s="7"/>
      <c r="R266" s="7"/>
      <c r="S266" s="7"/>
      <c r="T266" s="7"/>
      <c r="U266" s="7"/>
      <c r="V266" s="7"/>
      <c r="W266" s="7"/>
      <c r="X266" s="7"/>
      <c r="Y266" s="7"/>
      <c r="Z266" s="7"/>
      <c r="AA266" s="7"/>
    </row>
    <row r="267" customFormat="false" ht="12.75" hidden="false" customHeight="false" outlineLevel="0" collapsed="false">
      <c r="A267" s="12" t="s">
        <v>4</v>
      </c>
      <c r="B267" s="13" t="n">
        <v>107633.472917216</v>
      </c>
      <c r="C267" s="7"/>
      <c r="D267" s="7"/>
      <c r="E267" s="7"/>
      <c r="F267" s="7"/>
      <c r="G267" s="7"/>
      <c r="H267" s="7"/>
      <c r="I267" s="7"/>
      <c r="J267" s="7"/>
      <c r="K267" s="7"/>
      <c r="L267" s="7"/>
      <c r="M267" s="7"/>
      <c r="N267" s="7"/>
      <c r="O267" s="7"/>
      <c r="P267" s="7"/>
      <c r="Q267" s="7"/>
      <c r="R267" s="7"/>
      <c r="S267" s="7"/>
      <c r="T267" s="7"/>
      <c r="U267" s="7"/>
      <c r="V267" s="7"/>
      <c r="W267" s="7"/>
      <c r="X267" s="7"/>
      <c r="Y267" s="7"/>
      <c r="Z267" s="7"/>
      <c r="AA267" s="7"/>
    </row>
    <row r="268" customFormat="false" ht="12.75" hidden="false" customHeight="false" outlineLevel="0" collapsed="false">
      <c r="A268" s="14" t="s">
        <v>5</v>
      </c>
      <c r="B268" s="15" t="s">
        <v>6</v>
      </c>
      <c r="C268" s="15" t="s">
        <v>7</v>
      </c>
      <c r="D268" s="16" t="n">
        <v>2000</v>
      </c>
      <c r="E268" s="17" t="n">
        <v>2001</v>
      </c>
      <c r="F268" s="17" t="n">
        <v>2002</v>
      </c>
      <c r="G268" s="17" t="n">
        <v>2003</v>
      </c>
      <c r="H268" s="17" t="n">
        <v>2004</v>
      </c>
      <c r="I268" s="17" t="n">
        <v>2005</v>
      </c>
      <c r="J268" s="17" t="n">
        <v>2006</v>
      </c>
      <c r="K268" s="17" t="n">
        <v>2007</v>
      </c>
      <c r="L268" s="17" t="n">
        <v>2008</v>
      </c>
      <c r="M268" s="17" t="n">
        <v>2009</v>
      </c>
      <c r="N268" s="18" t="n">
        <v>2010</v>
      </c>
      <c r="O268" s="19" t="n">
        <v>2011</v>
      </c>
      <c r="P268" s="19" t="n">
        <v>2012</v>
      </c>
      <c r="Q268" s="19" t="n">
        <v>2013</v>
      </c>
      <c r="R268" s="19" t="n">
        <v>2014</v>
      </c>
      <c r="S268" s="19" t="n">
        <v>2015</v>
      </c>
      <c r="T268" s="19" t="n">
        <v>2016</v>
      </c>
      <c r="U268" s="19" t="n">
        <v>2017</v>
      </c>
      <c r="V268" s="19" t="n">
        <v>2018</v>
      </c>
      <c r="W268" s="19" t="n">
        <v>2019</v>
      </c>
      <c r="X268" s="19" t="n">
        <v>2020</v>
      </c>
      <c r="Y268" s="7"/>
      <c r="Z268" s="7"/>
      <c r="AA268" s="7"/>
    </row>
    <row r="269" customFormat="false" ht="12.75" hidden="false" customHeight="false" outlineLevel="0" collapsed="false">
      <c r="A269" s="14" t="s">
        <v>8</v>
      </c>
      <c r="B269" s="20" t="n">
        <f aca="false">NPV(0.1,D269:Y269)</f>
        <v>460990.342685689</v>
      </c>
      <c r="C269" s="20" t="n">
        <f aca="false">B269-B259</f>
        <v>61.869731912564</v>
      </c>
      <c r="D269" s="21" t="n">
        <v>32042.85291</v>
      </c>
      <c r="E269" s="22" t="n">
        <v>40388.5678928</v>
      </c>
      <c r="F269" s="22" t="n">
        <v>40461.919325084</v>
      </c>
      <c r="G269" s="22" t="n">
        <v>50068.2935555198</v>
      </c>
      <c r="H269" s="22" t="n">
        <v>57136.7077898078</v>
      </c>
      <c r="I269" s="22" t="n">
        <v>57378.1207117138</v>
      </c>
      <c r="J269" s="22" t="n">
        <v>58283.1938404204</v>
      </c>
      <c r="K269" s="22" t="n">
        <v>59207.2072963439</v>
      </c>
      <c r="L269" s="22" t="n">
        <v>60150.4829333014</v>
      </c>
      <c r="M269" s="22" t="n">
        <v>61113.3448700446</v>
      </c>
      <c r="N269" s="23" t="n">
        <v>62096.1193364875</v>
      </c>
      <c r="O269" s="24" t="n">
        <v>62781.8077052556</v>
      </c>
      <c r="P269" s="24" t="n">
        <v>63469.027116882</v>
      </c>
      <c r="Q269" s="24" t="n">
        <v>64157.2523144062</v>
      </c>
      <c r="R269" s="24" t="n">
        <v>64845.9251475117</v>
      </c>
      <c r="S269" s="24" t="n">
        <v>65534.4530716556</v>
      </c>
      <c r="T269" s="24" t="n">
        <v>66038.2732186116</v>
      </c>
      <c r="U269" s="24" t="n">
        <v>66529.6178147555</v>
      </c>
      <c r="V269" s="24" t="n">
        <v>67007.2848889062</v>
      </c>
      <c r="W269" s="24" t="n">
        <v>67470.0115796077</v>
      </c>
      <c r="X269" s="24" t="n">
        <v>48604.4162248048</v>
      </c>
      <c r="Y269" s="7"/>
      <c r="Z269" s="7"/>
      <c r="AA269" s="7"/>
    </row>
    <row r="270" customFormat="false" ht="12.75" hidden="false" customHeight="false" outlineLevel="0" collapsed="false">
      <c r="A270" s="25" t="s">
        <v>9</v>
      </c>
      <c r="B270" s="20" t="n">
        <f aca="false">NPV(0.1,D270:Y270)</f>
        <v>205675.854711749</v>
      </c>
      <c r="C270" s="20" t="n">
        <f aca="false">B270-B260</f>
        <v>61.8697319125931</v>
      </c>
      <c r="D270" s="21" t="n">
        <v>22265.1820427687</v>
      </c>
      <c r="E270" s="22" t="n">
        <v>23303.13215141</v>
      </c>
      <c r="F270" s="22" t="n">
        <v>23432.1657321893</v>
      </c>
      <c r="G270" s="22" t="n">
        <v>23557.1329259081</v>
      </c>
      <c r="H270" s="22" t="n">
        <v>23680.4885301028</v>
      </c>
      <c r="I270" s="22" t="n">
        <v>23817.2367321178</v>
      </c>
      <c r="J270" s="22" t="n">
        <v>23962.4974879109</v>
      </c>
      <c r="K270" s="22" t="n">
        <v>24112.5080473248</v>
      </c>
      <c r="L270" s="22" t="n">
        <v>24267.4371105997</v>
      </c>
      <c r="M270" s="22" t="n">
        <v>24427.4060267198</v>
      </c>
      <c r="N270" s="23" t="n">
        <v>24592.5921974021</v>
      </c>
      <c r="O270" s="24" t="n">
        <v>24763.1259341519</v>
      </c>
      <c r="P270" s="24" t="n">
        <v>24939.1938700827</v>
      </c>
      <c r="Q270" s="24" t="n">
        <v>25120.9358250384</v>
      </c>
      <c r="R270" s="24" t="n">
        <v>25308.5482257214</v>
      </c>
      <c r="S270" s="24" t="n">
        <v>25506.0021690073</v>
      </c>
      <c r="T270" s="24" t="n">
        <v>25713.4786527679</v>
      </c>
      <c r="U270" s="24" t="n">
        <v>25927.3558246001</v>
      </c>
      <c r="V270" s="24" t="n">
        <v>26147.8257051461</v>
      </c>
      <c r="W270" s="24" t="n">
        <v>26375.0860756671</v>
      </c>
      <c r="X270" s="24" t="n">
        <v>8684.95602586256</v>
      </c>
      <c r="Y270" s="7"/>
      <c r="Z270" s="7"/>
      <c r="AA270" s="7"/>
    </row>
    <row r="271" customFormat="false" ht="12.75" hidden="false" customHeight="false" outlineLevel="0" collapsed="false">
      <c r="A271" s="25" t="s">
        <v>10</v>
      </c>
      <c r="B271" s="20" t="n">
        <f aca="false">NPV(0.1,D271:Y271)</f>
        <v>86623.1798521109</v>
      </c>
      <c r="C271" s="20" t="n">
        <f aca="false">B271-B261</f>
        <v>0</v>
      </c>
      <c r="D271" s="21" t="n">
        <v>319.382494366595</v>
      </c>
      <c r="E271" s="22" t="n">
        <v>796.249779099133</v>
      </c>
      <c r="F271" s="22" t="n">
        <v>869.582312026537</v>
      </c>
      <c r="G271" s="22" t="n">
        <v>6708.00177064678</v>
      </c>
      <c r="H271" s="22" t="n">
        <v>10908.5606396106</v>
      </c>
      <c r="I271" s="22" t="n">
        <v>11282.6615098984</v>
      </c>
      <c r="J271" s="22" t="n">
        <v>12016.7357620395</v>
      </c>
      <c r="K271" s="22" t="n">
        <v>12664.0783616895</v>
      </c>
      <c r="L271" s="22" t="n">
        <v>13349.2513045235</v>
      </c>
      <c r="M271" s="22" t="n">
        <v>14074.9843000886</v>
      </c>
      <c r="N271" s="23" t="n">
        <v>14844.1869377592</v>
      </c>
      <c r="O271" s="24" t="n">
        <v>15468.4154900022</v>
      </c>
      <c r="P271" s="24" t="n">
        <v>16125.1110599535</v>
      </c>
      <c r="Q271" s="24" t="n">
        <v>16816.586397646</v>
      </c>
      <c r="R271" s="24" t="n">
        <v>17545.3046653524</v>
      </c>
      <c r="S271" s="24" t="n">
        <v>18311.6481026941</v>
      </c>
      <c r="T271" s="24" t="n">
        <v>19007.3647201407</v>
      </c>
      <c r="U271" s="24" t="n">
        <v>19738.6807679019</v>
      </c>
      <c r="V271" s="24" t="n">
        <v>20508.1540752873</v>
      </c>
      <c r="W271" s="24" t="n">
        <v>21318.5475879141</v>
      </c>
      <c r="X271" s="24" t="n">
        <v>21361.0207003772</v>
      </c>
      <c r="Y271" s="7"/>
      <c r="Z271" s="7"/>
      <c r="AA271" s="7"/>
    </row>
    <row r="272" customFormat="false" ht="12.75" hidden="false" customHeight="false" outlineLevel="0" collapsed="false">
      <c r="A272" s="25" t="s">
        <v>11</v>
      </c>
      <c r="B272" s="20" t="n">
        <f aca="false">NPV(0.1,D272:Y272)</f>
        <v>101861.045714008</v>
      </c>
      <c r="C272" s="20" t="n">
        <f aca="false">B272-B262</f>
        <v>0</v>
      </c>
      <c r="D272" s="26" t="n">
        <v>2585.65647058608</v>
      </c>
      <c r="E272" s="27" t="n">
        <v>4156.36081016507</v>
      </c>
      <c r="F272" s="27" t="n">
        <v>4142.81505673303</v>
      </c>
      <c r="G272" s="27" t="n">
        <v>16238.0858856372</v>
      </c>
      <c r="H272" s="27" t="n">
        <v>20491.9342965693</v>
      </c>
      <c r="I272" s="27" t="n">
        <v>16349.725263846</v>
      </c>
      <c r="J272" s="27" t="n">
        <v>14671.2620338691</v>
      </c>
      <c r="K272" s="27" t="n">
        <v>14713.3664182512</v>
      </c>
      <c r="L272" s="27" t="n">
        <v>14726.3581401821</v>
      </c>
      <c r="M272" s="27" t="n">
        <v>14733.1033159403</v>
      </c>
      <c r="N272" s="28" t="n">
        <v>14707.1345206198</v>
      </c>
      <c r="O272" s="24" t="n">
        <v>14606.337868274</v>
      </c>
      <c r="P272" s="24" t="n">
        <v>14468.8210022537</v>
      </c>
      <c r="Q272" s="24" t="n">
        <v>14317.2006798925</v>
      </c>
      <c r="R272" s="24" t="n">
        <v>14124.7582812546</v>
      </c>
      <c r="S272" s="24" t="n">
        <v>12093.4151449774</v>
      </c>
      <c r="T272" s="24" t="n">
        <v>9990.59973135384</v>
      </c>
      <c r="U272" s="24" t="n">
        <v>9665.59578964998</v>
      </c>
      <c r="V272" s="24" t="n">
        <v>9302.35160069577</v>
      </c>
      <c r="W272" s="24" t="n">
        <v>8898.10256664555</v>
      </c>
      <c r="X272" s="24" t="n">
        <v>24117.168458346</v>
      </c>
    </row>
    <row r="273" customFormat="false" ht="12.75" hidden="false" customHeight="false" outlineLevel="0" collapsed="false">
      <c r="A273" s="7"/>
      <c r="B273" s="7"/>
      <c r="C273" s="7"/>
      <c r="D273" s="7"/>
      <c r="E273" s="7"/>
      <c r="F273" s="7"/>
      <c r="G273" s="7"/>
    </row>
    <row r="274" customFormat="false" ht="12.75" hidden="false" customHeight="false" outlineLevel="0" collapsed="false">
      <c r="A274" s="29" t="s">
        <v>38</v>
      </c>
      <c r="B274" s="7"/>
      <c r="C274" s="7"/>
      <c r="D274" s="7"/>
      <c r="E274" s="7"/>
      <c r="F274" s="7"/>
      <c r="G274" s="7"/>
    </row>
    <row r="275" customFormat="false" ht="12.75" hidden="false" customHeight="false" outlineLevel="0" collapsed="false">
      <c r="A275" s="36" t="n">
        <v>36268</v>
      </c>
      <c r="B275" s="7"/>
      <c r="C275" s="7"/>
      <c r="D275" s="7"/>
      <c r="E275" s="7"/>
      <c r="F275" s="7"/>
      <c r="G275" s="7"/>
    </row>
    <row r="276" customFormat="false" ht="12.75" hidden="false" customHeight="false" outlineLevel="0" collapsed="false">
      <c r="A276" s="10" t="s">
        <v>3</v>
      </c>
      <c r="B276" s="11" t="n">
        <v>71388.2044784785</v>
      </c>
      <c r="C276" s="7"/>
      <c r="D276" s="7"/>
      <c r="E276" s="7"/>
      <c r="F276" s="7"/>
      <c r="G276" s="7"/>
      <c r="H276" s="7"/>
      <c r="I276" s="7"/>
      <c r="J276" s="7"/>
      <c r="K276" s="7"/>
      <c r="L276" s="7"/>
      <c r="M276" s="7"/>
      <c r="N276" s="7"/>
      <c r="O276" s="7"/>
      <c r="P276" s="7"/>
      <c r="Q276" s="7"/>
      <c r="R276" s="7"/>
      <c r="S276" s="7"/>
      <c r="T276" s="7"/>
      <c r="U276" s="7"/>
      <c r="V276" s="7"/>
      <c r="W276" s="7"/>
      <c r="X276" s="7"/>
    </row>
    <row r="277" customFormat="false" ht="12.75" hidden="false" customHeight="false" outlineLevel="0" collapsed="false">
      <c r="A277" s="12" t="s">
        <v>4</v>
      </c>
      <c r="B277" s="13" t="n">
        <v>107519.762593912</v>
      </c>
      <c r="C277" s="7"/>
      <c r="D277" s="7"/>
      <c r="E277" s="7"/>
      <c r="F277" s="7"/>
      <c r="G277" s="7"/>
      <c r="H277" s="7"/>
      <c r="I277" s="7"/>
      <c r="J277" s="7"/>
      <c r="K277" s="7"/>
      <c r="L277" s="7"/>
      <c r="M277" s="7"/>
      <c r="N277" s="7"/>
      <c r="O277" s="7"/>
      <c r="P277" s="7"/>
      <c r="Q277" s="7"/>
      <c r="R277" s="7"/>
      <c r="S277" s="7"/>
      <c r="T277" s="7"/>
      <c r="U277" s="7"/>
      <c r="V277" s="7"/>
      <c r="W277" s="7"/>
      <c r="X277" s="7"/>
    </row>
    <row r="278" customFormat="false" ht="12.75" hidden="false" customHeight="false" outlineLevel="0" collapsed="false">
      <c r="A278" s="14" t="s">
        <v>5</v>
      </c>
      <c r="B278" s="15" t="s">
        <v>6</v>
      </c>
      <c r="C278" s="15" t="s">
        <v>7</v>
      </c>
      <c r="D278" s="16" t="n">
        <v>2000</v>
      </c>
      <c r="E278" s="17" t="n">
        <v>2001</v>
      </c>
      <c r="F278" s="17" t="n">
        <v>2002</v>
      </c>
      <c r="G278" s="17" t="n">
        <v>2003</v>
      </c>
      <c r="H278" s="17" t="n">
        <v>2004</v>
      </c>
      <c r="I278" s="17" t="n">
        <v>2005</v>
      </c>
      <c r="J278" s="17" t="n">
        <v>2006</v>
      </c>
      <c r="K278" s="17" t="n">
        <v>2007</v>
      </c>
      <c r="L278" s="17" t="n">
        <v>2008</v>
      </c>
      <c r="M278" s="17" t="n">
        <v>2009</v>
      </c>
      <c r="N278" s="18" t="n">
        <v>2010</v>
      </c>
      <c r="O278" s="19" t="n">
        <v>2011</v>
      </c>
      <c r="P278" s="19" t="n">
        <v>2012</v>
      </c>
      <c r="Q278" s="19" t="n">
        <v>2013</v>
      </c>
      <c r="R278" s="19" t="n">
        <v>2014</v>
      </c>
      <c r="S278" s="19" t="n">
        <v>2015</v>
      </c>
      <c r="T278" s="19" t="n">
        <v>2016</v>
      </c>
      <c r="U278" s="19" t="n">
        <v>2017</v>
      </c>
      <c r="V278" s="19" t="n">
        <v>2018</v>
      </c>
      <c r="W278" s="19" t="n">
        <v>2019</v>
      </c>
      <c r="X278" s="19" t="n">
        <v>2020</v>
      </c>
    </row>
    <row r="279" customFormat="false" ht="12.75" hidden="false" customHeight="false" outlineLevel="0" collapsed="false">
      <c r="A279" s="14" t="s">
        <v>8</v>
      </c>
      <c r="B279" s="20" t="n">
        <f aca="false">NPV(0.1,D279:Y279)</f>
        <v>460819.59100602</v>
      </c>
      <c r="C279" s="20" t="n">
        <f aca="false">B279-B269</f>
        <v>-170.751679668843</v>
      </c>
      <c r="D279" s="21" t="n">
        <v>32031.2503</v>
      </c>
      <c r="E279" s="22" t="n">
        <v>40373.714912</v>
      </c>
      <c r="F279" s="22" t="n">
        <v>40447.06596236</v>
      </c>
      <c r="G279" s="22" t="n">
        <v>50049.6963499816</v>
      </c>
      <c r="H279" s="22" t="n">
        <v>57115.3644620009</v>
      </c>
      <c r="I279" s="22" t="n">
        <v>57356.7136280642</v>
      </c>
      <c r="J279" s="22" t="n">
        <v>58261.4632650716</v>
      </c>
      <c r="K279" s="22" t="n">
        <v>59185.1467499443</v>
      </c>
      <c r="L279" s="22" t="n">
        <v>60128.0858388807</v>
      </c>
      <c r="M279" s="22" t="n">
        <v>61090.6045529884</v>
      </c>
      <c r="N279" s="23" t="n">
        <v>62073.0290245976</v>
      </c>
      <c r="O279" s="24" t="n">
        <v>62758.4851662956</v>
      </c>
      <c r="P279" s="24" t="n">
        <v>63445.4728622835</v>
      </c>
      <c r="Q279" s="24" t="n">
        <v>64133.4670952909</v>
      </c>
      <c r="R279" s="24" t="n">
        <v>64821.9099686128</v>
      </c>
      <c r="S279" s="24" t="n">
        <v>65510.2092058582</v>
      </c>
      <c r="T279" s="24" t="n">
        <v>66013.8744665872</v>
      </c>
      <c r="U279" s="24" t="n">
        <v>66505.0703665846</v>
      </c>
      <c r="V279" s="24" t="n">
        <v>66982.5954454721</v>
      </c>
      <c r="W279" s="24" t="n">
        <v>67445.1873776728</v>
      </c>
      <c r="X279" s="24" t="n">
        <v>48586.5276366679</v>
      </c>
    </row>
    <row r="280" customFormat="false" ht="12.75" hidden="false" customHeight="false" outlineLevel="0" collapsed="false">
      <c r="A280" s="25" t="s">
        <v>9</v>
      </c>
      <c r="B280" s="20" t="n">
        <f aca="false">NPV(0.1,D280:Y280)</f>
        <v>205615.081989163</v>
      </c>
      <c r="C280" s="20" t="n">
        <f aca="false">B280-B270</f>
        <v>-60.7727225854469</v>
      </c>
      <c r="D280" s="21" t="n">
        <v>22258.0893888896</v>
      </c>
      <c r="E280" s="22" t="n">
        <v>23296.0099683485</v>
      </c>
      <c r="F280" s="22" t="n">
        <v>23425.0437294373</v>
      </c>
      <c r="G280" s="22" t="n">
        <v>23550.0143325731</v>
      </c>
      <c r="H280" s="22" t="n">
        <v>23673.3756369331</v>
      </c>
      <c r="I280" s="22" t="n">
        <v>23810.0995201134</v>
      </c>
      <c r="J280" s="22" t="n">
        <v>23955.3573670463</v>
      </c>
      <c r="K280" s="22" t="n">
        <v>24105.3649303343</v>
      </c>
      <c r="L280" s="22" t="n">
        <v>24260.2909075994</v>
      </c>
      <c r="M280" s="22" t="n">
        <v>24420.2566451295</v>
      </c>
      <c r="N280" s="23" t="n">
        <v>24585.4395418641</v>
      </c>
      <c r="O280" s="24" t="n">
        <v>24755.9699064477</v>
      </c>
      <c r="P280" s="24" t="n">
        <v>24932.0343690474</v>
      </c>
      <c r="Q280" s="24" t="n">
        <v>25113.7727464721</v>
      </c>
      <c r="R280" s="24" t="n">
        <v>25301.3814622981</v>
      </c>
      <c r="S280" s="24" t="n">
        <v>25498.8316101813</v>
      </c>
      <c r="T280" s="24" t="n">
        <v>25706.3041846772</v>
      </c>
      <c r="U280" s="24" t="n">
        <v>25920.1773299666</v>
      </c>
      <c r="V280" s="24" t="n">
        <v>26140.6430631736</v>
      </c>
      <c r="W280" s="24" t="n">
        <v>26367.8991619354</v>
      </c>
      <c r="X280" s="24" t="n">
        <v>8684.80496221893</v>
      </c>
    </row>
    <row r="281" customFormat="false" ht="12.75" hidden="false" customHeight="false" outlineLevel="0" collapsed="false">
      <c r="A281" s="25" t="s">
        <v>10</v>
      </c>
      <c r="B281" s="20" t="n">
        <f aca="false">NPV(0.1,D281:Y281)</f>
        <v>86575.4048135129</v>
      </c>
      <c r="C281" s="20" t="n">
        <f aca="false">B281-B271</f>
        <v>-47.7750385980035</v>
      </c>
      <c r="D281" s="21" t="n">
        <v>318.301575430721</v>
      </c>
      <c r="E281" s="22" t="n">
        <v>794.364047970692</v>
      </c>
      <c r="F281" s="22" t="n">
        <v>867.637019825731</v>
      </c>
      <c r="G281" s="22" t="n">
        <v>6703.72994506144</v>
      </c>
      <c r="H281" s="22" t="n">
        <v>10902.6208682084</v>
      </c>
      <c r="I281" s="22" t="n">
        <v>11276.6385906452</v>
      </c>
      <c r="J281" s="22" t="n">
        <v>12010.454431351</v>
      </c>
      <c r="K281" s="22" t="n">
        <v>12657.5234551115</v>
      </c>
      <c r="L281" s="22" t="n">
        <v>13342.4065738735</v>
      </c>
      <c r="M281" s="22" t="n">
        <v>14067.8323295649</v>
      </c>
      <c r="N281" s="23" t="n">
        <v>14836.7090533922</v>
      </c>
      <c r="O281" s="24" t="n">
        <v>15460.6669216713</v>
      </c>
      <c r="P281" s="24" t="n">
        <v>16117.0772105293</v>
      </c>
      <c r="Q281" s="24" t="n">
        <v>16808.2516308919</v>
      </c>
      <c r="R281" s="24" t="n">
        <v>17536.6522241643</v>
      </c>
      <c r="S281" s="24" t="n">
        <v>18302.6600207644</v>
      </c>
      <c r="T281" s="24" t="n">
        <v>18998.0653498635</v>
      </c>
      <c r="U281" s="24" t="n">
        <v>19729.0534266853</v>
      </c>
      <c r="V281" s="24" t="n">
        <v>20498.1808721779</v>
      </c>
      <c r="W281" s="24" t="n">
        <v>21308.2093271048</v>
      </c>
      <c r="X281" s="24" t="n">
        <v>21350.3102565054</v>
      </c>
    </row>
    <row r="282" customFormat="false" ht="12.75" hidden="false" customHeight="false" outlineLevel="0" collapsed="false">
      <c r="A282" s="25" t="s">
        <v>11</v>
      </c>
      <c r="B282" s="20" t="n">
        <f aca="false">NPV(0.1,D282:Y282)</f>
        <v>101829.674414426</v>
      </c>
      <c r="C282" s="20" t="n">
        <f aca="false">B282-B272</f>
        <v>-31.3712995817041</v>
      </c>
      <c r="D282" s="26" t="n">
        <v>2584.55933702974</v>
      </c>
      <c r="E282" s="27" t="n">
        <v>4154.48014494598</v>
      </c>
      <c r="F282" s="27" t="n">
        <v>4140.93425473985</v>
      </c>
      <c r="G282" s="27" t="n">
        <v>16231.0552356627</v>
      </c>
      <c r="H282" s="27" t="n">
        <v>20483.218155354</v>
      </c>
      <c r="I282" s="27" t="n">
        <v>16355.2968338467</v>
      </c>
      <c r="J282" s="27" t="n">
        <v>14666.5765682554</v>
      </c>
      <c r="K282" s="27" t="n">
        <v>14708.6658359241</v>
      </c>
      <c r="L282" s="27" t="n">
        <v>14721.6494645276</v>
      </c>
      <c r="M282" s="27" t="n">
        <v>14728.3943024299</v>
      </c>
      <c r="N282" s="28" t="n">
        <v>14702.4337181816</v>
      </c>
      <c r="O282" s="24" t="n">
        <v>14601.6800903877</v>
      </c>
      <c r="P282" s="24" t="n">
        <v>14464.2165034327</v>
      </c>
      <c r="Q282" s="24" t="n">
        <v>14312.6605665842</v>
      </c>
      <c r="R282" s="24" t="n">
        <v>14120.2945757585</v>
      </c>
      <c r="S282" s="24" t="n">
        <v>12089.0408541935</v>
      </c>
      <c r="T282" s="24" t="n">
        <v>9986.343646299</v>
      </c>
      <c r="U282" s="24" t="n">
        <v>9661.47306431486</v>
      </c>
      <c r="V282" s="24" t="n">
        <v>9298.37852190812</v>
      </c>
      <c r="W282" s="24" t="n">
        <v>8894.29663480048</v>
      </c>
      <c r="X282" s="24" t="n">
        <v>24106.4580144742</v>
      </c>
    </row>
    <row r="283" customFormat="false" ht="12.75" hidden="false" customHeight="false" outlineLevel="0" collapsed="false">
      <c r="A283" s="7"/>
      <c r="B283" s="7"/>
      <c r="C283" s="7"/>
      <c r="D283" s="7"/>
      <c r="E283" s="7"/>
      <c r="F283" s="7"/>
      <c r="G283" s="7"/>
    </row>
    <row r="284" customFormat="false" ht="12.75" hidden="false" customHeight="false" outlineLevel="0" collapsed="false">
      <c r="A284" s="29" t="s">
        <v>39</v>
      </c>
      <c r="B284" s="7"/>
      <c r="C284" s="7"/>
      <c r="D284" s="7"/>
      <c r="E284" s="7"/>
      <c r="F284" s="7"/>
      <c r="G284" s="7"/>
    </row>
    <row r="285" customFormat="false" ht="12.75" hidden="false" customHeight="false" outlineLevel="0" collapsed="false">
      <c r="A285" s="36" t="n">
        <v>36268</v>
      </c>
      <c r="B285" s="7"/>
      <c r="C285" s="7"/>
      <c r="D285" s="7"/>
      <c r="E285" s="7"/>
      <c r="F285" s="7"/>
      <c r="G285" s="7"/>
    </row>
    <row r="286" customFormat="false" ht="12.75" hidden="false" customHeight="false" outlineLevel="0" collapsed="false">
      <c r="A286" s="10" t="s">
        <v>3</v>
      </c>
      <c r="B286" s="11" t="n">
        <v>80645.1087478252</v>
      </c>
      <c r="C286" s="7"/>
      <c r="D286" s="7"/>
      <c r="E286" s="7"/>
      <c r="F286" s="7"/>
      <c r="G286" s="7"/>
      <c r="H286" s="7"/>
      <c r="I286" s="7"/>
      <c r="J286" s="7"/>
      <c r="K286" s="7"/>
      <c r="L286" s="7"/>
      <c r="M286" s="7"/>
      <c r="N286" s="7"/>
      <c r="O286" s="7"/>
      <c r="P286" s="7"/>
      <c r="Q286" s="7"/>
      <c r="R286" s="7"/>
      <c r="S286" s="7"/>
      <c r="T286" s="7"/>
      <c r="U286" s="7"/>
      <c r="V286" s="7"/>
      <c r="W286" s="7"/>
      <c r="X286" s="7"/>
    </row>
    <row r="287" customFormat="false" ht="12.75" hidden="false" customHeight="false" outlineLevel="0" collapsed="false">
      <c r="A287" s="12" t="s">
        <v>4</v>
      </c>
      <c r="B287" s="13" t="n">
        <v>119863.392852555</v>
      </c>
      <c r="C287" s="7"/>
      <c r="D287" s="7"/>
      <c r="E287" s="7"/>
      <c r="F287" s="7"/>
      <c r="G287" s="7"/>
      <c r="H287" s="7"/>
      <c r="I287" s="7"/>
      <c r="J287" s="7"/>
      <c r="K287" s="7"/>
      <c r="L287" s="7"/>
      <c r="M287" s="7"/>
      <c r="N287" s="7"/>
      <c r="O287" s="7"/>
      <c r="P287" s="7"/>
      <c r="Q287" s="7"/>
      <c r="R287" s="7"/>
      <c r="S287" s="7"/>
      <c r="T287" s="7"/>
      <c r="U287" s="7"/>
      <c r="V287" s="7"/>
      <c r="W287" s="7"/>
      <c r="X287" s="7"/>
    </row>
    <row r="288" customFormat="false" ht="12.75" hidden="false" customHeight="false" outlineLevel="0" collapsed="false">
      <c r="A288" s="14" t="s">
        <v>5</v>
      </c>
      <c r="B288" s="15" t="s">
        <v>6</v>
      </c>
      <c r="C288" s="15" t="s">
        <v>7</v>
      </c>
      <c r="D288" s="16" t="n">
        <v>2000</v>
      </c>
      <c r="E288" s="17" t="n">
        <v>2001</v>
      </c>
      <c r="F288" s="17" t="n">
        <v>2002</v>
      </c>
      <c r="G288" s="17" t="n">
        <v>2003</v>
      </c>
      <c r="H288" s="17" t="n">
        <v>2004</v>
      </c>
      <c r="I288" s="17" t="n">
        <v>2005</v>
      </c>
      <c r="J288" s="17" t="n">
        <v>2006</v>
      </c>
      <c r="K288" s="17" t="n">
        <v>2007</v>
      </c>
      <c r="L288" s="17" t="n">
        <v>2008</v>
      </c>
      <c r="M288" s="17" t="n">
        <v>2009</v>
      </c>
      <c r="N288" s="18" t="n">
        <v>2010</v>
      </c>
      <c r="O288" s="19" t="n">
        <v>2011</v>
      </c>
      <c r="P288" s="19" t="n">
        <v>2012</v>
      </c>
      <c r="Q288" s="19" t="n">
        <v>2013</v>
      </c>
      <c r="R288" s="19" t="n">
        <v>2014</v>
      </c>
      <c r="S288" s="19" t="n">
        <v>2015</v>
      </c>
      <c r="T288" s="19" t="n">
        <v>2016</v>
      </c>
      <c r="U288" s="19" t="n">
        <v>2017</v>
      </c>
      <c r="V288" s="19" t="n">
        <v>2018</v>
      </c>
      <c r="W288" s="19" t="n">
        <v>2019</v>
      </c>
      <c r="X288" s="19" t="n">
        <v>2020</v>
      </c>
    </row>
    <row r="289" customFormat="false" ht="12.75" hidden="false" customHeight="false" outlineLevel="0" collapsed="false">
      <c r="A289" s="14" t="s">
        <v>8</v>
      </c>
      <c r="B289" s="20" t="n">
        <f aca="false">NPV(0.1,D289:Y289)</f>
        <v>472655.626912731</v>
      </c>
      <c r="C289" s="20" t="n">
        <f aca="false">B289-B279</f>
        <v>11836.0359067112</v>
      </c>
      <c r="D289" s="21" t="n">
        <v>34766.76335</v>
      </c>
      <c r="E289" s="22" t="n">
        <v>45037.979816</v>
      </c>
      <c r="F289" s="22" t="n">
        <v>45111.33277598</v>
      </c>
      <c r="G289" s="22" t="n">
        <v>52055.1823776728</v>
      </c>
      <c r="H289" s="22" t="n">
        <v>57222.0811010356</v>
      </c>
      <c r="I289" s="22" t="n">
        <v>57463.7490463126</v>
      </c>
      <c r="J289" s="22" t="n">
        <v>58370.1161418157</v>
      </c>
      <c r="K289" s="22" t="n">
        <v>59295.4494819424</v>
      </c>
      <c r="L289" s="22" t="n">
        <v>60240.0713109841</v>
      </c>
      <c r="M289" s="22" t="n">
        <v>61204.3061382695</v>
      </c>
      <c r="N289" s="23" t="n">
        <v>62188.4805840471</v>
      </c>
      <c r="O289" s="24" t="n">
        <v>62875.0978610954</v>
      </c>
      <c r="P289" s="24" t="n">
        <v>63563.244135276</v>
      </c>
      <c r="Q289" s="24" t="n">
        <v>64252.3931908674</v>
      </c>
      <c r="R289" s="24" t="n">
        <v>64941.9858631075</v>
      </c>
      <c r="S289" s="24" t="n">
        <v>65631.4285348453</v>
      </c>
      <c r="T289" s="24" t="n">
        <v>66135.8682267092</v>
      </c>
      <c r="U289" s="24" t="n">
        <v>66627.8076074387</v>
      </c>
      <c r="V289" s="24" t="n">
        <v>67106.0426626428</v>
      </c>
      <c r="W289" s="24" t="n">
        <v>67569.3083873475</v>
      </c>
      <c r="X289" s="24" t="n">
        <v>48675.9705773522</v>
      </c>
    </row>
    <row r="290" customFormat="false" ht="12.75" hidden="false" customHeight="false" outlineLevel="0" collapsed="false">
      <c r="A290" s="25" t="s">
        <v>9</v>
      </c>
      <c r="B290" s="20" t="n">
        <f aca="false">NPV(0.1,D290:Y290)</f>
        <v>205896.611171753</v>
      </c>
      <c r="C290" s="20" t="n">
        <f aca="false">B290-B280</f>
        <v>281.529182589758</v>
      </c>
      <c r="D290" s="21" t="n">
        <v>22291.5839255297</v>
      </c>
      <c r="E290" s="22" t="n">
        <v>23326.1656372083</v>
      </c>
      <c r="F290" s="22" t="n">
        <v>23451.5120514863</v>
      </c>
      <c r="G290" s="22" t="n">
        <v>23574.8634346529</v>
      </c>
      <c r="H290" s="22" t="n">
        <v>23705.9933320529</v>
      </c>
      <c r="I290" s="22" t="n">
        <v>23845.7855801358</v>
      </c>
      <c r="J290" s="22" t="n">
        <v>23991.0579713694</v>
      </c>
      <c r="K290" s="22" t="n">
        <v>24141.080515287</v>
      </c>
      <c r="L290" s="22" t="n">
        <v>24296.0219226008</v>
      </c>
      <c r="M290" s="22" t="n">
        <v>24456.0035530809</v>
      </c>
      <c r="N290" s="23" t="n">
        <v>24621.2028195541</v>
      </c>
      <c r="O290" s="24" t="n">
        <v>24791.7500449684</v>
      </c>
      <c r="P290" s="24" t="n">
        <v>24967.8318742237</v>
      </c>
      <c r="Q290" s="24" t="n">
        <v>25149.5881393036</v>
      </c>
      <c r="R290" s="24" t="n">
        <v>25337.2152794146</v>
      </c>
      <c r="S290" s="24" t="n">
        <v>25534.6844043113</v>
      </c>
      <c r="T290" s="24" t="n">
        <v>25742.176525131</v>
      </c>
      <c r="U290" s="24" t="n">
        <v>25956.0698031341</v>
      </c>
      <c r="V290" s="24" t="n">
        <v>26176.5562730361</v>
      </c>
      <c r="W290" s="24" t="n">
        <v>26403.8337305938</v>
      </c>
      <c r="X290" s="24" t="n">
        <v>8685.56028043708</v>
      </c>
    </row>
    <row r="291" customFormat="false" ht="12.75" hidden="false" customHeight="false" outlineLevel="0" collapsed="false">
      <c r="A291" s="25" t="s">
        <v>10</v>
      </c>
      <c r="B291" s="20" t="n">
        <f aca="false">NPV(0.1,D291:Y291)</f>
        <v>92820.6390722152</v>
      </c>
      <c r="C291" s="20" t="n">
        <f aca="false">B291-B281</f>
        <v>6245.23425870229</v>
      </c>
      <c r="D291" s="21" t="n">
        <v>1708.89456341431</v>
      </c>
      <c r="E291" s="22" t="n">
        <v>3256.88253304544</v>
      </c>
      <c r="F291" s="22" t="n">
        <v>3471.12394827665</v>
      </c>
      <c r="G291" s="22" t="n">
        <v>7852.36816987893</v>
      </c>
      <c r="H291" s="22" t="n">
        <v>10934.0470023376</v>
      </c>
      <c r="I291" s="22" t="n">
        <v>11306.7531869112</v>
      </c>
      <c r="J291" s="22" t="n">
        <v>12041.8610847936</v>
      </c>
      <c r="K291" s="22" t="n">
        <v>12690.2979880013</v>
      </c>
      <c r="L291" s="22" t="n">
        <v>13376.6302271238</v>
      </c>
      <c r="M291" s="22" t="n">
        <v>14103.5921821831</v>
      </c>
      <c r="N291" s="23" t="n">
        <v>14874.0984752271</v>
      </c>
      <c r="O291" s="24" t="n">
        <v>15499.4097633259</v>
      </c>
      <c r="P291" s="24" t="n">
        <v>16157.2464576503</v>
      </c>
      <c r="Q291" s="24" t="n">
        <v>16849.925464662</v>
      </c>
      <c r="R291" s="24" t="n">
        <v>17579.9144301051</v>
      </c>
      <c r="S291" s="24" t="n">
        <v>18347.6004304126</v>
      </c>
      <c r="T291" s="24" t="n">
        <v>19044.5622012492</v>
      </c>
      <c r="U291" s="24" t="n">
        <v>19777.1901327685</v>
      </c>
      <c r="V291" s="24" t="n">
        <v>20548.0468877251</v>
      </c>
      <c r="W291" s="24" t="n">
        <v>21359.9006311511</v>
      </c>
      <c r="X291" s="24" t="n">
        <v>21403.8624758643</v>
      </c>
    </row>
    <row r="292" customFormat="false" ht="12.75" hidden="false" customHeight="false" outlineLevel="0" collapsed="false">
      <c r="A292" s="25" t="s">
        <v>11</v>
      </c>
      <c r="B292" s="20" t="n">
        <f aca="false">NPV(0.1,D292:Y292)</f>
        <v>102051.082803859</v>
      </c>
      <c r="C292" s="20" t="n">
        <f aca="false">B292-B282</f>
        <v>221.408389433258</v>
      </c>
      <c r="D292" s="26" t="n">
        <v>3241.87730229903</v>
      </c>
      <c r="E292" s="27" t="n">
        <v>5281.81633387914</v>
      </c>
      <c r="F292" s="27" t="n">
        <v>5269.16792624703</v>
      </c>
      <c r="G292" s="27" t="n">
        <v>17444.1953525997</v>
      </c>
      <c r="H292" s="27" t="n">
        <v>16814.5329010779</v>
      </c>
      <c r="I292" s="27" t="n">
        <v>14924.2148271656</v>
      </c>
      <c r="J292" s="27" t="n">
        <v>14690.0038963235</v>
      </c>
      <c r="K292" s="27" t="n">
        <v>14732.1687475596</v>
      </c>
      <c r="L292" s="27" t="n">
        <v>14745.1928428005</v>
      </c>
      <c r="M292" s="27" t="n">
        <v>14751.9393699816</v>
      </c>
      <c r="N292" s="28" t="n">
        <v>14725.9377303726</v>
      </c>
      <c r="O292" s="24" t="n">
        <v>14624.9689798191</v>
      </c>
      <c r="P292" s="24" t="n">
        <v>14487.2389975377</v>
      </c>
      <c r="Q292" s="24" t="n">
        <v>14335.3611331256</v>
      </c>
      <c r="R292" s="24" t="n">
        <v>14142.613103239</v>
      </c>
      <c r="S292" s="24" t="n">
        <v>12110.9123081131</v>
      </c>
      <c r="T292" s="24" t="n">
        <v>10007.6240715732</v>
      </c>
      <c r="U292" s="24" t="n">
        <v>9682.08669099051</v>
      </c>
      <c r="V292" s="24" t="n">
        <v>9318.2439158464</v>
      </c>
      <c r="W292" s="24" t="n">
        <v>8913.32629402586</v>
      </c>
      <c r="X292" s="24" t="n">
        <v>24160.010233833</v>
      </c>
    </row>
    <row r="294" customFormat="false" ht="11.25" hidden="false" customHeight="false" outlineLevel="0" collapsed="false">
      <c r="A294" s="29" t="s">
        <v>40</v>
      </c>
    </row>
    <row r="295" customFormat="false" ht="11.25" hidden="false" customHeight="false" outlineLevel="0" collapsed="false">
      <c r="A295" s="36" t="n">
        <v>36269</v>
      </c>
    </row>
    <row r="296" customFormat="false" ht="12.75" hidden="false" customHeight="false" outlineLevel="0" collapsed="false">
      <c r="A296" s="10" t="s">
        <v>3</v>
      </c>
      <c r="B296" s="11" t="n">
        <v>80975.3804100406</v>
      </c>
      <c r="C296" s="7"/>
      <c r="D296" s="7"/>
      <c r="E296" s="7"/>
      <c r="F296" s="7"/>
      <c r="G296" s="7"/>
      <c r="H296" s="7"/>
      <c r="I296" s="7"/>
      <c r="J296" s="7"/>
      <c r="K296" s="7"/>
      <c r="L296" s="7"/>
      <c r="M296" s="7"/>
      <c r="N296" s="7"/>
      <c r="O296" s="7"/>
      <c r="P296" s="7"/>
      <c r="Q296" s="7"/>
      <c r="R296" s="7"/>
      <c r="S296" s="7"/>
      <c r="T296" s="7"/>
      <c r="U296" s="7"/>
      <c r="V296" s="7"/>
      <c r="W296" s="7"/>
      <c r="X296" s="7"/>
    </row>
    <row r="297" customFormat="false" ht="12.75" hidden="false" customHeight="false" outlineLevel="0" collapsed="false">
      <c r="A297" s="12" t="s">
        <v>4</v>
      </c>
      <c r="B297" s="13" t="n">
        <v>120296.801676282</v>
      </c>
      <c r="C297" s="7"/>
      <c r="D297" s="7"/>
      <c r="E297" s="7"/>
      <c r="F297" s="7"/>
      <c r="G297" s="7"/>
      <c r="H297" s="7"/>
      <c r="I297" s="7"/>
      <c r="J297" s="7"/>
      <c r="K297" s="7"/>
      <c r="L297" s="7"/>
      <c r="M297" s="7"/>
      <c r="N297" s="7"/>
      <c r="O297" s="7"/>
      <c r="P297" s="7"/>
      <c r="Q297" s="7"/>
      <c r="R297" s="7"/>
      <c r="S297" s="7"/>
      <c r="T297" s="7"/>
      <c r="U297" s="7"/>
      <c r="V297" s="7"/>
      <c r="W297" s="7"/>
      <c r="X297" s="7"/>
    </row>
    <row r="298" customFormat="false" ht="12.75" hidden="false" customHeight="false" outlineLevel="0" collapsed="false">
      <c r="A298" s="14" t="s">
        <v>5</v>
      </c>
      <c r="B298" s="15" t="s">
        <v>6</v>
      </c>
      <c r="C298" s="15" t="s">
        <v>7</v>
      </c>
      <c r="D298" s="16" t="n">
        <v>2000</v>
      </c>
      <c r="E298" s="17" t="n">
        <v>2001</v>
      </c>
      <c r="F298" s="17" t="n">
        <v>2002</v>
      </c>
      <c r="G298" s="17" t="n">
        <v>2003</v>
      </c>
      <c r="H298" s="17" t="n">
        <v>2004</v>
      </c>
      <c r="I298" s="17" t="n">
        <v>2005</v>
      </c>
      <c r="J298" s="17" t="n">
        <v>2006</v>
      </c>
      <c r="K298" s="17" t="n">
        <v>2007</v>
      </c>
      <c r="L298" s="17" t="n">
        <v>2008</v>
      </c>
      <c r="M298" s="17" t="n">
        <v>2009</v>
      </c>
      <c r="N298" s="18" t="n">
        <v>2010</v>
      </c>
      <c r="O298" s="19" t="n">
        <v>2011</v>
      </c>
      <c r="P298" s="19" t="n">
        <v>2012</v>
      </c>
      <c r="Q298" s="19" t="n">
        <v>2013</v>
      </c>
      <c r="R298" s="19" t="n">
        <v>2014</v>
      </c>
      <c r="S298" s="19" t="n">
        <v>2015</v>
      </c>
      <c r="T298" s="19" t="n">
        <v>2016</v>
      </c>
      <c r="U298" s="19" t="n">
        <v>2017</v>
      </c>
      <c r="V298" s="19" t="n">
        <v>2018</v>
      </c>
      <c r="W298" s="19" t="n">
        <v>2019</v>
      </c>
      <c r="X298" s="19" t="n">
        <v>2020</v>
      </c>
    </row>
    <row r="299" customFormat="false" ht="12.75" hidden="false" customHeight="false" outlineLevel="0" collapsed="false">
      <c r="A299" s="14" t="s">
        <v>8</v>
      </c>
      <c r="B299" s="20" t="n">
        <f aca="false">NPV(0.1,D299:Y299)</f>
        <v>472655.626912731</v>
      </c>
      <c r="C299" s="20" t="n">
        <f aca="false">B299-B289</f>
        <v>0</v>
      </c>
      <c r="D299" s="21" t="n">
        <v>34766.76335</v>
      </c>
      <c r="E299" s="22" t="n">
        <v>45037.979816</v>
      </c>
      <c r="F299" s="22" t="n">
        <v>45111.33277598</v>
      </c>
      <c r="G299" s="22" t="n">
        <v>52055.1823776728</v>
      </c>
      <c r="H299" s="22" t="n">
        <v>57222.0811010356</v>
      </c>
      <c r="I299" s="22" t="n">
        <v>57463.7490463126</v>
      </c>
      <c r="J299" s="22" t="n">
        <v>58370.1161418157</v>
      </c>
      <c r="K299" s="22" t="n">
        <v>59295.4494819424</v>
      </c>
      <c r="L299" s="22" t="n">
        <v>60240.0713109841</v>
      </c>
      <c r="M299" s="22" t="n">
        <v>61204.3061382695</v>
      </c>
      <c r="N299" s="23" t="n">
        <v>62188.4805840471</v>
      </c>
      <c r="O299" s="24" t="n">
        <v>62875.0978610954</v>
      </c>
      <c r="P299" s="24" t="n">
        <v>63563.244135276</v>
      </c>
      <c r="Q299" s="24" t="n">
        <v>64252.3931908674</v>
      </c>
      <c r="R299" s="24" t="n">
        <v>64941.9858631075</v>
      </c>
      <c r="S299" s="24" t="n">
        <v>65631.4285348453</v>
      </c>
      <c r="T299" s="24" t="n">
        <v>66135.8682267092</v>
      </c>
      <c r="U299" s="24" t="n">
        <v>66627.8076074387</v>
      </c>
      <c r="V299" s="24" t="n">
        <v>67106.0426626428</v>
      </c>
      <c r="W299" s="24" t="n">
        <v>67569.3083873475</v>
      </c>
      <c r="X299" s="24" t="n">
        <v>48675.9705773522</v>
      </c>
    </row>
    <row r="300" customFormat="false" ht="12.75" hidden="false" customHeight="false" outlineLevel="0" collapsed="false">
      <c r="A300" s="25" t="s">
        <v>9</v>
      </c>
      <c r="B300" s="20" t="n">
        <f aca="false">NPV(0.1,D300:Y300)</f>
        <v>205477.601964084</v>
      </c>
      <c r="C300" s="20" t="n">
        <f aca="false">B300-B290</f>
        <v>-419.009207669325</v>
      </c>
      <c r="D300" s="21" t="n">
        <v>22296.4036957141</v>
      </c>
      <c r="E300" s="22" t="n">
        <v>23281.5990040653</v>
      </c>
      <c r="F300" s="22" t="n">
        <v>23405.5845919101</v>
      </c>
      <c r="G300" s="22" t="n">
        <v>23527.532709103</v>
      </c>
      <c r="H300" s="22" t="n">
        <v>23657.3038209323</v>
      </c>
      <c r="I300" s="22" t="n">
        <v>23795.6353836815</v>
      </c>
      <c r="J300" s="22" t="n">
        <v>23939.4032690216</v>
      </c>
      <c r="K300" s="22" t="n">
        <v>24087.8761718688</v>
      </c>
      <c r="L300" s="22" t="n">
        <v>24241.22144888</v>
      </c>
      <c r="M300" s="22" t="n">
        <v>24399.5590651485</v>
      </c>
      <c r="N300" s="23" t="n">
        <v>24563.0649969836</v>
      </c>
      <c r="O300" s="24" t="n">
        <v>24731.8680877208</v>
      </c>
      <c r="P300" s="24" t="n">
        <v>24906.1534582587</v>
      </c>
      <c r="Q300" s="24" t="n">
        <v>25086.0593708597</v>
      </c>
      <c r="R300" s="24" t="n">
        <v>25271.7806479173</v>
      </c>
      <c r="S300" s="24" t="n">
        <v>25467.2867338691</v>
      </c>
      <c r="T300" s="24" t="n">
        <v>25672.7569245756</v>
      </c>
      <c r="U300" s="24" t="n">
        <v>25884.5676145621</v>
      </c>
      <c r="V300" s="24" t="n">
        <v>26102.9090188068</v>
      </c>
      <c r="W300" s="24" t="n">
        <v>26327.9770587377</v>
      </c>
      <c r="X300" s="24" t="n">
        <v>8607.42790842528</v>
      </c>
    </row>
    <row r="301" customFormat="false" ht="12.75" hidden="false" customHeight="false" outlineLevel="0" collapsed="false">
      <c r="A301" s="25" t="s">
        <v>10</v>
      </c>
      <c r="B301" s="20" t="n">
        <f aca="false">NPV(0.1,D301:Y301)</f>
        <v>93001.1368913428</v>
      </c>
      <c r="C301" s="20" t="n">
        <f aca="false">B301-B291</f>
        <v>180.497819127559</v>
      </c>
      <c r="D301" s="21" t="n">
        <v>1699.67500804773</v>
      </c>
      <c r="E301" s="22" t="n">
        <v>3272.31703410035</v>
      </c>
      <c r="F301" s="22" t="n">
        <v>3488.07523778953</v>
      </c>
      <c r="G301" s="22" t="n">
        <v>7870.96412451847</v>
      </c>
      <c r="H301" s="22" t="n">
        <v>10953.5679922038</v>
      </c>
      <c r="I301" s="22" t="n">
        <v>11327.2950379827</v>
      </c>
      <c r="J301" s="22" t="n">
        <v>12063.4892414273</v>
      </c>
      <c r="K301" s="22" t="n">
        <v>12713.0826433665</v>
      </c>
      <c r="L301" s="22" t="n">
        <v>13400.646688505</v>
      </c>
      <c r="M301" s="22" t="n">
        <v>14128.9212650692</v>
      </c>
      <c r="N301" s="23" t="n">
        <v>14900.8269284763</v>
      </c>
      <c r="O301" s="24" t="n">
        <v>15527.6307278793</v>
      </c>
      <c r="P301" s="24" t="n">
        <v>16187.0599614634</v>
      </c>
      <c r="Q301" s="24" t="n">
        <v>16881.4389567386</v>
      </c>
      <c r="R301" s="24" t="n">
        <v>17613.243356745</v>
      </c>
      <c r="S301" s="24" t="n">
        <v>18382.8688570368</v>
      </c>
      <c r="T301" s="24" t="n">
        <v>19081.9034834318</v>
      </c>
      <c r="U301" s="24" t="n">
        <v>19816.7476403973</v>
      </c>
      <c r="V301" s="24" t="n">
        <v>20589.9747865218</v>
      </c>
      <c r="W301" s="24" t="n">
        <v>21404.364726126</v>
      </c>
      <c r="X301" s="24" t="n">
        <v>21451.0411216398</v>
      </c>
    </row>
    <row r="302" customFormat="false" ht="12.75" hidden="false" customHeight="false" outlineLevel="0" collapsed="false">
      <c r="A302" s="25" t="s">
        <v>11</v>
      </c>
      <c r="B302" s="20" t="n">
        <f aca="false">NPV(0.1,D302:Y302)</f>
        <v>102167.692637451</v>
      </c>
      <c r="C302" s="20" t="n">
        <f aca="false">B302-B292</f>
        <v>116.609833591894</v>
      </c>
      <c r="D302" s="26" t="n">
        <v>3240.70480051379</v>
      </c>
      <c r="E302" s="27" t="n">
        <v>5292.6580244418</v>
      </c>
      <c r="F302" s="27" t="n">
        <v>5280.34066400932</v>
      </c>
      <c r="G302" s="27" t="n">
        <v>17473.185421999</v>
      </c>
      <c r="H302" s="27" t="n">
        <v>16802.8789350287</v>
      </c>
      <c r="I302" s="27" t="n">
        <v>14941.0291527998</v>
      </c>
      <c r="J302" s="27" t="n">
        <v>14707.0045231275</v>
      </c>
      <c r="K302" s="27" t="n">
        <v>14749.3358142806</v>
      </c>
      <c r="L302" s="27" t="n">
        <v>14762.5038563249</v>
      </c>
      <c r="M302" s="27" t="n">
        <v>14769.3689634977</v>
      </c>
      <c r="N302" s="28" t="n">
        <v>14743.4574012471</v>
      </c>
      <c r="O302" s="24" t="n">
        <v>14642.5468055368</v>
      </c>
      <c r="P302" s="24" t="n">
        <v>14504.8393279215</v>
      </c>
      <c r="Q302" s="24" t="n">
        <v>14352.9442569068</v>
      </c>
      <c r="R302" s="24" t="n">
        <v>14160.1348868986</v>
      </c>
      <c r="S302" s="24" t="n">
        <v>12128.3238047405</v>
      </c>
      <c r="T302" s="24" t="n">
        <v>10024.8710973142</v>
      </c>
      <c r="U302" s="24" t="n">
        <v>9699.1093664556</v>
      </c>
      <c r="V302" s="24" t="n">
        <v>9334.97616964349</v>
      </c>
      <c r="W302" s="24" t="n">
        <v>8929.69532535035</v>
      </c>
      <c r="X302" s="24" t="n">
        <v>24207.1888796085</v>
      </c>
    </row>
    <row r="304" customFormat="false" ht="11.25" hidden="false" customHeight="false" outlineLevel="0" collapsed="false">
      <c r="A304" s="29" t="s">
        <v>41</v>
      </c>
    </row>
    <row r="305" customFormat="false" ht="11.25" hidden="false" customHeight="false" outlineLevel="0" collapsed="false">
      <c r="A305" s="36" t="n">
        <v>36271</v>
      </c>
    </row>
    <row r="306" customFormat="false" ht="12.75" hidden="false" customHeight="false" outlineLevel="0" collapsed="false">
      <c r="A306" s="10" t="s">
        <v>3</v>
      </c>
      <c r="B306" s="11" t="n">
        <v>80976.2069080773</v>
      </c>
      <c r="C306" s="7"/>
      <c r="D306" s="7"/>
      <c r="E306" s="7"/>
      <c r="F306" s="7"/>
      <c r="G306" s="7"/>
      <c r="H306" s="7"/>
      <c r="I306" s="7"/>
      <c r="J306" s="7"/>
      <c r="K306" s="7"/>
      <c r="L306" s="7"/>
      <c r="M306" s="7"/>
      <c r="N306" s="7"/>
      <c r="O306" s="7"/>
      <c r="P306" s="7"/>
      <c r="Q306" s="7"/>
      <c r="R306" s="7"/>
      <c r="S306" s="7"/>
      <c r="T306" s="7"/>
      <c r="U306" s="7"/>
      <c r="V306" s="7"/>
      <c r="W306" s="7"/>
      <c r="X306" s="7"/>
    </row>
    <row r="307" customFormat="false" ht="12.75" hidden="false" customHeight="false" outlineLevel="0" collapsed="false">
      <c r="A307" s="12" t="s">
        <v>4</v>
      </c>
      <c r="B307" s="13" t="n">
        <v>120297.8027164</v>
      </c>
      <c r="C307" s="7"/>
      <c r="D307" s="7"/>
      <c r="E307" s="7"/>
      <c r="F307" s="7"/>
      <c r="G307" s="7"/>
      <c r="H307" s="7"/>
      <c r="I307" s="7"/>
      <c r="J307" s="7"/>
      <c r="K307" s="7"/>
      <c r="L307" s="7"/>
      <c r="M307" s="7"/>
      <c r="N307" s="7"/>
      <c r="O307" s="7"/>
      <c r="P307" s="7"/>
      <c r="Q307" s="7"/>
      <c r="R307" s="7"/>
      <c r="S307" s="7"/>
      <c r="T307" s="7"/>
      <c r="U307" s="7"/>
      <c r="V307" s="7"/>
      <c r="W307" s="7"/>
      <c r="X307" s="7"/>
    </row>
    <row r="308" customFormat="false" ht="12.75" hidden="false" customHeight="false" outlineLevel="0" collapsed="false">
      <c r="A308" s="14" t="s">
        <v>5</v>
      </c>
      <c r="B308" s="15" t="s">
        <v>6</v>
      </c>
      <c r="C308" s="15" t="s">
        <v>7</v>
      </c>
      <c r="D308" s="16" t="n">
        <v>2000</v>
      </c>
      <c r="E308" s="17" t="n">
        <v>2001</v>
      </c>
      <c r="F308" s="17" t="n">
        <v>2002</v>
      </c>
      <c r="G308" s="17" t="n">
        <v>2003</v>
      </c>
      <c r="H308" s="17" t="n">
        <v>2004</v>
      </c>
      <c r="I308" s="17" t="n">
        <v>2005</v>
      </c>
      <c r="J308" s="17" t="n">
        <v>2006</v>
      </c>
      <c r="K308" s="17" t="n">
        <v>2007</v>
      </c>
      <c r="L308" s="17" t="n">
        <v>2008</v>
      </c>
      <c r="M308" s="17" t="n">
        <v>2009</v>
      </c>
      <c r="N308" s="18" t="n">
        <v>2010</v>
      </c>
      <c r="O308" s="19" t="n">
        <v>2011</v>
      </c>
      <c r="P308" s="19" t="n">
        <v>2012</v>
      </c>
      <c r="Q308" s="19" t="n">
        <v>2013</v>
      </c>
      <c r="R308" s="19" t="n">
        <v>2014</v>
      </c>
      <c r="S308" s="19" t="n">
        <v>2015</v>
      </c>
      <c r="T308" s="19" t="n">
        <v>2016</v>
      </c>
      <c r="U308" s="19" t="n">
        <v>2017</v>
      </c>
      <c r="V308" s="19" t="n">
        <v>2018</v>
      </c>
      <c r="W308" s="19" t="n">
        <v>2019</v>
      </c>
      <c r="X308" s="19" t="n">
        <v>2020</v>
      </c>
    </row>
    <row r="309" customFormat="false" ht="12.75" hidden="false" customHeight="false" outlineLevel="0" collapsed="false">
      <c r="A309" s="14" t="s">
        <v>8</v>
      </c>
      <c r="B309" s="20" t="n">
        <f aca="false">NPV(0.1,D309:Y309)</f>
        <v>468949.149041351</v>
      </c>
      <c r="C309" s="20" t="n">
        <f aca="false">B309-B299</f>
        <v>-3706.47787137964</v>
      </c>
      <c r="D309" s="21" t="n">
        <v>34331.40185</v>
      </c>
      <c r="E309" s="22" t="n">
        <v>44602.618316</v>
      </c>
      <c r="F309" s="22" t="n">
        <v>44675.97127598</v>
      </c>
      <c r="G309" s="22" t="n">
        <v>51619.8208776728</v>
      </c>
      <c r="H309" s="22" t="n">
        <v>56786.7196010356</v>
      </c>
      <c r="I309" s="22" t="n">
        <v>57028.3875463126</v>
      </c>
      <c r="J309" s="22" t="n">
        <v>57934.7546418157</v>
      </c>
      <c r="K309" s="22" t="n">
        <v>58860.0879819424</v>
      </c>
      <c r="L309" s="22" t="n">
        <v>59804.7098109841</v>
      </c>
      <c r="M309" s="22" t="n">
        <v>60768.9446382695</v>
      </c>
      <c r="N309" s="23" t="n">
        <v>61753.1190840471</v>
      </c>
      <c r="O309" s="24" t="n">
        <v>62439.7363610954</v>
      </c>
      <c r="P309" s="24" t="n">
        <v>63127.882635276</v>
      </c>
      <c r="Q309" s="24" t="n">
        <v>63817.0316908674</v>
      </c>
      <c r="R309" s="24" t="n">
        <v>64506.6243631075</v>
      </c>
      <c r="S309" s="24" t="n">
        <v>65196.0670348453</v>
      </c>
      <c r="T309" s="24" t="n">
        <v>65700.5067267092</v>
      </c>
      <c r="U309" s="24" t="n">
        <v>66192.4461074387</v>
      </c>
      <c r="V309" s="24" t="n">
        <v>66670.6811626428</v>
      </c>
      <c r="W309" s="24" t="n">
        <v>67133.9468873475</v>
      </c>
      <c r="X309" s="24" t="n">
        <v>48675.9705773522</v>
      </c>
    </row>
    <row r="310" customFormat="false" ht="12.75" hidden="false" customHeight="false" outlineLevel="0" collapsed="false">
      <c r="A310" s="25" t="s">
        <v>9</v>
      </c>
      <c r="B310" s="20" t="n">
        <f aca="false">NPV(0.1,D310:Y310)</f>
        <v>201771.11165713</v>
      </c>
      <c r="C310" s="20" t="n">
        <f aca="false">B310-B300</f>
        <v>-3706.4903069537</v>
      </c>
      <c r="D310" s="21" t="n">
        <v>21861.0401411043</v>
      </c>
      <c r="E310" s="22" t="n">
        <v>22846.2354852771</v>
      </c>
      <c r="F310" s="22" t="n">
        <v>22970.2211089057</v>
      </c>
      <c r="G310" s="22" t="n">
        <v>23092.1692618413</v>
      </c>
      <c r="H310" s="22" t="n">
        <v>23221.9407318169</v>
      </c>
      <c r="I310" s="22" t="n">
        <v>23360.2723838596</v>
      </c>
      <c r="J310" s="22" t="n">
        <v>23504.0403557294</v>
      </c>
      <c r="K310" s="22" t="n">
        <v>23652.5133451901</v>
      </c>
      <c r="L310" s="22" t="n">
        <v>23805.8587087311</v>
      </c>
      <c r="M310" s="22" t="n">
        <v>23964.1964116132</v>
      </c>
      <c r="N310" s="23" t="n">
        <v>24127.7024299781</v>
      </c>
      <c r="O310" s="24" t="n">
        <v>24296.5056073288</v>
      </c>
      <c r="P310" s="24" t="n">
        <v>24470.7910643965</v>
      </c>
      <c r="Q310" s="24" t="n">
        <v>24650.697063611</v>
      </c>
      <c r="R310" s="24" t="n">
        <v>24836.4184271985</v>
      </c>
      <c r="S310" s="24" t="n">
        <v>25031.9245749755</v>
      </c>
      <c r="T310" s="24" t="n">
        <v>25237.3948028028</v>
      </c>
      <c r="U310" s="24" t="n">
        <v>25449.20552991</v>
      </c>
      <c r="V310" s="24" t="n">
        <v>25667.5469712756</v>
      </c>
      <c r="W310" s="24" t="n">
        <v>25892.6150483272</v>
      </c>
      <c r="X310" s="24" t="n">
        <v>8607.42743513552</v>
      </c>
    </row>
    <row r="311" customFormat="false" ht="12.75" hidden="false" customHeight="false" outlineLevel="0" collapsed="false">
      <c r="A311" s="25" t="s">
        <v>10</v>
      </c>
      <c r="B311" s="20" t="n">
        <f aca="false">NPV(0.1,D311:Y311)</f>
        <v>93001.2892124077</v>
      </c>
      <c r="C311" s="20" t="n">
        <f aca="false">B311-B301</f>
        <v>0.152321064917487</v>
      </c>
      <c r="D311" s="21" t="n">
        <v>1699.68634907778</v>
      </c>
      <c r="E311" s="22" t="n">
        <v>3272.33562476952</v>
      </c>
      <c r="F311" s="22" t="n">
        <v>3488.0938549966</v>
      </c>
      <c r="G311" s="22" t="n">
        <v>7870.98277074738</v>
      </c>
      <c r="H311" s="22" t="n">
        <v>10953.5864428436</v>
      </c>
      <c r="I311" s="22" t="n">
        <v>11327.3134501936</v>
      </c>
      <c r="J311" s="22" t="n">
        <v>12063.5076164131</v>
      </c>
      <c r="K311" s="22" t="n">
        <v>12713.1009806271</v>
      </c>
      <c r="L311" s="22" t="n">
        <v>13400.6649876041</v>
      </c>
      <c r="M311" s="22" t="n">
        <v>14128.9395254319</v>
      </c>
      <c r="N311" s="23" t="n">
        <v>14900.8451495854</v>
      </c>
      <c r="O311" s="24" t="n">
        <v>15527.6489090723</v>
      </c>
      <c r="P311" s="24" t="n">
        <v>16187.0781021289</v>
      </c>
      <c r="Q311" s="24" t="n">
        <v>16881.4570561123</v>
      </c>
      <c r="R311" s="24" t="n">
        <v>17613.2614141052</v>
      </c>
      <c r="S311" s="24" t="n">
        <v>18382.8868864684</v>
      </c>
      <c r="T311" s="24" t="n">
        <v>19081.9214994245</v>
      </c>
      <c r="U311" s="24" t="n">
        <v>19816.7656429607</v>
      </c>
      <c r="V311" s="24" t="n">
        <v>20589.9927756663</v>
      </c>
      <c r="W311" s="24" t="n">
        <v>21404.3827018629</v>
      </c>
      <c r="X311" s="24" t="n">
        <v>21451.0590839812</v>
      </c>
    </row>
    <row r="312" customFormat="false" ht="12.75" hidden="false" customHeight="false" outlineLevel="0" collapsed="false">
      <c r="A312" s="25" t="s">
        <v>11</v>
      </c>
      <c r="B312" s="20" t="n">
        <f aca="false">NPV(0.1,D312:Y312)</f>
        <v>102167.50829483</v>
      </c>
      <c r="C312" s="20" t="n">
        <f aca="false">B312-B302</f>
        <v>-0.184342621258111</v>
      </c>
      <c r="D312" s="26" t="n">
        <v>3240.70530033712</v>
      </c>
      <c r="E312" s="27" t="n">
        <v>5292.65851555085</v>
      </c>
      <c r="F312" s="27" t="n">
        <v>5280.34114641326</v>
      </c>
      <c r="G312" s="27" t="n">
        <v>17473.1866146968</v>
      </c>
      <c r="H312" s="27" t="n">
        <v>16802.7265151182</v>
      </c>
      <c r="I312" s="27" t="n">
        <v>14941.0047294634</v>
      </c>
      <c r="J312" s="27" t="n">
        <v>14706.9813879644</v>
      </c>
      <c r="K312" s="27" t="n">
        <v>14749.3126117208</v>
      </c>
      <c r="L312" s="27" t="n">
        <v>14762.4806664714</v>
      </c>
      <c r="M312" s="27" t="n">
        <v>14769.345706932</v>
      </c>
      <c r="N312" s="28" t="n">
        <v>14743.4341581267</v>
      </c>
      <c r="O312" s="24" t="n">
        <v>14642.5234965026</v>
      </c>
      <c r="P312" s="24" t="n">
        <v>14504.8160331948</v>
      </c>
      <c r="Q312" s="24" t="n">
        <v>14352.9208971974</v>
      </c>
      <c r="R312" s="24" t="n">
        <v>14160.1115425025</v>
      </c>
      <c r="S312" s="24" t="n">
        <v>12128.3122054326</v>
      </c>
      <c r="T312" s="24" t="n">
        <v>10024.8712484196</v>
      </c>
      <c r="U312" s="24" t="n">
        <v>9699.10950391339</v>
      </c>
      <c r="V312" s="24" t="n">
        <v>9334.97629344667</v>
      </c>
      <c r="W312" s="24" t="n">
        <v>8929.6954354913</v>
      </c>
      <c r="X312" s="24" t="n">
        <v>24207.189165395</v>
      </c>
    </row>
    <row r="314" customFormat="false" ht="11.25" hidden="false" customHeight="false" outlineLevel="0" collapsed="false">
      <c r="A314" s="29" t="s">
        <v>42</v>
      </c>
    </row>
    <row r="315" customFormat="false" ht="11.25" hidden="false" customHeight="false" outlineLevel="0" collapsed="false">
      <c r="A315" s="36" t="n">
        <v>36271</v>
      </c>
    </row>
    <row r="316" customFormat="false" ht="12.75" hidden="false" customHeight="false" outlineLevel="0" collapsed="false">
      <c r="A316" s="10" t="s">
        <v>3</v>
      </c>
      <c r="B316" s="11" t="n">
        <v>80681.4858293415</v>
      </c>
      <c r="C316" s="7"/>
      <c r="D316" s="7"/>
      <c r="E316" s="7"/>
      <c r="F316" s="7"/>
      <c r="G316" s="7"/>
      <c r="H316" s="7"/>
      <c r="I316" s="7"/>
      <c r="J316" s="7"/>
      <c r="K316" s="7"/>
      <c r="L316" s="7"/>
      <c r="M316" s="7"/>
      <c r="N316" s="7"/>
      <c r="O316" s="7"/>
      <c r="P316" s="7"/>
      <c r="Q316" s="7"/>
      <c r="R316" s="7"/>
      <c r="S316" s="7"/>
      <c r="T316" s="7"/>
      <c r="U316" s="7"/>
      <c r="V316" s="7"/>
      <c r="W316" s="7"/>
      <c r="X316" s="7"/>
    </row>
    <row r="317" customFormat="false" ht="12.75" hidden="false" customHeight="false" outlineLevel="0" collapsed="false">
      <c r="A317" s="12" t="s">
        <v>4</v>
      </c>
      <c r="B317" s="13" t="n">
        <v>119934.304377489</v>
      </c>
      <c r="C317" s="7"/>
      <c r="D317" s="7"/>
      <c r="E317" s="7"/>
      <c r="F317" s="7"/>
      <c r="G317" s="7"/>
      <c r="H317" s="7"/>
      <c r="I317" s="7"/>
      <c r="J317" s="7"/>
      <c r="K317" s="7"/>
      <c r="L317" s="7"/>
      <c r="M317" s="7"/>
      <c r="N317" s="7"/>
      <c r="O317" s="7"/>
      <c r="P317" s="7"/>
      <c r="Q317" s="7"/>
      <c r="R317" s="7"/>
      <c r="S317" s="7"/>
      <c r="T317" s="7"/>
      <c r="U317" s="7"/>
      <c r="V317" s="7"/>
      <c r="W317" s="7"/>
      <c r="X317" s="7"/>
    </row>
    <row r="318" customFormat="false" ht="12.75" hidden="false" customHeight="false" outlineLevel="0" collapsed="false">
      <c r="A318" s="14" t="s">
        <v>5</v>
      </c>
      <c r="B318" s="15" t="s">
        <v>6</v>
      </c>
      <c r="C318" s="15" t="s">
        <v>7</v>
      </c>
      <c r="D318" s="16" t="n">
        <v>2000</v>
      </c>
      <c r="E318" s="17" t="n">
        <v>2001</v>
      </c>
      <c r="F318" s="17" t="n">
        <v>2002</v>
      </c>
      <c r="G318" s="17" t="n">
        <v>2003</v>
      </c>
      <c r="H318" s="17" t="n">
        <v>2004</v>
      </c>
      <c r="I318" s="17" t="n">
        <v>2005</v>
      </c>
      <c r="J318" s="17" t="n">
        <v>2006</v>
      </c>
      <c r="K318" s="17" t="n">
        <v>2007</v>
      </c>
      <c r="L318" s="17" t="n">
        <v>2008</v>
      </c>
      <c r="M318" s="17" t="n">
        <v>2009</v>
      </c>
      <c r="N318" s="18" t="n">
        <v>2010</v>
      </c>
      <c r="O318" s="19" t="n">
        <v>2011</v>
      </c>
      <c r="P318" s="19" t="n">
        <v>2012</v>
      </c>
      <c r="Q318" s="19" t="n">
        <v>2013</v>
      </c>
      <c r="R318" s="19" t="n">
        <v>2014</v>
      </c>
      <c r="S318" s="19" t="n">
        <v>2015</v>
      </c>
      <c r="T318" s="19" t="n">
        <v>2016</v>
      </c>
      <c r="U318" s="19" t="n">
        <v>2017</v>
      </c>
      <c r="V318" s="19" t="n">
        <v>2018</v>
      </c>
      <c r="W318" s="19" t="n">
        <v>2019</v>
      </c>
      <c r="X318" s="19" t="n">
        <v>2020</v>
      </c>
    </row>
    <row r="319" customFormat="false" ht="12.75" hidden="false" customHeight="false" outlineLevel="0" collapsed="false">
      <c r="A319" s="14" t="s">
        <v>8</v>
      </c>
      <c r="B319" s="20" t="n">
        <f aca="false">NPV(0.1,D319:Y319)</f>
        <v>466410.802955779</v>
      </c>
      <c r="C319" s="20" t="n">
        <f aca="false">B319-B309</f>
        <v>-2538.34608557273</v>
      </c>
      <c r="D319" s="21" t="n">
        <v>32290.09684</v>
      </c>
      <c r="E319" s="22" t="n">
        <v>44601.2741557</v>
      </c>
      <c r="F319" s="22" t="n">
        <v>44674.586790871</v>
      </c>
      <c r="G319" s="22" t="n">
        <v>50637.2097075943</v>
      </c>
      <c r="H319" s="22" t="n">
        <v>56785.2508007834</v>
      </c>
      <c r="I319" s="22" t="n">
        <v>57026.8746820529</v>
      </c>
      <c r="J319" s="22" t="n">
        <v>57933.1963916282</v>
      </c>
      <c r="K319" s="22" t="n">
        <v>58858.4829842493</v>
      </c>
      <c r="L319" s="22" t="n">
        <v>59803.0566633602</v>
      </c>
      <c r="M319" s="22" t="n">
        <v>60767.2418962168</v>
      </c>
      <c r="N319" s="23" t="n">
        <v>61751.3652597329</v>
      </c>
      <c r="O319" s="24" t="n">
        <v>62437.9299220518</v>
      </c>
      <c r="P319" s="24" t="n">
        <v>63126.022003061</v>
      </c>
      <c r="Q319" s="24" t="n">
        <v>63815.115239686</v>
      </c>
      <c r="R319" s="24" t="n">
        <v>64504.6504183907</v>
      </c>
      <c r="S319" s="24" t="n">
        <v>65194.0338717869</v>
      </c>
      <c r="T319" s="24" t="n">
        <v>65698.4125687591</v>
      </c>
      <c r="U319" s="24" t="n">
        <v>66190.2891247501</v>
      </c>
      <c r="V319" s="24" t="n">
        <v>66668.4594704736</v>
      </c>
      <c r="W319" s="24" t="n">
        <v>67131.6585444132</v>
      </c>
      <c r="X319" s="24" t="n">
        <v>48675.9705773522</v>
      </c>
    </row>
    <row r="320" customFormat="false" ht="12.75" hidden="false" customHeight="false" outlineLevel="0" collapsed="false">
      <c r="A320" s="25" t="s">
        <v>9</v>
      </c>
      <c r="B320" s="20" t="n">
        <f aca="false">NPV(0.1,D320:Y320)</f>
        <v>201607.204323566</v>
      </c>
      <c r="C320" s="20" t="n">
        <f aca="false">B320-B310</f>
        <v>-163.907333563751</v>
      </c>
      <c r="D320" s="21" t="n">
        <v>21688.0337034843</v>
      </c>
      <c r="E320" s="22" t="n">
        <v>22846.1640694033</v>
      </c>
      <c r="F320" s="22" t="n">
        <v>22970.0873622457</v>
      </c>
      <c r="G320" s="22" t="n">
        <v>23092.8130127082</v>
      </c>
      <c r="H320" s="22" t="n">
        <v>23221.047870579</v>
      </c>
      <c r="I320" s="22" t="n">
        <v>23359.2494986141</v>
      </c>
      <c r="J320" s="22" t="n">
        <v>23502.9720845561</v>
      </c>
      <c r="K320" s="22" t="n">
        <v>23651.3983265112</v>
      </c>
      <c r="L320" s="22" t="n">
        <v>23804.6955401214</v>
      </c>
      <c r="M320" s="22" t="n">
        <v>23962.9836485748</v>
      </c>
      <c r="N320" s="23" t="n">
        <v>24126.4385846781</v>
      </c>
      <c r="O320" s="24" t="n">
        <v>24295.1891472994</v>
      </c>
      <c r="P320" s="24" t="n">
        <v>24469.4204111958</v>
      </c>
      <c r="Q320" s="24" t="n">
        <v>24649.2705914439</v>
      </c>
      <c r="R320" s="24" t="n">
        <v>24834.9344614959</v>
      </c>
      <c r="S320" s="24" t="n">
        <v>25030.3813909315</v>
      </c>
      <c r="T320" s="24" t="n">
        <v>25235.790623867</v>
      </c>
      <c r="U320" s="24" t="n">
        <v>25447.5385262357</v>
      </c>
      <c r="V320" s="24" t="n">
        <v>25665.8152581206</v>
      </c>
      <c r="W320" s="24" t="n">
        <v>25890.8166844071</v>
      </c>
      <c r="X320" s="24" t="n">
        <v>8605.54729592741</v>
      </c>
    </row>
    <row r="321" customFormat="false" ht="12.75" hidden="false" customHeight="false" outlineLevel="0" collapsed="false">
      <c r="A321" s="25" t="s">
        <v>10</v>
      </c>
      <c r="B321" s="20" t="n">
        <f aca="false">NPV(0.1,D321:Y321)</f>
        <v>92363.4571113833</v>
      </c>
      <c r="C321" s="20" t="n">
        <f aca="false">B321-B311</f>
        <v>-637.832101024425</v>
      </c>
      <c r="D321" s="21" t="n">
        <v>1422.1476266282</v>
      </c>
      <c r="E321" s="22" t="n">
        <v>3286.67963733087</v>
      </c>
      <c r="F321" s="22" t="n">
        <v>3503.57712671947</v>
      </c>
      <c r="G321" s="22" t="n">
        <v>7294.71678028588</v>
      </c>
      <c r="H321" s="22" t="n">
        <v>10953.3229597379</v>
      </c>
      <c r="I321" s="22" t="n">
        <v>11302.6860072786</v>
      </c>
      <c r="J321" s="22" t="n">
        <v>12063.2888424154</v>
      </c>
      <c r="K321" s="22" t="n">
        <v>12712.8790230601</v>
      </c>
      <c r="L321" s="22" t="n">
        <v>13400.4395917822</v>
      </c>
      <c r="M321" s="22" t="n">
        <v>14128.7104162948</v>
      </c>
      <c r="N321" s="23" t="n">
        <v>14900.6120300678</v>
      </c>
      <c r="O321" s="24" t="n">
        <v>15527.4114583438</v>
      </c>
      <c r="P321" s="24" t="n">
        <v>16186.8359736926</v>
      </c>
      <c r="Q321" s="24" t="n">
        <v>16881.2098757516</v>
      </c>
      <c r="R321" s="24" t="n">
        <v>17613.0087776661</v>
      </c>
      <c r="S321" s="24" t="n">
        <v>18382.6283574647</v>
      </c>
      <c r="T321" s="24" t="n">
        <v>19081.656606451</v>
      </c>
      <c r="U321" s="24" t="n">
        <v>19816.4938768998</v>
      </c>
      <c r="V321" s="24" t="n">
        <v>20589.7135866711</v>
      </c>
      <c r="W321" s="24" t="n">
        <v>21404.0954960985</v>
      </c>
      <c r="X321" s="24" t="n">
        <v>21448.4670241017</v>
      </c>
    </row>
    <row r="322" customFormat="false" ht="12.75" hidden="false" customHeight="false" outlineLevel="0" collapsed="false">
      <c r="A322" s="25" t="s">
        <v>11</v>
      </c>
      <c r="B322" s="20" t="n">
        <f aca="false">NPV(0.1,D322:Y322)</f>
        <v>101793.24630996</v>
      </c>
      <c r="C322" s="20" t="n">
        <f aca="false">B322-B312</f>
        <v>-374.261984870172</v>
      </c>
      <c r="D322" s="26" t="n">
        <v>2786.20574378699</v>
      </c>
      <c r="E322" s="27" t="n">
        <v>5292.34889599333</v>
      </c>
      <c r="F322" s="27" t="n">
        <v>5280.03688023288</v>
      </c>
      <c r="G322" s="27" t="n">
        <v>16870.9429756177</v>
      </c>
      <c r="H322" s="27" t="n">
        <v>17513.9004175788</v>
      </c>
      <c r="I322" s="27" t="n">
        <v>14957.3724046097</v>
      </c>
      <c r="J322" s="27" t="n">
        <v>14706.8293414729</v>
      </c>
      <c r="K322" s="27" t="n">
        <v>14749.1627198605</v>
      </c>
      <c r="L322" s="27" t="n">
        <v>14762.3331016128</v>
      </c>
      <c r="M322" s="27" t="n">
        <v>14769.2006552351</v>
      </c>
      <c r="N322" s="28" t="n">
        <v>14743.2918206446</v>
      </c>
      <c r="O322" s="24" t="n">
        <v>14642.3840903724</v>
      </c>
      <c r="P322" s="24" t="n">
        <v>14504.6797929247</v>
      </c>
      <c r="Q322" s="24" t="n">
        <v>14352.7880760562</v>
      </c>
      <c r="R322" s="24" t="n">
        <v>14159.9824140204</v>
      </c>
      <c r="S322" s="24" t="n">
        <v>12128.1870650225</v>
      </c>
      <c r="T322" s="24" t="n">
        <v>10024.7504151271</v>
      </c>
      <c r="U322" s="24" t="n">
        <v>9698.99332230806</v>
      </c>
      <c r="V322" s="24" t="n">
        <v>9334.86513566341</v>
      </c>
      <c r="W322" s="24" t="n">
        <v>8929.58970343588</v>
      </c>
      <c r="X322" s="24" t="n">
        <v>24210.8471055154</v>
      </c>
    </row>
    <row r="324" customFormat="false" ht="11.25" hidden="false" customHeight="false" outlineLevel="0" collapsed="false">
      <c r="A324" s="29" t="s">
        <v>43</v>
      </c>
    </row>
    <row r="325" customFormat="false" ht="11.25" hidden="false" customHeight="false" outlineLevel="0" collapsed="false">
      <c r="A325" s="36" t="n">
        <v>36285</v>
      </c>
    </row>
    <row r="326" customFormat="false" ht="12.75" hidden="false" customHeight="false" outlineLevel="0" collapsed="false">
      <c r="A326" s="10" t="s">
        <v>3</v>
      </c>
      <c r="B326" s="11" t="n">
        <v>74278.5467091008</v>
      </c>
      <c r="C326" s="7"/>
      <c r="D326" s="7"/>
      <c r="E326" s="7"/>
      <c r="F326" s="7"/>
      <c r="G326" s="7"/>
      <c r="H326" s="7"/>
      <c r="I326" s="7"/>
      <c r="J326" s="7"/>
      <c r="K326" s="7"/>
      <c r="L326" s="7"/>
      <c r="M326" s="7"/>
      <c r="N326" s="7"/>
      <c r="O326" s="7"/>
      <c r="P326" s="7"/>
      <c r="Q326" s="7"/>
      <c r="R326" s="7"/>
      <c r="S326" s="7"/>
      <c r="T326" s="7"/>
      <c r="U326" s="7"/>
      <c r="V326" s="7"/>
      <c r="W326" s="7"/>
      <c r="X326" s="7"/>
    </row>
    <row r="327" customFormat="false" ht="12.75" hidden="false" customHeight="false" outlineLevel="0" collapsed="false">
      <c r="A327" s="12" t="s">
        <v>4</v>
      </c>
      <c r="B327" s="13" t="n">
        <v>111575.998010234</v>
      </c>
      <c r="C327" s="7"/>
      <c r="D327" s="7"/>
      <c r="E327" s="7"/>
      <c r="F327" s="7"/>
      <c r="G327" s="7"/>
      <c r="H327" s="7"/>
      <c r="I327" s="7"/>
      <c r="J327" s="7"/>
      <c r="K327" s="7"/>
      <c r="L327" s="7"/>
      <c r="M327" s="7"/>
      <c r="N327" s="7"/>
      <c r="O327" s="7"/>
      <c r="P327" s="7"/>
      <c r="Q327" s="7"/>
      <c r="R327" s="7"/>
      <c r="S327" s="7"/>
      <c r="T327" s="7"/>
      <c r="U327" s="7"/>
      <c r="V327" s="7"/>
      <c r="W327" s="7"/>
      <c r="X327" s="7"/>
    </row>
    <row r="328" customFormat="false" ht="12.75" hidden="false" customHeight="false" outlineLevel="0" collapsed="false">
      <c r="A328" s="14" t="s">
        <v>5</v>
      </c>
      <c r="B328" s="15" t="s">
        <v>6</v>
      </c>
      <c r="C328" s="15" t="s">
        <v>7</v>
      </c>
      <c r="D328" s="16" t="n">
        <v>2000</v>
      </c>
      <c r="E328" s="17" t="n">
        <v>2001</v>
      </c>
      <c r="F328" s="17" t="n">
        <v>2002</v>
      </c>
      <c r="G328" s="17" t="n">
        <v>2003</v>
      </c>
      <c r="H328" s="17" t="n">
        <v>2004</v>
      </c>
      <c r="I328" s="17" t="n">
        <v>2005</v>
      </c>
      <c r="J328" s="17" t="n">
        <v>2006</v>
      </c>
      <c r="K328" s="17" t="n">
        <v>2007</v>
      </c>
      <c r="L328" s="17" t="n">
        <v>2008</v>
      </c>
      <c r="M328" s="17" t="n">
        <v>2009</v>
      </c>
      <c r="N328" s="18" t="n">
        <v>2010</v>
      </c>
      <c r="O328" s="19" t="n">
        <v>2011</v>
      </c>
      <c r="P328" s="19" t="n">
        <v>2012</v>
      </c>
      <c r="Q328" s="19" t="n">
        <v>2013</v>
      </c>
      <c r="R328" s="19" t="n">
        <v>2014</v>
      </c>
      <c r="S328" s="19" t="n">
        <v>2015</v>
      </c>
      <c r="T328" s="19" t="n">
        <v>2016</v>
      </c>
      <c r="U328" s="19" t="n">
        <v>2017</v>
      </c>
      <c r="V328" s="19" t="n">
        <v>2018</v>
      </c>
      <c r="W328" s="19" t="n">
        <v>2019</v>
      </c>
      <c r="X328" s="19" t="n">
        <v>2020</v>
      </c>
    </row>
    <row r="329" customFormat="false" ht="12.75" hidden="false" customHeight="false" outlineLevel="0" collapsed="false">
      <c r="A329" s="14" t="s">
        <v>8</v>
      </c>
      <c r="B329" s="20" t="n">
        <f aca="false">NPV(0.1,D329:Y329)</f>
        <v>459692.00733651</v>
      </c>
      <c r="C329" s="20" t="n">
        <f aca="false">B329-B319</f>
        <v>-6718.79561926849</v>
      </c>
      <c r="D329" s="21" t="n">
        <v>32290.09684</v>
      </c>
      <c r="E329" s="22" t="n">
        <v>44601.2741557</v>
      </c>
      <c r="F329" s="22" t="n">
        <v>44674.586790871</v>
      </c>
      <c r="G329" s="22" t="n">
        <v>50149.9844783486</v>
      </c>
      <c r="H329" s="22" t="n">
        <v>55688.8921863082</v>
      </c>
      <c r="I329" s="22" t="n">
        <v>55926.7678358084</v>
      </c>
      <c r="J329" s="22" t="n">
        <v>56816.0798844242</v>
      </c>
      <c r="K329" s="22" t="n">
        <v>57724.0110216217</v>
      </c>
      <c r="L329" s="22" t="n">
        <v>58650.878011872</v>
      </c>
      <c r="M329" s="22" t="n">
        <v>59596.9998683349</v>
      </c>
      <c r="N329" s="23" t="n">
        <v>60562.697702692</v>
      </c>
      <c r="O329" s="24" t="n">
        <v>61236.8257180191</v>
      </c>
      <c r="P329" s="24" t="n">
        <v>61912.4894430504</v>
      </c>
      <c r="Q329" s="24" t="n">
        <v>62589.1743051543</v>
      </c>
      <c r="R329" s="24" t="n">
        <v>63266.3334752028</v>
      </c>
      <c r="S329" s="24" t="n">
        <v>63943.3863952966</v>
      </c>
      <c r="T329" s="24" t="n">
        <v>64439.1783681677</v>
      </c>
      <c r="U329" s="24" t="n">
        <v>64922.7632683723</v>
      </c>
      <c r="V329" s="24" t="n">
        <v>65392.9624587748</v>
      </c>
      <c r="W329" s="24" t="n">
        <v>65848.537570377</v>
      </c>
      <c r="X329" s="24" t="n">
        <v>47763.6525823728</v>
      </c>
    </row>
    <row r="330" customFormat="false" ht="12.75" hidden="false" customHeight="false" outlineLevel="0" collapsed="false">
      <c r="A330" s="25" t="s">
        <v>9</v>
      </c>
      <c r="B330" s="20" t="n">
        <f aca="false">NPV(0.1,D330:Y330)</f>
        <v>202971.355263619</v>
      </c>
      <c r="C330" s="20" t="n">
        <f aca="false">B330-B320</f>
        <v>1364.15094005238</v>
      </c>
      <c r="D330" s="21" t="n">
        <v>21687.8978563618</v>
      </c>
      <c r="E330" s="22" t="n">
        <v>22845.7458763282</v>
      </c>
      <c r="F330" s="22" t="n">
        <v>22969.3646867804</v>
      </c>
      <c r="G330" s="22" t="n">
        <v>23153.3225067147</v>
      </c>
      <c r="H330" s="22" t="n">
        <v>23357.4027037406</v>
      </c>
      <c r="I330" s="22" t="n">
        <v>23510.2053423705</v>
      </c>
      <c r="J330" s="22" t="n">
        <v>23668.9669692252</v>
      </c>
      <c r="K330" s="22" t="n">
        <v>23832.8834233204</v>
      </c>
      <c r="L330" s="22" t="n">
        <v>24002.1355554348</v>
      </c>
      <c r="M330" s="22" t="n">
        <v>24176.8572299476</v>
      </c>
      <c r="N330" s="23" t="n">
        <v>24357.2387390921</v>
      </c>
      <c r="O330" s="24" t="n">
        <v>24543.4236719458</v>
      </c>
      <c r="P330" s="24" t="n">
        <v>24735.6123371816</v>
      </c>
      <c r="Q330" s="24" t="n">
        <v>24933.9586408093</v>
      </c>
      <c r="R330" s="24" t="n">
        <v>25138.6735179422</v>
      </c>
      <c r="S330" s="24" t="n">
        <v>25353.7429846712</v>
      </c>
      <c r="T330" s="24" t="n">
        <v>25579.3634310189</v>
      </c>
      <c r="U330" s="24" t="n">
        <v>25811.9288832021</v>
      </c>
      <c r="V330" s="24" t="n">
        <v>26051.647691396</v>
      </c>
      <c r="W330" s="24" t="n">
        <v>26298.7344562808</v>
      </c>
      <c r="X330" s="24" t="n">
        <v>9386.55848655736</v>
      </c>
    </row>
    <row r="331" customFormat="false" ht="12.75" hidden="false" customHeight="false" outlineLevel="0" collapsed="false">
      <c r="A331" s="25" t="s">
        <v>10</v>
      </c>
      <c r="B331" s="20" t="n">
        <f aca="false">NPV(0.1,D331:Y331)</f>
        <v>89053.5642745159</v>
      </c>
      <c r="C331" s="20" t="n">
        <f aca="false">B331-B321</f>
        <v>-3309.8928368674</v>
      </c>
      <c r="D331" s="21" t="n">
        <v>1517.72883585626</v>
      </c>
      <c r="E331" s="22" t="n">
        <v>3485.33653242395</v>
      </c>
      <c r="F331" s="22" t="n">
        <v>3717.80908466144</v>
      </c>
      <c r="G331" s="22" t="n">
        <v>7194.36872976507</v>
      </c>
      <c r="H331" s="22" t="n">
        <v>10447.3426855695</v>
      </c>
      <c r="I331" s="22" t="n">
        <v>10781.1703085285</v>
      </c>
      <c r="J331" s="22" t="n">
        <v>11517.2589532047</v>
      </c>
      <c r="K331" s="22" t="n">
        <v>12140.829115792</v>
      </c>
      <c r="L331" s="22" t="n">
        <v>12800.7552047516</v>
      </c>
      <c r="M331" s="22" t="n">
        <v>13499.6600631088</v>
      </c>
      <c r="N331" s="23" t="n">
        <v>14240.3381451799</v>
      </c>
      <c r="O331" s="24" t="n">
        <v>14837.7588734336</v>
      </c>
      <c r="P331" s="24" t="n">
        <v>15466.0164794757</v>
      </c>
      <c r="Q331" s="24" t="n">
        <v>16127.3048325142</v>
      </c>
      <c r="R331" s="24" t="n">
        <v>16823.9589325314</v>
      </c>
      <c r="S331" s="24" t="n">
        <v>17556.2228507788</v>
      </c>
      <c r="T331" s="24" t="n">
        <v>18217.7458929247</v>
      </c>
      <c r="U331" s="24" t="n">
        <v>18912.731131203</v>
      </c>
      <c r="V331" s="24" t="n">
        <v>19643.5777064099</v>
      </c>
      <c r="W331" s="24" t="n">
        <v>20412.8773795562</v>
      </c>
      <c r="X331" s="24" t="n">
        <v>20425.9845911206</v>
      </c>
    </row>
    <row r="332" customFormat="false" ht="12.75" hidden="false" customHeight="false" outlineLevel="0" collapsed="false">
      <c r="A332" s="25" t="s">
        <v>11</v>
      </c>
      <c r="B332" s="20" t="n">
        <f aca="false">NPV(0.1,D332:Y332)</f>
        <v>99051.6295440547</v>
      </c>
      <c r="C332" s="20" t="n">
        <f aca="false">B332-B322</f>
        <v>-2741.61676590501</v>
      </c>
      <c r="D332" s="26" t="n">
        <v>2786.23879121199</v>
      </c>
      <c r="E332" s="27" t="n">
        <v>5292.45062950104</v>
      </c>
      <c r="F332" s="27" t="n">
        <v>5280.21268493743</v>
      </c>
      <c r="G332" s="27" t="n">
        <v>16535.4554576258</v>
      </c>
      <c r="H332" s="27" t="n">
        <v>16825.0936403697</v>
      </c>
      <c r="I332" s="27" t="n">
        <v>14544.0569327364</v>
      </c>
      <c r="J332" s="27" t="n">
        <v>14290.4751780381</v>
      </c>
      <c r="K332" s="27" t="n">
        <v>14330.3008634557</v>
      </c>
      <c r="L332" s="27" t="n">
        <v>14341.5564524605</v>
      </c>
      <c r="M332" s="27" t="n">
        <v>14347.1694359389</v>
      </c>
      <c r="N332" s="28" t="n">
        <v>14320.7394412378</v>
      </c>
      <c r="O332" s="24" t="n">
        <v>14221.4191382715</v>
      </c>
      <c r="P332" s="24" t="n">
        <v>14086.1972450688</v>
      </c>
      <c r="Q332" s="24" t="n">
        <v>13937.7687340488</v>
      </c>
      <c r="R332" s="24" t="n">
        <v>13749.499932509</v>
      </c>
      <c r="S332" s="24" t="n">
        <v>11723.4155392883</v>
      </c>
      <c r="T332" s="24" t="n">
        <v>9627.72357603384</v>
      </c>
      <c r="U332" s="24" t="n">
        <v>9311.1088432392</v>
      </c>
      <c r="V332" s="24" t="n">
        <v>8957.64307601248</v>
      </c>
      <c r="W332" s="24" t="n">
        <v>8564.68223352688</v>
      </c>
      <c r="X332" s="24" t="n">
        <v>23188.3646725343</v>
      </c>
    </row>
    <row r="334" customFormat="false" ht="11.25" hidden="false" customHeight="false" outlineLevel="0" collapsed="false">
      <c r="A334" s="29" t="s">
        <v>44</v>
      </c>
    </row>
    <row r="335" customFormat="false" ht="11.25" hidden="false" customHeight="false" outlineLevel="0" collapsed="false">
      <c r="A335" s="36" t="n">
        <v>36285</v>
      </c>
    </row>
    <row r="336" customFormat="false" ht="12.75" hidden="false" customHeight="false" outlineLevel="0" collapsed="false">
      <c r="A336" s="10" t="s">
        <v>3</v>
      </c>
      <c r="B336" s="11" t="n">
        <v>68450.1805038411</v>
      </c>
      <c r="C336" s="7"/>
      <c r="D336" s="7"/>
      <c r="E336" s="7"/>
      <c r="F336" s="7"/>
      <c r="G336" s="7"/>
      <c r="H336" s="7"/>
      <c r="I336" s="7"/>
      <c r="J336" s="7"/>
      <c r="K336" s="7"/>
      <c r="L336" s="7"/>
      <c r="M336" s="7"/>
      <c r="N336" s="7"/>
      <c r="O336" s="7"/>
      <c r="P336" s="7"/>
      <c r="Q336" s="7"/>
      <c r="R336" s="7"/>
      <c r="S336" s="7"/>
      <c r="T336" s="7"/>
      <c r="U336" s="7"/>
      <c r="V336" s="7"/>
      <c r="W336" s="7"/>
      <c r="X336" s="7"/>
    </row>
    <row r="337" customFormat="false" ht="12.75" hidden="false" customHeight="false" outlineLevel="0" collapsed="false">
      <c r="A337" s="12" t="s">
        <v>4</v>
      </c>
      <c r="B337" s="13" t="n">
        <v>103994.840291967</v>
      </c>
      <c r="C337" s="7"/>
      <c r="D337" s="7"/>
      <c r="E337" s="7"/>
      <c r="F337" s="7"/>
      <c r="G337" s="7"/>
      <c r="H337" s="7"/>
      <c r="I337" s="7"/>
      <c r="J337" s="7"/>
      <c r="K337" s="7"/>
      <c r="L337" s="7"/>
      <c r="M337" s="7"/>
      <c r="N337" s="7"/>
      <c r="O337" s="7"/>
      <c r="P337" s="7"/>
      <c r="Q337" s="7"/>
      <c r="R337" s="7"/>
      <c r="S337" s="7"/>
      <c r="T337" s="7"/>
      <c r="U337" s="7"/>
      <c r="V337" s="7"/>
      <c r="W337" s="7"/>
      <c r="X337" s="7"/>
    </row>
    <row r="338" customFormat="false" ht="12.75" hidden="false" customHeight="false" outlineLevel="0" collapsed="false">
      <c r="A338" s="14" t="s">
        <v>5</v>
      </c>
      <c r="B338" s="15" t="s">
        <v>6</v>
      </c>
      <c r="C338" s="15" t="s">
        <v>7</v>
      </c>
      <c r="D338" s="16" t="n">
        <v>2000</v>
      </c>
      <c r="E338" s="17" t="n">
        <v>2001</v>
      </c>
      <c r="F338" s="17" t="n">
        <v>2002</v>
      </c>
      <c r="G338" s="17" t="n">
        <v>2003</v>
      </c>
      <c r="H338" s="17" t="n">
        <v>2004</v>
      </c>
      <c r="I338" s="17" t="n">
        <v>2005</v>
      </c>
      <c r="J338" s="17" t="n">
        <v>2006</v>
      </c>
      <c r="K338" s="17" t="n">
        <v>2007</v>
      </c>
      <c r="L338" s="17" t="n">
        <v>2008</v>
      </c>
      <c r="M338" s="17" t="n">
        <v>2009</v>
      </c>
      <c r="N338" s="18" t="n">
        <v>2010</v>
      </c>
      <c r="O338" s="19" t="n">
        <v>2011</v>
      </c>
      <c r="P338" s="19" t="n">
        <v>2012</v>
      </c>
      <c r="Q338" s="19" t="n">
        <v>2013</v>
      </c>
      <c r="R338" s="19" t="n">
        <v>2014</v>
      </c>
      <c r="S338" s="19" t="n">
        <v>2015</v>
      </c>
      <c r="T338" s="19" t="n">
        <v>2016</v>
      </c>
      <c r="U338" s="19" t="n">
        <v>2017</v>
      </c>
      <c r="V338" s="19" t="n">
        <v>2018</v>
      </c>
      <c r="W338" s="19" t="n">
        <v>2019</v>
      </c>
      <c r="X338" s="19" t="n">
        <v>2020</v>
      </c>
    </row>
    <row r="339" customFormat="false" ht="12.75" hidden="false" customHeight="false" outlineLevel="0" collapsed="false">
      <c r="A339" s="14" t="s">
        <v>8</v>
      </c>
      <c r="B339" s="20" t="n">
        <f aca="false">NPV(0.1,D339:Y339)</f>
        <v>452357.445994504</v>
      </c>
      <c r="C339" s="20" t="n">
        <f aca="false">B339-B329</f>
        <v>-7334.56134200661</v>
      </c>
      <c r="D339" s="21" t="n">
        <v>32290.09684</v>
      </c>
      <c r="E339" s="22" t="n">
        <v>44601.2741557</v>
      </c>
      <c r="F339" s="22" t="n">
        <v>44674.586790871</v>
      </c>
      <c r="G339" s="22" t="n">
        <v>49471.0103482415</v>
      </c>
      <c r="H339" s="22" t="n">
        <v>54593.9306503967</v>
      </c>
      <c r="I339" s="22" t="n">
        <v>55097.2423880692</v>
      </c>
      <c r="J339" s="22" t="n">
        <v>55597.2127491338</v>
      </c>
      <c r="K339" s="22" t="n">
        <v>56745.3139077078</v>
      </c>
      <c r="L339" s="22" t="n">
        <v>57256.1686946428</v>
      </c>
      <c r="M339" s="22" t="n">
        <v>58454.0385315821</v>
      </c>
      <c r="N339" s="23" t="n">
        <v>58975.2491723839</v>
      </c>
      <c r="O339" s="24" t="n">
        <v>60224.6914236554</v>
      </c>
      <c r="P339" s="24" t="n">
        <v>60755.6245979825</v>
      </c>
      <c r="Q339" s="24" t="n">
        <v>61279.8059972049</v>
      </c>
      <c r="R339" s="24" t="n">
        <v>61796.3526749594</v>
      </c>
      <c r="S339" s="24" t="n">
        <v>62304.3347846988</v>
      </c>
      <c r="T339" s="24" t="n">
        <v>62802.7735603321</v>
      </c>
      <c r="U339" s="24" t="n">
        <v>63290.6392179141</v>
      </c>
      <c r="V339" s="24" t="n">
        <v>63766.8487754637</v>
      </c>
      <c r="W339" s="24" t="n">
        <v>64230.2637878872</v>
      </c>
      <c r="X339" s="24" t="n">
        <v>46155.1525970686</v>
      </c>
    </row>
    <row r="340" customFormat="false" ht="12.75" hidden="false" customHeight="false" outlineLevel="0" collapsed="false">
      <c r="A340" s="25" t="s">
        <v>9</v>
      </c>
      <c r="B340" s="20" t="n">
        <f aca="false">NPV(0.1,D340:Y340)</f>
        <v>202970.182376142</v>
      </c>
      <c r="C340" s="20" t="n">
        <f aca="false">B340-B330</f>
        <v>-1.17288747703424</v>
      </c>
      <c r="D340" s="21" t="n">
        <v>21687.7744724012</v>
      </c>
      <c r="E340" s="22" t="n">
        <v>22845.3660499695</v>
      </c>
      <c r="F340" s="22" t="n">
        <v>22968.7083124719</v>
      </c>
      <c r="G340" s="22" t="n">
        <v>23152.9511078444</v>
      </c>
      <c r="H340" s="22" t="n">
        <v>23357.4027037406</v>
      </c>
      <c r="I340" s="22" t="n">
        <v>23510.2053423705</v>
      </c>
      <c r="J340" s="22" t="n">
        <v>23668.9669692252</v>
      </c>
      <c r="K340" s="22" t="n">
        <v>23832.8834233204</v>
      </c>
      <c r="L340" s="22" t="n">
        <v>24002.1355554348</v>
      </c>
      <c r="M340" s="22" t="n">
        <v>24176.8572299476</v>
      </c>
      <c r="N340" s="23" t="n">
        <v>24357.2387390921</v>
      </c>
      <c r="O340" s="24" t="n">
        <v>24543.4236719458</v>
      </c>
      <c r="P340" s="24" t="n">
        <v>24735.6123371816</v>
      </c>
      <c r="Q340" s="24" t="n">
        <v>24933.9586408093</v>
      </c>
      <c r="R340" s="24" t="n">
        <v>25138.6735179422</v>
      </c>
      <c r="S340" s="24" t="n">
        <v>25353.7429846712</v>
      </c>
      <c r="T340" s="24" t="n">
        <v>25579.3634310189</v>
      </c>
      <c r="U340" s="24" t="n">
        <v>25811.9288832021</v>
      </c>
      <c r="V340" s="24" t="n">
        <v>26051.647691396</v>
      </c>
      <c r="W340" s="24" t="n">
        <v>26298.7344562808</v>
      </c>
      <c r="X340" s="24" t="n">
        <v>9386.55848655735</v>
      </c>
    </row>
    <row r="341" customFormat="false" ht="12.75" hidden="false" customHeight="false" outlineLevel="0" collapsed="false">
      <c r="A341" s="25" t="s">
        <v>10</v>
      </c>
      <c r="B341" s="20" t="n">
        <f aca="false">NPV(0.1,D341:Y341)</f>
        <v>86068.8858356801</v>
      </c>
      <c r="C341" s="20" t="n">
        <f aca="false">B341-B331</f>
        <v>-2984.67843883576</v>
      </c>
      <c r="D341" s="21" t="n">
        <v>1604.5410401124</v>
      </c>
      <c r="E341" s="22" t="n">
        <v>3665.7678441116</v>
      </c>
      <c r="F341" s="22" t="n">
        <v>3912.38654022254</v>
      </c>
      <c r="G341" s="22" t="n">
        <v>6993.8617446393</v>
      </c>
      <c r="H341" s="22" t="n">
        <v>9999.21571820734</v>
      </c>
      <c r="I341" s="22" t="n">
        <v>10489.4687505627</v>
      </c>
      <c r="J341" s="22" t="n">
        <v>10991.3659047827</v>
      </c>
      <c r="K341" s="22" t="n">
        <v>11753.5046049535</v>
      </c>
      <c r="L341" s="22" t="n">
        <v>12159.8440683961</v>
      </c>
      <c r="M341" s="22" t="n">
        <v>13000.2456589088</v>
      </c>
      <c r="N341" s="23" t="n">
        <v>13465.9760702547</v>
      </c>
      <c r="O341" s="24" t="n">
        <v>14395.2286640649</v>
      </c>
      <c r="P341" s="24" t="n">
        <v>14930.2682180543</v>
      </c>
      <c r="Q341" s="24" t="n">
        <v>15490.4169301715</v>
      </c>
      <c r="R341" s="24" t="n">
        <v>16077.4002586789</v>
      </c>
      <c r="S341" s="24" t="n">
        <v>16690.805838624</v>
      </c>
      <c r="T341" s="24" t="n">
        <v>17332.5907186915</v>
      </c>
      <c r="U341" s="24" t="n">
        <v>18007.168026367</v>
      </c>
      <c r="V341" s="24" t="n">
        <v>18716.8933323522</v>
      </c>
      <c r="W341" s="24" t="n">
        <v>19464.3111242832</v>
      </c>
      <c r="X341" s="24" t="n">
        <v>19454.7245476506</v>
      </c>
    </row>
    <row r="342" customFormat="false" ht="12.75" hidden="false" customHeight="false" outlineLevel="0" collapsed="false">
      <c r="A342" s="25" t="s">
        <v>11</v>
      </c>
      <c r="B342" s="20" t="n">
        <f aca="false">NPV(0.1,D342:Y342)</f>
        <v>96543.4434134317</v>
      </c>
      <c r="C342" s="20" t="n">
        <f aca="false">B342-B332</f>
        <v>-2508.18613062301</v>
      </c>
      <c r="D342" s="26" t="n">
        <v>2786.26880673316</v>
      </c>
      <c r="E342" s="27" t="n">
        <v>5292.54302956714</v>
      </c>
      <c r="F342" s="27" t="n">
        <v>5280.37236061056</v>
      </c>
      <c r="G342" s="27" t="n">
        <v>16119.8112847432</v>
      </c>
      <c r="H342" s="27" t="n">
        <v>16280.8642239572</v>
      </c>
      <c r="I342" s="27" t="n">
        <v>14233.3954278284</v>
      </c>
      <c r="J342" s="27" t="n">
        <v>13899.842061939</v>
      </c>
      <c r="K342" s="27" t="n">
        <v>13992.9890709754</v>
      </c>
      <c r="L342" s="27" t="n">
        <v>13921.063933258</v>
      </c>
      <c r="M342" s="27" t="n">
        <v>13985.1079460736</v>
      </c>
      <c r="N342" s="28" t="n">
        <v>13872.5133912163</v>
      </c>
      <c r="O342" s="24" t="n">
        <v>13900.9901414209</v>
      </c>
      <c r="P342" s="24" t="n">
        <v>13740.2105134487</v>
      </c>
      <c r="Q342" s="24" t="n">
        <v>13566.8246690442</v>
      </c>
      <c r="R342" s="24" t="n">
        <v>13354.4055998991</v>
      </c>
      <c r="S342" s="24" t="n">
        <v>11305.2083398172</v>
      </c>
      <c r="T342" s="24" t="n">
        <v>9224.49627839424</v>
      </c>
      <c r="U342" s="24" t="n">
        <v>8924.31554217331</v>
      </c>
      <c r="V342" s="24" t="n">
        <v>8588.82594316767</v>
      </c>
      <c r="W342" s="24" t="n">
        <v>8215.47663843529</v>
      </c>
      <c r="X342" s="24" t="n">
        <v>22217.1046290643</v>
      </c>
    </row>
    <row r="344" customFormat="false" ht="11.25" hidden="false" customHeight="false" outlineLevel="0" collapsed="false">
      <c r="A344" s="29" t="s">
        <v>45</v>
      </c>
    </row>
    <row r="345" customFormat="false" ht="11.25" hidden="false" customHeight="false" outlineLevel="0" collapsed="false">
      <c r="A345" s="36" t="n">
        <v>36285</v>
      </c>
    </row>
    <row r="346" customFormat="false" ht="12.75" hidden="false" customHeight="false" outlineLevel="0" collapsed="false">
      <c r="A346" s="10" t="s">
        <v>3</v>
      </c>
      <c r="B346" s="11" t="n">
        <v>68450.1805038411</v>
      </c>
      <c r="C346" s="7"/>
      <c r="D346" s="7"/>
      <c r="E346" s="7"/>
      <c r="F346" s="7"/>
      <c r="G346" s="7"/>
      <c r="H346" s="7"/>
      <c r="I346" s="7"/>
      <c r="J346" s="7"/>
      <c r="K346" s="7"/>
      <c r="L346" s="7"/>
      <c r="M346" s="7"/>
      <c r="N346" s="7"/>
      <c r="O346" s="7"/>
      <c r="P346" s="7"/>
      <c r="Q346" s="7"/>
      <c r="R346" s="7"/>
      <c r="S346" s="7"/>
      <c r="T346" s="7"/>
      <c r="U346" s="7"/>
      <c r="V346" s="7"/>
      <c r="W346" s="7"/>
      <c r="X346" s="7"/>
    </row>
    <row r="347" customFormat="false" ht="12.75" hidden="false" customHeight="false" outlineLevel="0" collapsed="false">
      <c r="A347" s="12" t="s">
        <v>4</v>
      </c>
      <c r="B347" s="13" t="n">
        <v>103994.840291967</v>
      </c>
      <c r="C347" s="7"/>
      <c r="D347" s="7"/>
      <c r="E347" s="7"/>
      <c r="F347" s="7"/>
      <c r="G347" s="7"/>
      <c r="H347" s="7"/>
      <c r="I347" s="7"/>
      <c r="J347" s="7"/>
      <c r="K347" s="7"/>
      <c r="L347" s="7"/>
      <c r="M347" s="7"/>
      <c r="N347" s="7"/>
      <c r="O347" s="7"/>
      <c r="P347" s="7"/>
      <c r="Q347" s="7"/>
      <c r="R347" s="7"/>
      <c r="S347" s="7"/>
      <c r="T347" s="7"/>
      <c r="U347" s="7"/>
      <c r="V347" s="7"/>
      <c r="W347" s="7"/>
      <c r="X347" s="7"/>
    </row>
    <row r="348" customFormat="false" ht="12.75" hidden="false" customHeight="false" outlineLevel="0" collapsed="false">
      <c r="A348" s="14" t="s">
        <v>5</v>
      </c>
      <c r="B348" s="15" t="s">
        <v>6</v>
      </c>
      <c r="C348" s="15" t="s">
        <v>7</v>
      </c>
      <c r="D348" s="16" t="n">
        <v>2000</v>
      </c>
      <c r="E348" s="17" t="n">
        <v>2001</v>
      </c>
      <c r="F348" s="17" t="n">
        <v>2002</v>
      </c>
      <c r="G348" s="17" t="n">
        <v>2003</v>
      </c>
      <c r="H348" s="17" t="n">
        <v>2004</v>
      </c>
      <c r="I348" s="17" t="n">
        <v>2005</v>
      </c>
      <c r="J348" s="17" t="n">
        <v>2006</v>
      </c>
      <c r="K348" s="17" t="n">
        <v>2007</v>
      </c>
      <c r="L348" s="17" t="n">
        <v>2008</v>
      </c>
      <c r="M348" s="17" t="n">
        <v>2009</v>
      </c>
      <c r="N348" s="18" t="n">
        <v>2010</v>
      </c>
      <c r="O348" s="19" t="n">
        <v>2011</v>
      </c>
      <c r="P348" s="19" t="n">
        <v>2012</v>
      </c>
      <c r="Q348" s="19" t="n">
        <v>2013</v>
      </c>
      <c r="R348" s="19" t="n">
        <v>2014</v>
      </c>
      <c r="S348" s="19" t="n">
        <v>2015</v>
      </c>
      <c r="T348" s="19" t="n">
        <v>2016</v>
      </c>
      <c r="U348" s="19" t="n">
        <v>2017</v>
      </c>
      <c r="V348" s="19" t="n">
        <v>2018</v>
      </c>
      <c r="W348" s="19" t="n">
        <v>2019</v>
      </c>
      <c r="X348" s="19" t="n">
        <v>2020</v>
      </c>
    </row>
    <row r="349" customFormat="false" ht="12.75" hidden="false" customHeight="false" outlineLevel="0" collapsed="false">
      <c r="A349" s="14" t="s">
        <v>8</v>
      </c>
      <c r="B349" s="20" t="n">
        <f aca="false">NPV(0.1,D349:Y349)</f>
        <v>452414.493646914</v>
      </c>
      <c r="C349" s="20" t="n">
        <f aca="false">B349-B339</f>
        <v>57.047652410809</v>
      </c>
      <c r="D349" s="21" t="n">
        <v>32296.69294</v>
      </c>
      <c r="E349" s="22" t="n">
        <v>44607.8702557</v>
      </c>
      <c r="F349" s="22" t="n">
        <v>44681.182890871</v>
      </c>
      <c r="G349" s="22" t="n">
        <v>49477.6064482415</v>
      </c>
      <c r="H349" s="22" t="n">
        <v>54600.5267503967</v>
      </c>
      <c r="I349" s="22" t="n">
        <v>55103.8384880692</v>
      </c>
      <c r="J349" s="22" t="n">
        <v>55603.8088491338</v>
      </c>
      <c r="K349" s="22" t="n">
        <v>56751.9100077078</v>
      </c>
      <c r="L349" s="22" t="n">
        <v>57262.7647946428</v>
      </c>
      <c r="M349" s="22" t="n">
        <v>58460.6346315821</v>
      </c>
      <c r="N349" s="23" t="n">
        <v>58981.8452723839</v>
      </c>
      <c r="O349" s="24" t="n">
        <v>60231.2875236554</v>
      </c>
      <c r="P349" s="24" t="n">
        <v>60762.2206979825</v>
      </c>
      <c r="Q349" s="24" t="n">
        <v>61286.4020972049</v>
      </c>
      <c r="R349" s="24" t="n">
        <v>61802.9487749594</v>
      </c>
      <c r="S349" s="24" t="n">
        <v>62310.9308846988</v>
      </c>
      <c r="T349" s="24" t="n">
        <v>62809.369660332</v>
      </c>
      <c r="U349" s="24" t="n">
        <v>63297.2353179141</v>
      </c>
      <c r="V349" s="24" t="n">
        <v>63773.4448754637</v>
      </c>
      <c r="W349" s="24" t="n">
        <v>64236.8598878872</v>
      </c>
      <c r="X349" s="24" t="n">
        <v>46161.7486970686</v>
      </c>
    </row>
    <row r="350" customFormat="false" ht="12.75" hidden="false" customHeight="false" outlineLevel="0" collapsed="false">
      <c r="A350" s="25" t="s">
        <v>9</v>
      </c>
      <c r="B350" s="20" t="n">
        <f aca="false">NPV(0.1,D350:Y350)</f>
        <v>203027.230028553</v>
      </c>
      <c r="C350" s="20" t="n">
        <f aca="false">B350-B340</f>
        <v>57.047652410809</v>
      </c>
      <c r="D350" s="21" t="n">
        <v>21694.3705724012</v>
      </c>
      <c r="E350" s="22" t="n">
        <v>22851.9621499695</v>
      </c>
      <c r="F350" s="22" t="n">
        <v>22975.3044124719</v>
      </c>
      <c r="G350" s="22" t="n">
        <v>23159.5472078444</v>
      </c>
      <c r="H350" s="22" t="n">
        <v>23363.9988037406</v>
      </c>
      <c r="I350" s="22" t="n">
        <v>23516.8014423705</v>
      </c>
      <c r="J350" s="22" t="n">
        <v>23675.5630692252</v>
      </c>
      <c r="K350" s="22" t="n">
        <v>23839.4795233204</v>
      </c>
      <c r="L350" s="22" t="n">
        <v>24008.7316554348</v>
      </c>
      <c r="M350" s="22" t="n">
        <v>24183.4533299476</v>
      </c>
      <c r="N350" s="23" t="n">
        <v>24363.8348390921</v>
      </c>
      <c r="O350" s="24" t="n">
        <v>24550.0197719458</v>
      </c>
      <c r="P350" s="24" t="n">
        <v>24742.2084371816</v>
      </c>
      <c r="Q350" s="24" t="n">
        <v>24940.5547408093</v>
      </c>
      <c r="R350" s="24" t="n">
        <v>25145.2696179422</v>
      </c>
      <c r="S350" s="24" t="n">
        <v>25360.3390846712</v>
      </c>
      <c r="T350" s="24" t="n">
        <v>25585.9595310189</v>
      </c>
      <c r="U350" s="24" t="n">
        <v>25818.5249832021</v>
      </c>
      <c r="V350" s="24" t="n">
        <v>26058.243791396</v>
      </c>
      <c r="W350" s="24" t="n">
        <v>26305.3305562809</v>
      </c>
      <c r="X350" s="24" t="n">
        <v>9393.15458655735</v>
      </c>
    </row>
    <row r="351" customFormat="false" ht="12.75" hidden="false" customHeight="false" outlineLevel="0" collapsed="false">
      <c r="A351" s="25" t="s">
        <v>10</v>
      </c>
      <c r="B351" s="20" t="n">
        <f aca="false">NPV(0.1,D351:Y351)</f>
        <v>86068.8858356801</v>
      </c>
      <c r="C351" s="20" t="n">
        <f aca="false">B351-B341</f>
        <v>0</v>
      </c>
      <c r="D351" s="21" t="n">
        <v>1604.5410401124</v>
      </c>
      <c r="E351" s="22" t="n">
        <v>3665.76784411159</v>
      </c>
      <c r="F351" s="22" t="n">
        <v>3912.38654022254</v>
      </c>
      <c r="G351" s="22" t="n">
        <v>6993.86174463929</v>
      </c>
      <c r="H351" s="22" t="n">
        <v>9999.21571820733</v>
      </c>
      <c r="I351" s="22" t="n">
        <v>10489.4687505627</v>
      </c>
      <c r="J351" s="22" t="n">
        <v>10991.3659047827</v>
      </c>
      <c r="K351" s="22" t="n">
        <v>11753.5046049535</v>
      </c>
      <c r="L351" s="22" t="n">
        <v>12159.8440683961</v>
      </c>
      <c r="M351" s="22" t="n">
        <v>13000.2456589088</v>
      </c>
      <c r="N351" s="23" t="n">
        <v>13465.9760702547</v>
      </c>
      <c r="O351" s="24" t="n">
        <v>14395.2286640649</v>
      </c>
      <c r="P351" s="24" t="n">
        <v>14930.2682180543</v>
      </c>
      <c r="Q351" s="24" t="n">
        <v>15490.4169301715</v>
      </c>
      <c r="R351" s="24" t="n">
        <v>16077.4002586789</v>
      </c>
      <c r="S351" s="24" t="n">
        <v>16690.805838624</v>
      </c>
      <c r="T351" s="24" t="n">
        <v>17332.5907186915</v>
      </c>
      <c r="U351" s="24" t="n">
        <v>18007.168026367</v>
      </c>
      <c r="V351" s="24" t="n">
        <v>18716.8933323522</v>
      </c>
      <c r="W351" s="24" t="n">
        <v>19464.3111242832</v>
      </c>
      <c r="X351" s="24" t="n">
        <v>19454.7245476506</v>
      </c>
    </row>
    <row r="352" customFormat="false" ht="12.75" hidden="false" customHeight="false" outlineLevel="0" collapsed="false">
      <c r="A352" s="25" t="s">
        <v>11</v>
      </c>
      <c r="B352" s="20" t="n">
        <f aca="false">NPV(0.1,D352:Y352)</f>
        <v>96543.4434134317</v>
      </c>
      <c r="C352" s="20" t="n">
        <f aca="false">B352-B342</f>
        <v>0</v>
      </c>
      <c r="D352" s="26" t="n">
        <v>2786.26880673316</v>
      </c>
      <c r="E352" s="27" t="n">
        <v>5292.54302956714</v>
      </c>
      <c r="F352" s="27" t="n">
        <v>5280.37236061055</v>
      </c>
      <c r="G352" s="27" t="n">
        <v>16119.8112847432</v>
      </c>
      <c r="H352" s="27" t="n">
        <v>16280.8642239572</v>
      </c>
      <c r="I352" s="27" t="n">
        <v>14233.3954278284</v>
      </c>
      <c r="J352" s="27" t="n">
        <v>13899.842061939</v>
      </c>
      <c r="K352" s="27" t="n">
        <v>13992.9890709754</v>
      </c>
      <c r="L352" s="27" t="n">
        <v>13921.063933258</v>
      </c>
      <c r="M352" s="27" t="n">
        <v>13985.1079460736</v>
      </c>
      <c r="N352" s="28" t="n">
        <v>13872.5133912163</v>
      </c>
      <c r="O352" s="24" t="n">
        <v>13900.9901414209</v>
      </c>
      <c r="P352" s="24" t="n">
        <v>13740.2105134487</v>
      </c>
      <c r="Q352" s="24" t="n">
        <v>13566.8246690442</v>
      </c>
      <c r="R352" s="24" t="n">
        <v>13354.4055998991</v>
      </c>
      <c r="S352" s="24" t="n">
        <v>11305.2083398172</v>
      </c>
      <c r="T352" s="24" t="n">
        <v>9224.49627839424</v>
      </c>
      <c r="U352" s="24" t="n">
        <v>8924.31554217332</v>
      </c>
      <c r="V352" s="24" t="n">
        <v>8588.82594316768</v>
      </c>
      <c r="W352" s="24" t="n">
        <v>8215.47663843529</v>
      </c>
      <c r="X352" s="24" t="n">
        <v>22217.1046290643</v>
      </c>
    </row>
    <row r="354" customFormat="false" ht="11.25" hidden="false" customHeight="false" outlineLevel="0" collapsed="false">
      <c r="A354" s="29" t="s">
        <v>46</v>
      </c>
    </row>
    <row r="355" customFormat="false" ht="11.25" hidden="false" customHeight="false" outlineLevel="0" collapsed="false">
      <c r="A355" s="36" t="n">
        <v>36285</v>
      </c>
    </row>
    <row r="356" customFormat="false" ht="12.75" hidden="false" customHeight="false" outlineLevel="0" collapsed="false">
      <c r="A356" s="10" t="s">
        <v>3</v>
      </c>
      <c r="B356" s="11" t="n">
        <v>68406.9034289429</v>
      </c>
      <c r="C356" s="7"/>
      <c r="D356" s="7"/>
      <c r="E356" s="7"/>
      <c r="F356" s="7"/>
      <c r="G356" s="7"/>
      <c r="H356" s="7"/>
      <c r="I356" s="7"/>
      <c r="J356" s="7"/>
      <c r="K356" s="7"/>
      <c r="L356" s="7"/>
      <c r="M356" s="7"/>
      <c r="N356" s="7"/>
      <c r="O356" s="7"/>
      <c r="P356" s="7"/>
      <c r="Q356" s="7"/>
      <c r="R356" s="7"/>
      <c r="S356" s="7"/>
      <c r="T356" s="7"/>
      <c r="U356" s="7"/>
      <c r="V356" s="7"/>
      <c r="W356" s="7"/>
      <c r="X356" s="7"/>
    </row>
    <row r="357" customFormat="false" ht="12.75" hidden="false" customHeight="false" outlineLevel="0" collapsed="false">
      <c r="A357" s="12" t="s">
        <v>4</v>
      </c>
      <c r="B357" s="13" t="n">
        <v>103960.430437272</v>
      </c>
      <c r="C357" s="7"/>
      <c r="D357" s="7"/>
      <c r="E357" s="7"/>
      <c r="F357" s="7"/>
      <c r="G357" s="7"/>
      <c r="H357" s="7"/>
      <c r="I357" s="7"/>
      <c r="J357" s="7"/>
      <c r="K357" s="7"/>
      <c r="L357" s="7"/>
      <c r="M357" s="7"/>
      <c r="N357" s="7"/>
      <c r="O357" s="7"/>
      <c r="P357" s="7"/>
      <c r="Q357" s="7"/>
      <c r="R357" s="7"/>
      <c r="S357" s="7"/>
      <c r="T357" s="7"/>
      <c r="U357" s="7"/>
      <c r="V357" s="7"/>
      <c r="W357" s="7"/>
      <c r="X357" s="7"/>
    </row>
    <row r="358" customFormat="false" ht="12.75" hidden="false" customHeight="false" outlineLevel="0" collapsed="false">
      <c r="A358" s="14" t="s">
        <v>5</v>
      </c>
      <c r="B358" s="15" t="s">
        <v>6</v>
      </c>
      <c r="C358" s="15" t="s">
        <v>7</v>
      </c>
      <c r="D358" s="16" t="n">
        <v>2000</v>
      </c>
      <c r="E358" s="17" t="n">
        <v>2001</v>
      </c>
      <c r="F358" s="17" t="n">
        <v>2002</v>
      </c>
      <c r="G358" s="17" t="n">
        <v>2003</v>
      </c>
      <c r="H358" s="17" t="n">
        <v>2004</v>
      </c>
      <c r="I358" s="17" t="n">
        <v>2005</v>
      </c>
      <c r="J358" s="17" t="n">
        <v>2006</v>
      </c>
      <c r="K358" s="17" t="n">
        <v>2007</v>
      </c>
      <c r="L358" s="17" t="n">
        <v>2008</v>
      </c>
      <c r="M358" s="17" t="n">
        <v>2009</v>
      </c>
      <c r="N358" s="18" t="n">
        <v>2010</v>
      </c>
      <c r="O358" s="19" t="n">
        <v>2011</v>
      </c>
      <c r="P358" s="19" t="n">
        <v>2012</v>
      </c>
      <c r="Q358" s="19" t="n">
        <v>2013</v>
      </c>
      <c r="R358" s="19" t="n">
        <v>2014</v>
      </c>
      <c r="S358" s="19" t="n">
        <v>2015</v>
      </c>
      <c r="T358" s="19" t="n">
        <v>2016</v>
      </c>
      <c r="U358" s="19" t="n">
        <v>2017</v>
      </c>
      <c r="V358" s="19" t="n">
        <v>2018</v>
      </c>
      <c r="W358" s="19" t="n">
        <v>2019</v>
      </c>
      <c r="X358" s="19" t="n">
        <v>2020</v>
      </c>
    </row>
    <row r="359" customFormat="false" ht="12.75" hidden="false" customHeight="false" outlineLevel="0" collapsed="false">
      <c r="A359" s="14" t="s">
        <v>8</v>
      </c>
      <c r="B359" s="20" t="n">
        <f aca="false">NPV(0.1,D359:Y359)</f>
        <v>452414.493646914</v>
      </c>
      <c r="C359" s="20" t="n">
        <f aca="false">B359-B349</f>
        <v>0</v>
      </c>
      <c r="D359" s="21" t="n">
        <v>32296.69294</v>
      </c>
      <c r="E359" s="22" t="n">
        <v>44607.8702557</v>
      </c>
      <c r="F359" s="22" t="n">
        <v>44681.182890871</v>
      </c>
      <c r="G359" s="22" t="n">
        <v>49477.6064482415</v>
      </c>
      <c r="H359" s="22" t="n">
        <v>54600.5267503967</v>
      </c>
      <c r="I359" s="22" t="n">
        <v>55103.8384880692</v>
      </c>
      <c r="J359" s="22" t="n">
        <v>55603.8088491338</v>
      </c>
      <c r="K359" s="22" t="n">
        <v>56751.9100077078</v>
      </c>
      <c r="L359" s="22" t="n">
        <v>57262.7647946428</v>
      </c>
      <c r="M359" s="22" t="n">
        <v>58460.6346315821</v>
      </c>
      <c r="N359" s="23" t="n">
        <v>58981.8452723839</v>
      </c>
      <c r="O359" s="24" t="n">
        <v>60231.2875236554</v>
      </c>
      <c r="P359" s="24" t="n">
        <v>60762.2206979825</v>
      </c>
      <c r="Q359" s="24" t="n">
        <v>61286.4020972049</v>
      </c>
      <c r="R359" s="24" t="n">
        <v>61802.9487749594</v>
      </c>
      <c r="S359" s="24" t="n">
        <v>62310.9308846988</v>
      </c>
      <c r="T359" s="24" t="n">
        <v>62809.369660332</v>
      </c>
      <c r="U359" s="24" t="n">
        <v>63297.2353179141</v>
      </c>
      <c r="V359" s="24" t="n">
        <v>63773.4448754637</v>
      </c>
      <c r="W359" s="24" t="n">
        <v>64236.8598878872</v>
      </c>
      <c r="X359" s="24" t="n">
        <v>46161.7486970686</v>
      </c>
    </row>
    <row r="360" customFormat="false" ht="12.75" hidden="false" customHeight="false" outlineLevel="0" collapsed="false">
      <c r="A360" s="25" t="s">
        <v>9</v>
      </c>
      <c r="B360" s="20" t="n">
        <f aca="false">NPV(0.1,D360:Y360)</f>
        <v>203033.16558822</v>
      </c>
      <c r="C360" s="20" t="n">
        <f aca="false">B360-B350</f>
        <v>5.93555966709391</v>
      </c>
      <c r="D360" s="21" t="n">
        <v>21694.9704721885</v>
      </c>
      <c r="E360" s="22" t="n">
        <v>22852.5839520852</v>
      </c>
      <c r="F360" s="22" t="n">
        <v>22975.9481509596</v>
      </c>
      <c r="G360" s="22" t="n">
        <v>23160.2129190664</v>
      </c>
      <c r="H360" s="22" t="n">
        <v>23364.7352289547</v>
      </c>
      <c r="I360" s="22" t="n">
        <v>23517.5516196383</v>
      </c>
      <c r="J360" s="22" t="n">
        <v>23676.3067926666</v>
      </c>
      <c r="K360" s="22" t="n">
        <v>23840.2167866894</v>
      </c>
      <c r="L360" s="22" t="n">
        <v>24009.4624649775</v>
      </c>
      <c r="M360" s="22" t="n">
        <v>24184.1776794178</v>
      </c>
      <c r="N360" s="23" t="n">
        <v>24364.5527347359</v>
      </c>
      <c r="O360" s="24" t="n">
        <v>24550.7312075172</v>
      </c>
      <c r="P360" s="24" t="n">
        <v>24742.9134189266</v>
      </c>
      <c r="Q360" s="24" t="n">
        <v>24941.2532624818</v>
      </c>
      <c r="R360" s="24" t="n">
        <v>25145.9616857883</v>
      </c>
      <c r="S360" s="24" t="n">
        <v>25361.0265412776</v>
      </c>
      <c r="T360" s="24" t="n">
        <v>25586.6442189723</v>
      </c>
      <c r="U360" s="24" t="n">
        <v>25819.2069025025</v>
      </c>
      <c r="V360" s="24" t="n">
        <v>26058.9229420433</v>
      </c>
      <c r="W360" s="24" t="n">
        <v>26306.0069382751</v>
      </c>
      <c r="X360" s="24" t="n">
        <v>9393.82819989854</v>
      </c>
    </row>
    <row r="361" customFormat="false" ht="12.75" hidden="false" customHeight="false" outlineLevel="0" collapsed="false">
      <c r="A361" s="25" t="s">
        <v>10</v>
      </c>
      <c r="B361" s="20" t="n">
        <f aca="false">NPV(0.1,D361:Y361)</f>
        <v>86097.3035665075</v>
      </c>
      <c r="C361" s="20" t="n">
        <f aca="false">B361-B351</f>
        <v>28.4177308273502</v>
      </c>
      <c r="D361" s="21" t="n">
        <v>1609.39743638935</v>
      </c>
      <c r="E361" s="22" t="n">
        <v>3675.81460343377</v>
      </c>
      <c r="F361" s="22" t="n">
        <v>3922.40934680744</v>
      </c>
      <c r="G361" s="22" t="n">
        <v>7003.85896683852</v>
      </c>
      <c r="H361" s="22" t="n">
        <v>10009.1674627347</v>
      </c>
      <c r="I361" s="22" t="n">
        <v>10493.6110759447</v>
      </c>
      <c r="J361" s="22" t="n">
        <v>10989.7104014657</v>
      </c>
      <c r="K361" s="22" t="n">
        <v>11751.8477680169</v>
      </c>
      <c r="L361" s="22" t="n">
        <v>12158.1855986003</v>
      </c>
      <c r="M361" s="22" t="n">
        <v>12998.5852408003</v>
      </c>
      <c r="N361" s="23" t="n">
        <v>13464.3133554183</v>
      </c>
      <c r="O361" s="24" t="n">
        <v>14393.5632839379</v>
      </c>
      <c r="P361" s="24" t="n">
        <v>14928.5997668631</v>
      </c>
      <c r="Q361" s="24" t="n">
        <v>15488.7449774065</v>
      </c>
      <c r="R361" s="24" t="n">
        <v>16075.724331664</v>
      </c>
      <c r="S361" s="24" t="n">
        <v>16689.1243182145</v>
      </c>
      <c r="T361" s="24" t="n">
        <v>17330.9019100558</v>
      </c>
      <c r="U361" s="24" t="n">
        <v>18005.4712655404</v>
      </c>
      <c r="V361" s="24" t="n">
        <v>18715.187902253</v>
      </c>
      <c r="W361" s="24" t="n">
        <v>19462.5962504628</v>
      </c>
      <c r="X361" s="24" t="n">
        <v>19452.9993937048</v>
      </c>
    </row>
    <row r="362" customFormat="false" ht="12.75" hidden="false" customHeight="false" outlineLevel="0" collapsed="false">
      <c r="A362" s="25" t="s">
        <v>11</v>
      </c>
      <c r="B362" s="20" t="n">
        <f aca="false">NPV(0.1,D362:Y362)</f>
        <v>96532.3156091843</v>
      </c>
      <c r="C362" s="20" t="n">
        <f aca="false">B362-B352</f>
        <v>-11.1278042473859</v>
      </c>
      <c r="D362" s="26" t="n">
        <v>2786.65244397339</v>
      </c>
      <c r="E362" s="27" t="n">
        <v>5292.39176424475</v>
      </c>
      <c r="F362" s="27" t="n">
        <v>5280.21575884384</v>
      </c>
      <c r="G362" s="27" t="n">
        <v>16119.4035366198</v>
      </c>
      <c r="H362" s="27" t="n">
        <v>16257.233819948</v>
      </c>
      <c r="I362" s="27" t="n">
        <v>14231.0931325245</v>
      </c>
      <c r="J362" s="27" t="n">
        <v>13901.3695221958</v>
      </c>
      <c r="K362" s="27" t="n">
        <v>13994.5243649293</v>
      </c>
      <c r="L362" s="27" t="n">
        <v>13922.6013109828</v>
      </c>
      <c r="M362" s="27" t="n">
        <v>13986.6535735181</v>
      </c>
      <c r="N362" s="28" t="n">
        <v>13874.0615517361</v>
      </c>
      <c r="O362" s="24" t="n">
        <v>13902.5470369093</v>
      </c>
      <c r="P362" s="24" t="n">
        <v>13741.770466081</v>
      </c>
      <c r="Q362" s="24" t="n">
        <v>13568.3939226393</v>
      </c>
      <c r="R362" s="24" t="n">
        <v>13355.978521912</v>
      </c>
      <c r="S362" s="24" t="n">
        <v>11305.9104495846</v>
      </c>
      <c r="T362" s="24" t="n">
        <v>9224.32759438908</v>
      </c>
      <c r="U362" s="24" t="n">
        <v>8924.15393598955</v>
      </c>
      <c r="V362" s="24" t="n">
        <v>8588.67190012441</v>
      </c>
      <c r="W362" s="24" t="n">
        <v>8215.33068267714</v>
      </c>
      <c r="X362" s="24" t="n">
        <v>22216.697881331</v>
      </c>
    </row>
    <row r="364" customFormat="false" ht="11.25" hidden="false" customHeight="false" outlineLevel="0" collapsed="false">
      <c r="A364" s="29" t="s">
        <v>47</v>
      </c>
    </row>
    <row r="365" customFormat="false" ht="11.25" hidden="false" customHeight="false" outlineLevel="0" collapsed="false">
      <c r="A365" s="36" t="n">
        <v>36285</v>
      </c>
    </row>
    <row r="366" customFormat="false" ht="12.75" hidden="false" customHeight="false" outlineLevel="0" collapsed="false">
      <c r="A366" s="10" t="s">
        <v>3</v>
      </c>
      <c r="B366" s="11" t="n">
        <v>68412.6690002231</v>
      </c>
      <c r="C366" s="7"/>
      <c r="D366" s="7"/>
      <c r="E366" s="7"/>
      <c r="F366" s="7"/>
      <c r="G366" s="7"/>
      <c r="H366" s="7"/>
      <c r="I366" s="7"/>
      <c r="J366" s="7"/>
      <c r="K366" s="7"/>
      <c r="L366" s="7"/>
      <c r="M366" s="7"/>
      <c r="N366" s="7"/>
      <c r="O366" s="7"/>
      <c r="P366" s="7"/>
      <c r="Q366" s="7"/>
      <c r="R366" s="7"/>
      <c r="S366" s="7"/>
      <c r="T366" s="7"/>
      <c r="U366" s="7"/>
      <c r="V366" s="7"/>
      <c r="W366" s="7"/>
      <c r="X366" s="7"/>
    </row>
    <row r="367" customFormat="false" ht="12.75" hidden="false" customHeight="false" outlineLevel="0" collapsed="false">
      <c r="A367" s="12" t="s">
        <v>4</v>
      </c>
      <c r="B367" s="13" t="n">
        <v>103968.198051805</v>
      </c>
      <c r="C367" s="7"/>
      <c r="D367" s="7"/>
      <c r="E367" s="7"/>
      <c r="F367" s="7"/>
      <c r="G367" s="7"/>
      <c r="H367" s="7"/>
      <c r="I367" s="7"/>
      <c r="J367" s="7"/>
      <c r="K367" s="7"/>
      <c r="L367" s="7"/>
      <c r="M367" s="7"/>
      <c r="N367" s="7"/>
      <c r="O367" s="7"/>
      <c r="P367" s="7"/>
      <c r="Q367" s="7"/>
      <c r="R367" s="7"/>
      <c r="S367" s="7"/>
      <c r="T367" s="7"/>
      <c r="U367" s="7"/>
      <c r="V367" s="7"/>
      <c r="W367" s="7"/>
      <c r="X367" s="7"/>
    </row>
    <row r="368" customFormat="false" ht="12.75" hidden="false" customHeight="false" outlineLevel="0" collapsed="false">
      <c r="A368" s="14" t="s">
        <v>5</v>
      </c>
      <c r="B368" s="15" t="s">
        <v>6</v>
      </c>
      <c r="C368" s="15" t="s">
        <v>7</v>
      </c>
      <c r="D368" s="16" t="n">
        <v>2000</v>
      </c>
      <c r="E368" s="17" t="n">
        <v>2001</v>
      </c>
      <c r="F368" s="17" t="n">
        <v>2002</v>
      </c>
      <c r="G368" s="17" t="n">
        <v>2003</v>
      </c>
      <c r="H368" s="17" t="n">
        <v>2004</v>
      </c>
      <c r="I368" s="17" t="n">
        <v>2005</v>
      </c>
      <c r="J368" s="17" t="n">
        <v>2006</v>
      </c>
      <c r="K368" s="17" t="n">
        <v>2007</v>
      </c>
      <c r="L368" s="17" t="n">
        <v>2008</v>
      </c>
      <c r="M368" s="17" t="n">
        <v>2009</v>
      </c>
      <c r="N368" s="18" t="n">
        <v>2010</v>
      </c>
      <c r="O368" s="19" t="n">
        <v>2011</v>
      </c>
      <c r="P368" s="19" t="n">
        <v>2012</v>
      </c>
      <c r="Q368" s="19" t="n">
        <v>2013</v>
      </c>
      <c r="R368" s="19" t="n">
        <v>2014</v>
      </c>
      <c r="S368" s="19" t="n">
        <v>2015</v>
      </c>
      <c r="T368" s="19" t="n">
        <v>2016</v>
      </c>
      <c r="U368" s="19" t="n">
        <v>2017</v>
      </c>
      <c r="V368" s="19" t="n">
        <v>2018</v>
      </c>
      <c r="W368" s="19" t="n">
        <v>2019</v>
      </c>
      <c r="X368" s="19" t="n">
        <v>2020</v>
      </c>
    </row>
    <row r="369" customFormat="false" ht="12.75" hidden="false" customHeight="false" outlineLevel="0" collapsed="false">
      <c r="A369" s="14" t="s">
        <v>8</v>
      </c>
      <c r="B369" s="20" t="n">
        <f aca="false">NPV(0.1,D369:Y369)</f>
        <v>460539.870672095</v>
      </c>
      <c r="C369" s="20" t="n">
        <f aca="false">B369-B359</f>
        <v>8125.3770251809</v>
      </c>
      <c r="D369" s="21" t="n">
        <v>33056.46214</v>
      </c>
      <c r="E369" s="22" t="n">
        <v>45390.4325317</v>
      </c>
      <c r="F369" s="22" t="n">
        <v>45487.222035151</v>
      </c>
      <c r="G369" s="22" t="n">
        <v>50307.8267668499</v>
      </c>
      <c r="H369" s="22" t="n">
        <v>55455.6536785633</v>
      </c>
      <c r="I369" s="22" t="n">
        <v>55984.6192240809</v>
      </c>
      <c r="J369" s="22" t="n">
        <v>56511.0130072258</v>
      </c>
      <c r="K369" s="22" t="n">
        <v>57686.3302905426</v>
      </c>
      <c r="L369" s="22" t="n">
        <v>58225.2176859626</v>
      </c>
      <c r="M369" s="22" t="n">
        <v>59451.9611096415</v>
      </c>
      <c r="N369" s="23" t="n">
        <v>60002.911544785</v>
      </c>
      <c r="O369" s="24" t="n">
        <v>61282.9857842286</v>
      </c>
      <c r="P369" s="24" t="n">
        <v>61845.4699063729</v>
      </c>
      <c r="Q369" s="24" t="n">
        <v>62402.148781847</v>
      </c>
      <c r="R369" s="24" t="n">
        <v>62952.1678601408</v>
      </c>
      <c r="S369" s="24" t="n">
        <v>63494.6265424356</v>
      </c>
      <c r="T369" s="24" t="n">
        <v>64028.576187801</v>
      </c>
      <c r="U369" s="24" t="n">
        <v>64553.0180412071</v>
      </c>
      <c r="V369" s="24" t="n">
        <v>65066.9010804555</v>
      </c>
      <c r="W369" s="24" t="n">
        <v>65569.1197790288</v>
      </c>
      <c r="X369" s="24" t="n">
        <v>47533.9763849444</v>
      </c>
    </row>
    <row r="370" customFormat="false" ht="12.75" hidden="false" customHeight="false" outlineLevel="0" collapsed="false">
      <c r="A370" s="25" t="s">
        <v>9</v>
      </c>
      <c r="B370" s="20" t="n">
        <f aca="false">NPV(0.1,D370:Y370)</f>
        <v>211151.197333785</v>
      </c>
      <c r="C370" s="20" t="n">
        <f aca="false">B370-B360</f>
        <v>8118.03174556539</v>
      </c>
      <c r="D370" s="21" t="n">
        <v>22453.404394222</v>
      </c>
      <c r="E370" s="22" t="n">
        <v>23633.8266549077</v>
      </c>
      <c r="F370" s="22" t="n">
        <v>23780.6846796125</v>
      </c>
      <c r="G370" s="22" t="n">
        <v>23988.4905290392</v>
      </c>
      <c r="H370" s="22" t="n">
        <v>24219.289389386</v>
      </c>
      <c r="I370" s="22" t="n">
        <v>24397.8421459146</v>
      </c>
      <c r="J370" s="22" t="n">
        <v>24583.0207410233</v>
      </c>
      <c r="K370" s="22" t="n">
        <v>24774.1468597888</v>
      </c>
      <c r="L370" s="22" t="n">
        <v>24971.4251465619</v>
      </c>
      <c r="M370" s="22" t="n">
        <v>25175.0139477418</v>
      </c>
      <c r="N370" s="23" t="n">
        <v>25385.1287974018</v>
      </c>
      <c r="O370" s="24" t="n">
        <v>25601.9392583551</v>
      </c>
      <c r="P370" s="24" t="n">
        <v>25825.6724175817</v>
      </c>
      <c r="Q370" s="24" t="n">
        <v>26056.5097373886</v>
      </c>
      <c r="R370" s="24" t="n">
        <v>26294.6905612344</v>
      </c>
      <c r="S370" s="24" t="n">
        <v>26544.2319892791</v>
      </c>
      <c r="T370" s="24" t="n">
        <v>26805.3605367058</v>
      </c>
      <c r="U370" s="24" t="n">
        <v>27074.4994160601</v>
      </c>
      <c r="V370" s="24" t="n">
        <v>27351.8889372998</v>
      </c>
      <c r="W370" s="24" t="n">
        <v>27637.7766196813</v>
      </c>
      <c r="X370" s="24" t="n">
        <v>10765.578803039</v>
      </c>
    </row>
    <row r="371" customFormat="false" ht="12.75" hidden="false" customHeight="false" outlineLevel="0" collapsed="false">
      <c r="A371" s="25" t="s">
        <v>10</v>
      </c>
      <c r="B371" s="20" t="n">
        <f aca="false">NPV(0.1,D371:Y371)</f>
        <v>86100.9737127106</v>
      </c>
      <c r="C371" s="20" t="n">
        <f aca="false">B371-B361</f>
        <v>3.67014620317786</v>
      </c>
      <c r="D371" s="21" t="n">
        <v>1610.09412643082</v>
      </c>
      <c r="E371" s="22" t="n">
        <v>3676.43120006739</v>
      </c>
      <c r="F371" s="22" t="n">
        <v>3923.04865335482</v>
      </c>
      <c r="G371" s="22" t="n">
        <v>7004.91968061681</v>
      </c>
      <c r="H371" s="22" t="n">
        <v>10009.4290520693</v>
      </c>
      <c r="I371" s="22" t="n">
        <v>10493.8270038212</v>
      </c>
      <c r="J371" s="22" t="n">
        <v>10989.9292784796</v>
      </c>
      <c r="K371" s="22" t="n">
        <v>11752.0698300992</v>
      </c>
      <c r="L371" s="22" t="n">
        <v>12158.4111005564</v>
      </c>
      <c r="M371" s="22" t="n">
        <v>12998.8144578202</v>
      </c>
      <c r="N371" s="23" t="n">
        <v>13464.5465847072</v>
      </c>
      <c r="O371" s="24" t="n">
        <v>14393.8008464771</v>
      </c>
      <c r="P371" s="24" t="n">
        <v>14928.8420093128</v>
      </c>
      <c r="Q371" s="24" t="n">
        <v>15488.9922741594</v>
      </c>
      <c r="R371" s="24" t="n">
        <v>16075.9770870644</v>
      </c>
      <c r="S371" s="24" t="n">
        <v>16689.3829689542</v>
      </c>
      <c r="T371" s="24" t="n">
        <v>17331.166927762</v>
      </c>
      <c r="U371" s="24" t="n">
        <v>18005.7431595704</v>
      </c>
      <c r="V371" s="24" t="n">
        <v>18715.4672227127</v>
      </c>
      <c r="W371" s="24" t="n">
        <v>19462.8835914665</v>
      </c>
      <c r="X371" s="24" t="n">
        <v>19453.2874716314</v>
      </c>
    </row>
    <row r="372" customFormat="false" ht="12.75" hidden="false" customHeight="false" outlineLevel="0" collapsed="false">
      <c r="A372" s="25" t="s">
        <v>11</v>
      </c>
      <c r="B372" s="20" t="n">
        <f aca="false">NPV(0.1,D372:Y372)</f>
        <v>96533.4668454205</v>
      </c>
      <c r="C372" s="20" t="n">
        <f aca="false">B372-B362</f>
        <v>1.15123623621184</v>
      </c>
      <c r="D372" s="26" t="n">
        <v>2786.97727601715</v>
      </c>
      <c r="E372" s="27" t="n">
        <v>5292.71277579659</v>
      </c>
      <c r="F372" s="27" t="n">
        <v>5280.53264514544</v>
      </c>
      <c r="G372" s="27" t="n">
        <v>16120.593445659</v>
      </c>
      <c r="H372" s="27" t="n">
        <v>16255.3681991322</v>
      </c>
      <c r="I372" s="27" t="n">
        <v>14231.2472465799</v>
      </c>
      <c r="J372" s="27" t="n">
        <v>13901.5216402829</v>
      </c>
      <c r="K372" s="27" t="n">
        <v>13994.6743273707</v>
      </c>
      <c r="L372" s="27" t="n">
        <v>13922.7489453267</v>
      </c>
      <c r="M372" s="27" t="n">
        <v>13986.7986935169</v>
      </c>
      <c r="N372" s="28" t="n">
        <v>13874.203956242</v>
      </c>
      <c r="O372" s="24" t="n">
        <v>13902.686508683</v>
      </c>
      <c r="P372" s="24" t="n">
        <v>13741.9067705039</v>
      </c>
      <c r="Q372" s="24" t="n">
        <v>13568.5268063233</v>
      </c>
      <c r="R372" s="24" t="n">
        <v>13356.107711198</v>
      </c>
      <c r="S372" s="24" t="n">
        <v>11306.0356489208</v>
      </c>
      <c r="T372" s="24" t="n">
        <v>9224.44848457943</v>
      </c>
      <c r="U372" s="24" t="n">
        <v>8924.27017230242</v>
      </c>
      <c r="V372" s="24" t="n">
        <v>8588.78311024959</v>
      </c>
      <c r="W372" s="24" t="n">
        <v>8215.43646451962</v>
      </c>
      <c r="X372" s="24" t="n">
        <v>22216.9859592577</v>
      </c>
    </row>
    <row r="374" customFormat="false" ht="11.25" hidden="false" customHeight="false" outlineLevel="0" collapsed="false">
      <c r="A374" s="29" t="s">
        <v>48</v>
      </c>
    </row>
    <row r="375" customFormat="false" ht="11.25" hidden="false" customHeight="false" outlineLevel="0" collapsed="false">
      <c r="A375" s="36" t="n">
        <v>36285</v>
      </c>
    </row>
    <row r="376" customFormat="false" ht="12.75" hidden="false" customHeight="false" outlineLevel="0" collapsed="false">
      <c r="A376" s="10" t="s">
        <v>3</v>
      </c>
      <c r="B376" s="11" t="n">
        <v>68676.4603953165</v>
      </c>
      <c r="C376" s="7"/>
      <c r="D376" s="7"/>
      <c r="E376" s="7"/>
      <c r="F376" s="7"/>
      <c r="G376" s="7"/>
      <c r="H376" s="7"/>
      <c r="I376" s="7"/>
      <c r="J376" s="7"/>
      <c r="K376" s="7"/>
      <c r="L376" s="7"/>
      <c r="M376" s="7"/>
      <c r="N376" s="7"/>
      <c r="O376" s="7"/>
      <c r="P376" s="7"/>
      <c r="Q376" s="7"/>
      <c r="R376" s="7"/>
      <c r="S376" s="7"/>
      <c r="T376" s="7"/>
      <c r="U376" s="7"/>
      <c r="V376" s="7"/>
      <c r="W376" s="7"/>
      <c r="X376" s="7"/>
    </row>
    <row r="377" customFormat="false" ht="12.75" hidden="false" customHeight="false" outlineLevel="0" collapsed="false">
      <c r="A377" s="12" t="s">
        <v>4</v>
      </c>
      <c r="B377" s="13" t="n">
        <v>104297.725626758</v>
      </c>
      <c r="C377" s="7"/>
      <c r="D377" s="7"/>
      <c r="E377" s="7"/>
      <c r="F377" s="7"/>
      <c r="G377" s="7"/>
      <c r="H377" s="7"/>
      <c r="I377" s="7"/>
      <c r="J377" s="7"/>
      <c r="K377" s="7"/>
      <c r="L377" s="7"/>
      <c r="M377" s="7"/>
      <c r="N377" s="7"/>
      <c r="O377" s="7"/>
      <c r="P377" s="7"/>
      <c r="Q377" s="7"/>
      <c r="R377" s="7"/>
      <c r="S377" s="7"/>
      <c r="T377" s="7"/>
      <c r="U377" s="7"/>
      <c r="V377" s="7"/>
      <c r="W377" s="7"/>
      <c r="X377" s="7"/>
    </row>
    <row r="378" customFormat="false" ht="12.75" hidden="false" customHeight="false" outlineLevel="0" collapsed="false">
      <c r="A378" s="14" t="s">
        <v>5</v>
      </c>
      <c r="B378" s="15" t="s">
        <v>6</v>
      </c>
      <c r="C378" s="15" t="s">
        <v>7</v>
      </c>
      <c r="D378" s="16" t="n">
        <v>2000</v>
      </c>
      <c r="E378" s="17" t="n">
        <v>2001</v>
      </c>
      <c r="F378" s="17" t="n">
        <v>2002</v>
      </c>
      <c r="G378" s="17" t="n">
        <v>2003</v>
      </c>
      <c r="H378" s="17" t="n">
        <v>2004</v>
      </c>
      <c r="I378" s="17" t="n">
        <v>2005</v>
      </c>
      <c r="J378" s="17" t="n">
        <v>2006</v>
      </c>
      <c r="K378" s="17" t="n">
        <v>2007</v>
      </c>
      <c r="L378" s="17" t="n">
        <v>2008</v>
      </c>
      <c r="M378" s="17" t="n">
        <v>2009</v>
      </c>
      <c r="N378" s="18" t="n">
        <v>2010</v>
      </c>
      <c r="O378" s="19" t="n">
        <v>2011</v>
      </c>
      <c r="P378" s="19" t="n">
        <v>2012</v>
      </c>
      <c r="Q378" s="19" t="n">
        <v>2013</v>
      </c>
      <c r="R378" s="19" t="n">
        <v>2014</v>
      </c>
      <c r="S378" s="19" t="n">
        <v>2015</v>
      </c>
      <c r="T378" s="19" t="n">
        <v>2016</v>
      </c>
      <c r="U378" s="19" t="n">
        <v>2017</v>
      </c>
      <c r="V378" s="19" t="n">
        <v>2018</v>
      </c>
      <c r="W378" s="19" t="n">
        <v>2019</v>
      </c>
      <c r="X378" s="19" t="n">
        <v>2020</v>
      </c>
    </row>
    <row r="379" customFormat="false" ht="12.75" hidden="false" customHeight="false" outlineLevel="0" collapsed="false">
      <c r="A379" s="14" t="s">
        <v>8</v>
      </c>
      <c r="B379" s="20" t="n">
        <f aca="false">NPV(0.1,D379:Y379)</f>
        <v>462924.916088079</v>
      </c>
      <c r="C379" s="20" t="n">
        <f aca="false">B379-B369</f>
        <v>2385.045415984</v>
      </c>
      <c r="D379" s="21" t="n">
        <v>35096.46214</v>
      </c>
      <c r="E379" s="22" t="n">
        <v>45390.4325317</v>
      </c>
      <c r="F379" s="22" t="n">
        <v>45487.222035151</v>
      </c>
      <c r="G379" s="22" t="n">
        <v>51084.531760392</v>
      </c>
      <c r="H379" s="22" t="n">
        <v>55455.6536785633</v>
      </c>
      <c r="I379" s="22" t="n">
        <v>55984.6192240809</v>
      </c>
      <c r="J379" s="22" t="n">
        <v>56511.0130072258</v>
      </c>
      <c r="K379" s="22" t="n">
        <v>57686.3302905426</v>
      </c>
      <c r="L379" s="22" t="n">
        <v>58225.2176859626</v>
      </c>
      <c r="M379" s="22" t="n">
        <v>59451.9611096415</v>
      </c>
      <c r="N379" s="23" t="n">
        <v>60002.911544785</v>
      </c>
      <c r="O379" s="24" t="n">
        <v>61282.9857842286</v>
      </c>
      <c r="P379" s="24" t="n">
        <v>61845.4699063729</v>
      </c>
      <c r="Q379" s="24" t="n">
        <v>62402.148781847</v>
      </c>
      <c r="R379" s="24" t="n">
        <v>62952.1678601408</v>
      </c>
      <c r="S379" s="24" t="n">
        <v>63494.6265424356</v>
      </c>
      <c r="T379" s="24" t="n">
        <v>64028.576187801</v>
      </c>
      <c r="U379" s="24" t="n">
        <v>64553.0180412071</v>
      </c>
      <c r="V379" s="24" t="n">
        <v>65066.9010804555</v>
      </c>
      <c r="W379" s="24" t="n">
        <v>65569.1197790288</v>
      </c>
      <c r="X379" s="24" t="n">
        <v>47533.9763849444</v>
      </c>
    </row>
    <row r="380" customFormat="false" ht="12.75" hidden="false" customHeight="false" outlineLevel="0" collapsed="false">
      <c r="A380" s="25" t="s">
        <v>9</v>
      </c>
      <c r="B380" s="20" t="n">
        <f aca="false">NPV(0.1,D380:Y380)</f>
        <v>211315.419278339</v>
      </c>
      <c r="C380" s="20" t="n">
        <f aca="false">B380-B370</f>
        <v>164.221944553516</v>
      </c>
      <c r="D380" s="21" t="n">
        <v>22626.3989530455</v>
      </c>
      <c r="E380" s="22" t="n">
        <v>23633.8266549077</v>
      </c>
      <c r="F380" s="22" t="n">
        <v>23780.6846796125</v>
      </c>
      <c r="G380" s="22" t="n">
        <v>23998.6721202659</v>
      </c>
      <c r="H380" s="22" t="n">
        <v>24219.289389386</v>
      </c>
      <c r="I380" s="22" t="n">
        <v>24397.8421459146</v>
      </c>
      <c r="J380" s="22" t="n">
        <v>24583.0207410233</v>
      </c>
      <c r="K380" s="22" t="n">
        <v>24774.1468597888</v>
      </c>
      <c r="L380" s="22" t="n">
        <v>24971.4251465619</v>
      </c>
      <c r="M380" s="22" t="n">
        <v>25175.0139477418</v>
      </c>
      <c r="N380" s="23" t="n">
        <v>25385.1287974018</v>
      </c>
      <c r="O380" s="24" t="n">
        <v>25601.9392583551</v>
      </c>
      <c r="P380" s="24" t="n">
        <v>25825.6724175817</v>
      </c>
      <c r="Q380" s="24" t="n">
        <v>26056.5097373886</v>
      </c>
      <c r="R380" s="24" t="n">
        <v>26294.6905612344</v>
      </c>
      <c r="S380" s="24" t="n">
        <v>26544.2319892791</v>
      </c>
      <c r="T380" s="24" t="n">
        <v>26805.3605367058</v>
      </c>
      <c r="U380" s="24" t="n">
        <v>27074.4994160601</v>
      </c>
      <c r="V380" s="24" t="n">
        <v>27351.8889372998</v>
      </c>
      <c r="W380" s="24" t="n">
        <v>27637.7766196813</v>
      </c>
      <c r="X380" s="24" t="n">
        <v>10765.578803039</v>
      </c>
    </row>
    <row r="381" customFormat="false" ht="12.75" hidden="false" customHeight="false" outlineLevel="0" collapsed="false">
      <c r="A381" s="25" t="s">
        <v>10</v>
      </c>
      <c r="B381" s="20" t="n">
        <f aca="false">NPV(0.1,D381:Y381)</f>
        <v>86683.0684432198</v>
      </c>
      <c r="C381" s="20" t="n">
        <f aca="false">B381-B371</f>
        <v>582.094730509125</v>
      </c>
      <c r="D381" s="21" t="n">
        <v>1918.71179027067</v>
      </c>
      <c r="E381" s="22" t="n">
        <v>3664.76480945453</v>
      </c>
      <c r="F381" s="22" t="n">
        <v>3910.47811746946</v>
      </c>
      <c r="G381" s="22" t="n">
        <v>7454.22451468193</v>
      </c>
      <c r="H381" s="22" t="n">
        <v>10009.4290520693</v>
      </c>
      <c r="I381" s="22" t="n">
        <v>10517.2724929879</v>
      </c>
      <c r="J381" s="22" t="n">
        <v>10989.9292784796</v>
      </c>
      <c r="K381" s="22" t="n">
        <v>11752.0698300992</v>
      </c>
      <c r="L381" s="22" t="n">
        <v>12158.4111005564</v>
      </c>
      <c r="M381" s="22" t="n">
        <v>12998.8144578202</v>
      </c>
      <c r="N381" s="23" t="n">
        <v>13464.5465847072</v>
      </c>
      <c r="O381" s="24" t="n">
        <v>14393.8008464771</v>
      </c>
      <c r="P381" s="24" t="n">
        <v>14928.8420093128</v>
      </c>
      <c r="Q381" s="24" t="n">
        <v>15488.9922741594</v>
      </c>
      <c r="R381" s="24" t="n">
        <v>16075.9770870644</v>
      </c>
      <c r="S381" s="24" t="n">
        <v>16689.3829689542</v>
      </c>
      <c r="T381" s="24" t="n">
        <v>17331.166927762</v>
      </c>
      <c r="U381" s="24" t="n">
        <v>18005.7431595704</v>
      </c>
      <c r="V381" s="24" t="n">
        <v>18715.4672227127</v>
      </c>
      <c r="W381" s="24" t="n">
        <v>19462.8835914665</v>
      </c>
      <c r="X381" s="24" t="n">
        <v>19457.0148153814</v>
      </c>
    </row>
    <row r="382" customFormat="false" ht="12.75" hidden="false" customHeight="false" outlineLevel="0" collapsed="false">
      <c r="A382" s="25" t="s">
        <v>11</v>
      </c>
      <c r="B382" s="20" t="n">
        <f aca="false">NPV(0.1,D382:Y382)</f>
        <v>96853.9427443442</v>
      </c>
      <c r="C382" s="20" t="n">
        <f aca="false">B382-B372</f>
        <v>320.475898923687</v>
      </c>
      <c r="D382" s="26" t="n">
        <v>3241.16225353412</v>
      </c>
      <c r="E382" s="27" t="n">
        <v>5292.71277579659</v>
      </c>
      <c r="F382" s="27" t="n">
        <v>5280.53264514544</v>
      </c>
      <c r="G382" s="27" t="n">
        <v>16590.0890295773</v>
      </c>
      <c r="H382" s="27" t="n">
        <v>15605.0547875935</v>
      </c>
      <c r="I382" s="27" t="n">
        <v>14215.3794024133</v>
      </c>
      <c r="J382" s="27" t="n">
        <v>13901.5216402829</v>
      </c>
      <c r="K382" s="27" t="n">
        <v>13994.6743273707</v>
      </c>
      <c r="L382" s="27" t="n">
        <v>13922.7489453267</v>
      </c>
      <c r="M382" s="27" t="n">
        <v>13986.7986935169</v>
      </c>
      <c r="N382" s="28" t="n">
        <v>13874.203956242</v>
      </c>
      <c r="O382" s="24" t="n">
        <v>13902.686508683</v>
      </c>
      <c r="P382" s="24" t="n">
        <v>13741.9067705039</v>
      </c>
      <c r="Q382" s="24" t="n">
        <v>13568.5268063233</v>
      </c>
      <c r="R382" s="24" t="n">
        <v>13356.107711198</v>
      </c>
      <c r="S382" s="24" t="n">
        <v>11306.0356489208</v>
      </c>
      <c r="T382" s="24" t="n">
        <v>9224.44848457943</v>
      </c>
      <c r="U382" s="24" t="n">
        <v>8924.27017230242</v>
      </c>
      <c r="V382" s="24" t="n">
        <v>8588.78311024959</v>
      </c>
      <c r="W382" s="24" t="n">
        <v>8215.43646451962</v>
      </c>
      <c r="X382" s="24" t="n">
        <v>22214.4633030077</v>
      </c>
    </row>
    <row r="384" customFormat="false" ht="11.25" hidden="false" customHeight="false" outlineLevel="0" collapsed="false">
      <c r="A384" s="29" t="s">
        <v>49</v>
      </c>
    </row>
    <row r="385" customFormat="false" ht="11.25" hidden="false" customHeight="false" outlineLevel="0" collapsed="false">
      <c r="A385" s="36" t="n">
        <v>36286</v>
      </c>
    </row>
    <row r="386" customFormat="false" ht="12.75" hidden="false" customHeight="false" outlineLevel="0" collapsed="false">
      <c r="A386" s="10" t="s">
        <v>3</v>
      </c>
      <c r="B386" s="11" t="n">
        <v>65262.1295943715</v>
      </c>
      <c r="C386" s="7"/>
      <c r="D386" s="7"/>
      <c r="E386" s="7"/>
      <c r="F386" s="7"/>
      <c r="G386" s="7"/>
      <c r="H386" s="7"/>
      <c r="I386" s="7"/>
      <c r="J386" s="7"/>
      <c r="K386" s="7"/>
      <c r="L386" s="7"/>
      <c r="M386" s="7"/>
      <c r="N386" s="7"/>
      <c r="O386" s="7"/>
      <c r="P386" s="7"/>
      <c r="Q386" s="7"/>
      <c r="R386" s="7"/>
      <c r="S386" s="7"/>
      <c r="T386" s="7"/>
      <c r="U386" s="7"/>
      <c r="V386" s="7"/>
      <c r="W386" s="7"/>
      <c r="X386" s="7"/>
    </row>
    <row r="387" customFormat="false" ht="12.75" hidden="false" customHeight="false" outlineLevel="0" collapsed="false">
      <c r="A387" s="12" t="s">
        <v>4</v>
      </c>
      <c r="B387" s="13" t="n">
        <v>99832.3785197274</v>
      </c>
      <c r="C387" s="7"/>
      <c r="D387" s="7"/>
      <c r="E387" s="7"/>
      <c r="F387" s="7"/>
      <c r="G387" s="7"/>
      <c r="H387" s="7"/>
      <c r="I387" s="7"/>
      <c r="J387" s="7"/>
      <c r="K387" s="7"/>
      <c r="L387" s="7"/>
      <c r="M387" s="7"/>
      <c r="N387" s="7"/>
      <c r="O387" s="7"/>
      <c r="P387" s="7"/>
      <c r="Q387" s="7"/>
      <c r="R387" s="7"/>
      <c r="S387" s="7"/>
      <c r="T387" s="7"/>
      <c r="U387" s="7"/>
      <c r="V387" s="7"/>
      <c r="W387" s="7"/>
      <c r="X387" s="7"/>
    </row>
    <row r="388" customFormat="false" ht="12.75" hidden="false" customHeight="false" outlineLevel="0" collapsed="false">
      <c r="A388" s="14" t="s">
        <v>5</v>
      </c>
      <c r="B388" s="15" t="s">
        <v>6</v>
      </c>
      <c r="C388" s="15" t="s">
        <v>7</v>
      </c>
      <c r="D388" s="16" t="n">
        <v>2000</v>
      </c>
      <c r="E388" s="17" t="n">
        <v>2001</v>
      </c>
      <c r="F388" s="17" t="n">
        <v>2002</v>
      </c>
      <c r="G388" s="17" t="n">
        <v>2003</v>
      </c>
      <c r="H388" s="17" t="n">
        <v>2004</v>
      </c>
      <c r="I388" s="17" t="n">
        <v>2005</v>
      </c>
      <c r="J388" s="17" t="n">
        <v>2006</v>
      </c>
      <c r="K388" s="17" t="n">
        <v>2007</v>
      </c>
      <c r="L388" s="17" t="n">
        <v>2008</v>
      </c>
      <c r="M388" s="17" t="n">
        <v>2009</v>
      </c>
      <c r="N388" s="18" t="n">
        <v>2010</v>
      </c>
      <c r="O388" s="19" t="n">
        <v>2011</v>
      </c>
      <c r="P388" s="19" t="n">
        <v>2012</v>
      </c>
      <c r="Q388" s="19" t="n">
        <v>2013</v>
      </c>
      <c r="R388" s="19" t="n">
        <v>2014</v>
      </c>
      <c r="S388" s="19" t="n">
        <v>2015</v>
      </c>
      <c r="T388" s="19" t="n">
        <v>2016</v>
      </c>
      <c r="U388" s="19" t="n">
        <v>2017</v>
      </c>
      <c r="V388" s="19" t="n">
        <v>2018</v>
      </c>
      <c r="W388" s="19" t="n">
        <v>2019</v>
      </c>
      <c r="X388" s="19" t="n">
        <v>2020</v>
      </c>
    </row>
    <row r="389" customFormat="false" ht="12.75" hidden="false" customHeight="false" outlineLevel="0" collapsed="false">
      <c r="A389" s="14" t="s">
        <v>8</v>
      </c>
      <c r="B389" s="20" t="n">
        <f aca="false">NPV(0.1,D389:Y389)</f>
        <v>458574.124763214</v>
      </c>
      <c r="C389" s="20" t="n">
        <f aca="false">B389-B379</f>
        <v>-4350.79132486554</v>
      </c>
      <c r="D389" s="21" t="n">
        <v>35096.46214</v>
      </c>
      <c r="E389" s="22" t="n">
        <v>45390.4325317</v>
      </c>
      <c r="F389" s="22" t="n">
        <v>45487.222035151</v>
      </c>
      <c r="G389" s="22" t="n">
        <v>50736.4109336055</v>
      </c>
      <c r="H389" s="22" t="n">
        <v>54775.3755667093</v>
      </c>
      <c r="I389" s="22" t="n">
        <v>55295.86673203</v>
      </c>
      <c r="J389" s="22" t="n">
        <v>55813.9007181469</v>
      </c>
      <c r="K389" s="22" t="n">
        <v>56967.9447767914</v>
      </c>
      <c r="L389" s="22" t="n">
        <v>57498.3545389268</v>
      </c>
      <c r="M389" s="22" t="n">
        <v>58702.9322121946</v>
      </c>
      <c r="N389" s="23" t="n">
        <v>59245.3038302397</v>
      </c>
      <c r="O389" s="24" t="n">
        <v>60502.2899822468</v>
      </c>
      <c r="P389" s="24" t="n">
        <v>61056.1132212213</v>
      </c>
      <c r="Q389" s="24" t="n">
        <v>61604.3249824373</v>
      </c>
      <c r="R389" s="24" t="n">
        <v>62146.090136314</v>
      </c>
      <c r="S389" s="24" t="n">
        <v>62680.5284958262</v>
      </c>
      <c r="T389" s="24" t="n">
        <v>63206.7128646734</v>
      </c>
      <c r="U389" s="24" t="n">
        <v>63723.6670088923</v>
      </c>
      <c r="V389" s="24" t="n">
        <v>64230.363549073</v>
      </c>
      <c r="W389" s="24" t="n">
        <v>64725.7217702436</v>
      </c>
      <c r="X389" s="24" t="n">
        <v>46684.0699495706</v>
      </c>
    </row>
    <row r="390" customFormat="false" ht="12.75" hidden="false" customHeight="false" outlineLevel="0" collapsed="false">
      <c r="A390" s="25" t="s">
        <v>9</v>
      </c>
      <c r="B390" s="20" t="n">
        <f aca="false">NPV(0.1,D390:Y390)</f>
        <v>211314.656723492</v>
      </c>
      <c r="C390" s="20" t="n">
        <f aca="false">B390-B380</f>
        <v>-0.762554846558487</v>
      </c>
      <c r="D390" s="21" t="n">
        <v>22626.314292607</v>
      </c>
      <c r="E390" s="22" t="n">
        <v>23633.5902241047</v>
      </c>
      <c r="F390" s="22" t="n">
        <v>23780.2845795576</v>
      </c>
      <c r="G390" s="22" t="n">
        <v>23998.3945380907</v>
      </c>
      <c r="H390" s="22" t="n">
        <v>24219.289389386</v>
      </c>
      <c r="I390" s="22" t="n">
        <v>24397.8421459146</v>
      </c>
      <c r="J390" s="22" t="n">
        <v>24583.0207410233</v>
      </c>
      <c r="K390" s="22" t="n">
        <v>24774.1468597888</v>
      </c>
      <c r="L390" s="22" t="n">
        <v>24971.4251465619</v>
      </c>
      <c r="M390" s="22" t="n">
        <v>25175.0139477418</v>
      </c>
      <c r="N390" s="23" t="n">
        <v>25385.1287974018</v>
      </c>
      <c r="O390" s="24" t="n">
        <v>25601.9392583551</v>
      </c>
      <c r="P390" s="24" t="n">
        <v>25825.6724175817</v>
      </c>
      <c r="Q390" s="24" t="n">
        <v>26056.5097373886</v>
      </c>
      <c r="R390" s="24" t="n">
        <v>26294.6905612344</v>
      </c>
      <c r="S390" s="24" t="n">
        <v>26544.2319892791</v>
      </c>
      <c r="T390" s="24" t="n">
        <v>26805.3605367058</v>
      </c>
      <c r="U390" s="24" t="n">
        <v>27074.4994160601</v>
      </c>
      <c r="V390" s="24" t="n">
        <v>27351.8889372998</v>
      </c>
      <c r="W390" s="24" t="n">
        <v>27637.7766196813</v>
      </c>
      <c r="X390" s="24" t="n">
        <v>10765.578803039</v>
      </c>
    </row>
    <row r="391" customFormat="false" ht="12.75" hidden="false" customHeight="false" outlineLevel="0" collapsed="false">
      <c r="A391" s="25" t="s">
        <v>10</v>
      </c>
      <c r="B391" s="20" t="n">
        <f aca="false">NPV(0.1,D391:Y391)</f>
        <v>84895.1747855906</v>
      </c>
      <c r="C391" s="20" t="n">
        <f aca="false">B391-B381</f>
        <v>-1787.89365762917</v>
      </c>
      <c r="D391" s="21" t="n">
        <v>1978.27835991358</v>
      </c>
      <c r="E391" s="22" t="n">
        <v>3771.54951491402</v>
      </c>
      <c r="F391" s="22" t="n">
        <v>4025.63480760391</v>
      </c>
      <c r="G391" s="22" t="n">
        <v>7368.02167972278</v>
      </c>
      <c r="H391" s="22" t="n">
        <v>9725.76075404746</v>
      </c>
      <c r="I391" s="22" t="n">
        <v>10225.6729908671</v>
      </c>
      <c r="J391" s="22" t="n">
        <v>10690.0809061671</v>
      </c>
      <c r="K391" s="22" t="n">
        <v>11435.7594601243</v>
      </c>
      <c r="L391" s="22" t="n">
        <v>11832.6697852039</v>
      </c>
      <c r="M391" s="22" t="n">
        <v>12654.870166552</v>
      </c>
      <c r="N391" s="23" t="n">
        <v>13109.7950090168</v>
      </c>
      <c r="O391" s="24" t="n">
        <v>14018.8669688471</v>
      </c>
      <c r="P391" s="24" t="n">
        <v>14541.497508581</v>
      </c>
      <c r="Q391" s="24" t="n">
        <v>15088.6143954748</v>
      </c>
      <c r="R391" s="24" t="n">
        <v>15661.8993197338</v>
      </c>
      <c r="S391" s="24" t="n">
        <v>16260.8915767625</v>
      </c>
      <c r="T391" s="24" t="n">
        <v>16887.4971981065</v>
      </c>
      <c r="U391" s="24" t="n">
        <v>17546.075348671</v>
      </c>
      <c r="V391" s="24" t="n">
        <v>18238.922172328</v>
      </c>
      <c r="W391" s="24" t="n">
        <v>18968.5179905685</v>
      </c>
      <c r="X391" s="24" t="n">
        <v>18943.8160781054</v>
      </c>
    </row>
    <row r="392" customFormat="false" ht="12.75" hidden="false" customHeight="false" outlineLevel="0" collapsed="false">
      <c r="A392" s="25" t="s">
        <v>11</v>
      </c>
      <c r="B392" s="20" t="n">
        <f aca="false">NPV(0.1,D392:Y392)</f>
        <v>95386.451893693</v>
      </c>
      <c r="C392" s="20" t="n">
        <f aca="false">B392-B382</f>
        <v>-1467.49085065121</v>
      </c>
      <c r="D392" s="26" t="n">
        <v>3241.18284881387</v>
      </c>
      <c r="E392" s="27" t="n">
        <v>5292.77029213618</v>
      </c>
      <c r="F392" s="27" t="n">
        <v>5280.629977178</v>
      </c>
      <c r="G392" s="27" t="n">
        <v>16377.0350422528</v>
      </c>
      <c r="H392" s="27" t="n">
        <v>15248.1883989448</v>
      </c>
      <c r="I392" s="27" t="n">
        <v>13990.8722617422</v>
      </c>
      <c r="J392" s="27" t="n">
        <v>13677.4769371473</v>
      </c>
      <c r="K392" s="27" t="n">
        <v>13768.7412099757</v>
      </c>
      <c r="L392" s="27" t="n">
        <v>13698.0061160744</v>
      </c>
      <c r="M392" s="27" t="n">
        <v>13760.7990674013</v>
      </c>
      <c r="N392" s="28" t="n">
        <v>13650.2641457558</v>
      </c>
      <c r="O392" s="24" t="n">
        <v>13678.2645724481</v>
      </c>
      <c r="P392" s="24" t="n">
        <v>13520.5795197467</v>
      </c>
      <c r="Q392" s="24" t="n">
        <v>13350.8344033146</v>
      </c>
      <c r="R392" s="24" t="n">
        <v>13142.6318273643</v>
      </c>
      <c r="S392" s="24" t="n">
        <v>11097.4024200187</v>
      </c>
      <c r="T392" s="24" t="n">
        <v>9021.33168188393</v>
      </c>
      <c r="U392" s="24" t="n">
        <v>8727.39460619472</v>
      </c>
      <c r="V392" s="24" t="n">
        <v>8398.92828386704</v>
      </c>
      <c r="W392" s="24" t="n">
        <v>8033.44049650501</v>
      </c>
      <c r="X392" s="24" t="n">
        <v>21701.2645657317</v>
      </c>
    </row>
    <row r="394" customFormat="false" ht="11.25" hidden="false" customHeight="false" outlineLevel="0" collapsed="false">
      <c r="A394" s="29" t="s">
        <v>50</v>
      </c>
    </row>
    <row r="395" customFormat="false" ht="11.25" hidden="false" customHeight="false" outlineLevel="0" collapsed="false">
      <c r="A395" s="36" t="n">
        <v>36286</v>
      </c>
    </row>
    <row r="396" customFormat="false" ht="12.75" hidden="false" customHeight="false" outlineLevel="0" collapsed="false">
      <c r="A396" s="10" t="s">
        <v>3</v>
      </c>
      <c r="B396" s="11" t="n">
        <v>55671.2783520934</v>
      </c>
      <c r="C396" s="7"/>
      <c r="D396" s="7"/>
      <c r="E396" s="7"/>
      <c r="F396" s="7"/>
      <c r="G396" s="7"/>
      <c r="H396" s="7"/>
      <c r="I396" s="7"/>
      <c r="J396" s="7"/>
      <c r="K396" s="7"/>
      <c r="L396" s="7"/>
      <c r="M396" s="7"/>
      <c r="N396" s="7"/>
      <c r="O396" s="7"/>
      <c r="P396" s="7"/>
      <c r="Q396" s="7"/>
      <c r="R396" s="7"/>
      <c r="S396" s="7"/>
      <c r="T396" s="7"/>
      <c r="U396" s="7"/>
      <c r="V396" s="7"/>
      <c r="W396" s="7"/>
      <c r="X396" s="7"/>
    </row>
    <row r="397" customFormat="false" ht="12.75" hidden="false" customHeight="false" outlineLevel="0" collapsed="false">
      <c r="A397" s="12" t="s">
        <v>4</v>
      </c>
      <c r="B397" s="13" t="n">
        <v>87375.2426457088</v>
      </c>
      <c r="C397" s="7"/>
      <c r="D397" s="7"/>
      <c r="E397" s="7"/>
      <c r="F397" s="7"/>
      <c r="G397" s="7"/>
      <c r="H397" s="7"/>
      <c r="I397" s="7"/>
      <c r="J397" s="7"/>
      <c r="K397" s="7"/>
      <c r="L397" s="7"/>
      <c r="M397" s="7"/>
      <c r="N397" s="7"/>
      <c r="O397" s="7"/>
      <c r="P397" s="7"/>
      <c r="Q397" s="7"/>
      <c r="R397" s="7"/>
      <c r="S397" s="7"/>
      <c r="T397" s="7"/>
      <c r="U397" s="7"/>
      <c r="V397" s="7"/>
      <c r="W397" s="7"/>
      <c r="X397" s="7"/>
    </row>
    <row r="398" customFormat="false" ht="12.75" hidden="false" customHeight="false" outlineLevel="0" collapsed="false">
      <c r="A398" s="14" t="s">
        <v>5</v>
      </c>
      <c r="B398" s="15" t="s">
        <v>6</v>
      </c>
      <c r="C398" s="15" t="s">
        <v>7</v>
      </c>
      <c r="D398" s="16" t="n">
        <v>2000</v>
      </c>
      <c r="E398" s="17" t="n">
        <v>2001</v>
      </c>
      <c r="F398" s="17" t="n">
        <v>2002</v>
      </c>
      <c r="G398" s="17" t="n">
        <v>2003</v>
      </c>
      <c r="H398" s="17" t="n">
        <v>2004</v>
      </c>
      <c r="I398" s="17" t="n">
        <v>2005</v>
      </c>
      <c r="J398" s="17" t="n">
        <v>2006</v>
      </c>
      <c r="K398" s="17" t="n">
        <v>2007</v>
      </c>
      <c r="L398" s="17" t="n">
        <v>2008</v>
      </c>
      <c r="M398" s="17" t="n">
        <v>2009</v>
      </c>
      <c r="N398" s="18" t="n">
        <v>2010</v>
      </c>
      <c r="O398" s="19" t="n">
        <v>2011</v>
      </c>
      <c r="P398" s="19" t="n">
        <v>2012</v>
      </c>
      <c r="Q398" s="19" t="n">
        <v>2013</v>
      </c>
      <c r="R398" s="19" t="n">
        <v>2014</v>
      </c>
      <c r="S398" s="19" t="n">
        <v>2015</v>
      </c>
      <c r="T398" s="19" t="n">
        <v>2016</v>
      </c>
      <c r="U398" s="19" t="n">
        <v>2017</v>
      </c>
      <c r="V398" s="19" t="n">
        <v>2018</v>
      </c>
      <c r="W398" s="19" t="n">
        <v>2019</v>
      </c>
      <c r="X398" s="19" t="n">
        <v>2020</v>
      </c>
    </row>
    <row r="399" customFormat="false" ht="12.75" hidden="false" customHeight="false" outlineLevel="0" collapsed="false">
      <c r="A399" s="14" t="s">
        <v>8</v>
      </c>
      <c r="B399" s="20" t="n">
        <f aca="false">NPV(0.1,D399:Y399)</f>
        <v>444783.546041825</v>
      </c>
      <c r="C399" s="20" t="n">
        <f aca="false">B399-B389</f>
        <v>-13790.5787213889</v>
      </c>
      <c r="D399" s="21" t="n">
        <v>34929.62239</v>
      </c>
      <c r="E399" s="22" t="n">
        <v>45223.5927817</v>
      </c>
      <c r="F399" s="22" t="n">
        <v>45320.382285151</v>
      </c>
      <c r="G399" s="22" t="n">
        <v>49554.6780704994</v>
      </c>
      <c r="H399" s="22" t="n">
        <v>52833.733579919</v>
      </c>
      <c r="I399" s="22" t="n">
        <v>53300.980678136</v>
      </c>
      <c r="J399" s="22" t="n">
        <v>53764.1732751361</v>
      </c>
      <c r="K399" s="22" t="n">
        <v>54861.7307029902</v>
      </c>
      <c r="L399" s="22" t="n">
        <v>55333.9592354116</v>
      </c>
      <c r="M399" s="22" t="n">
        <v>56478.6102420739</v>
      </c>
      <c r="N399" s="23" t="n">
        <v>56959.2573935154</v>
      </c>
      <c r="O399" s="24" t="n">
        <v>58152.6673449208</v>
      </c>
      <c r="P399" s="24" t="n">
        <v>58641.0070972755</v>
      </c>
      <c r="Q399" s="24" t="n">
        <v>59121.7708672731</v>
      </c>
      <c r="R399" s="24" t="n">
        <v>59594.0645901949</v>
      </c>
      <c r="S399" s="24" t="n">
        <v>60056.9473758235</v>
      </c>
      <c r="T399" s="24" t="n">
        <v>60509.4295035707</v>
      </c>
      <c r="U399" s="24" t="n">
        <v>60950.4703394564</v>
      </c>
      <c r="V399" s="24" t="n">
        <v>61378.9761720541</v>
      </c>
      <c r="W399" s="24" t="n">
        <v>61793.7979644141</v>
      </c>
      <c r="X399" s="24" t="n">
        <v>43669.1936220663</v>
      </c>
    </row>
    <row r="400" customFormat="false" ht="12.75" hidden="false" customHeight="false" outlineLevel="0" collapsed="false">
      <c r="A400" s="25" t="s">
        <v>9</v>
      </c>
      <c r="B400" s="20" t="n">
        <f aca="false">NPV(0.1,D400:Y400)</f>
        <v>209621.461929414</v>
      </c>
      <c r="C400" s="20" t="n">
        <f aca="false">B400-B390</f>
        <v>-1693.19479407772</v>
      </c>
      <c r="D400" s="21" t="n">
        <v>22458.7294671887</v>
      </c>
      <c r="E400" s="22" t="n">
        <v>23465.5767942252</v>
      </c>
      <c r="F400" s="22" t="n">
        <v>23611.8089504642</v>
      </c>
      <c r="G400" s="22" t="n">
        <v>23908.0238245547</v>
      </c>
      <c r="H400" s="22" t="n">
        <v>24034.678223376</v>
      </c>
      <c r="I400" s="22" t="n">
        <v>24212.713011843</v>
      </c>
      <c r="J400" s="22" t="n">
        <v>24397.3580998482</v>
      </c>
      <c r="K400" s="22" t="n">
        <v>24587.9347062971</v>
      </c>
      <c r="L400" s="22" t="n">
        <v>24784.6469953842</v>
      </c>
      <c r="M400" s="22" t="n">
        <v>24987.6528189474</v>
      </c>
      <c r="N400" s="23" t="n">
        <v>25197.1672016621</v>
      </c>
      <c r="O400" s="24" t="n">
        <v>25413.3591816619</v>
      </c>
      <c r="P400" s="24" t="n">
        <v>25636.4553055064</v>
      </c>
      <c r="Q400" s="24" t="n">
        <v>25866.6364788697</v>
      </c>
      <c r="R400" s="24" t="n">
        <v>26104.1414718786</v>
      </c>
      <c r="S400" s="24" t="n">
        <v>26352.9867941613</v>
      </c>
      <c r="T400" s="24" t="n">
        <v>26613.3983526532</v>
      </c>
      <c r="U400" s="24" t="n">
        <v>26881.7987334045</v>
      </c>
      <c r="V400" s="24" t="n">
        <v>27158.4276010831</v>
      </c>
      <c r="W400" s="24" t="n">
        <v>27443.5318102968</v>
      </c>
      <c r="X400" s="24" t="n">
        <v>9212.92209948501</v>
      </c>
    </row>
    <row r="401" customFormat="false" ht="12.75" hidden="false" customHeight="false" outlineLevel="0" collapsed="false">
      <c r="A401" s="25" t="s">
        <v>10</v>
      </c>
      <c r="B401" s="20" t="n">
        <f aca="false">NPV(0.1,D401:Y401)</f>
        <v>80003.1163466821</v>
      </c>
      <c r="C401" s="20" t="n">
        <f aca="false">B401-B391</f>
        <v>-4892.05843890847</v>
      </c>
      <c r="D401" s="21" t="n">
        <v>2146.62127013188</v>
      </c>
      <c r="E401" s="22" t="n">
        <v>4073.11300707225</v>
      </c>
      <c r="F401" s="22" t="n">
        <v>4350.83536353529</v>
      </c>
      <c r="G401" s="22" t="n">
        <v>7058.42222735868</v>
      </c>
      <c r="H401" s="22" t="n">
        <v>9021.33503377437</v>
      </c>
      <c r="I401" s="22" t="n">
        <v>9484.40024259592</v>
      </c>
      <c r="J401" s="22" t="n">
        <v>9909.5990219792</v>
      </c>
      <c r="K401" s="22" t="n">
        <v>10613.5349330973</v>
      </c>
      <c r="L401" s="22" t="n">
        <v>10965.9845245801</v>
      </c>
      <c r="M401" s="22" t="n">
        <v>11740.807273933</v>
      </c>
      <c r="N401" s="23" t="n">
        <v>12145.2234329414</v>
      </c>
      <c r="O401" s="24" t="n">
        <v>13000.4249485099</v>
      </c>
      <c r="P401" s="24" t="n">
        <v>13465.5747103282</v>
      </c>
      <c r="Q401" s="24" t="n">
        <v>13951.3326380171</v>
      </c>
      <c r="R401" s="24" t="n">
        <v>14459.0917757071</v>
      </c>
      <c r="S401" s="24" t="n">
        <v>14988.0803292946</v>
      </c>
      <c r="T401" s="24" t="n">
        <v>15539.8690213571</v>
      </c>
      <c r="U401" s="24" t="n">
        <v>16118.4555708456</v>
      </c>
      <c r="V401" s="24" t="n">
        <v>16725.746468365</v>
      </c>
      <c r="W401" s="24" t="n">
        <v>17363.8019394922</v>
      </c>
      <c r="X401" s="24" t="n">
        <v>18060.8844595191</v>
      </c>
    </row>
    <row r="402" customFormat="false" ht="12.75" hidden="false" customHeight="false" outlineLevel="0" collapsed="false">
      <c r="A402" s="25" t="s">
        <v>11</v>
      </c>
      <c r="B402" s="20" t="n">
        <f aca="false">NPV(0.1,D402:Y402)</f>
        <v>91297.6450044141</v>
      </c>
      <c r="C402" s="20" t="n">
        <f aca="false">B402-B392</f>
        <v>-4088.80688927895</v>
      </c>
      <c r="D402" s="26" t="n">
        <v>3240.85722433775</v>
      </c>
      <c r="E402" s="27" t="n">
        <v>5293.05581233763</v>
      </c>
      <c r="F402" s="27" t="n">
        <v>5281.02793622668</v>
      </c>
      <c r="G402" s="27" t="n">
        <v>15708.5757256411</v>
      </c>
      <c r="H402" s="27" t="n">
        <v>14320.1702813445</v>
      </c>
      <c r="I402" s="27" t="n">
        <v>13384.0875556383</v>
      </c>
      <c r="J402" s="27" t="n">
        <v>13063.9652913054</v>
      </c>
      <c r="K402" s="27" t="n">
        <v>13149.2193877518</v>
      </c>
      <c r="L402" s="27" t="n">
        <v>13073.2858694491</v>
      </c>
      <c r="M402" s="27" t="n">
        <v>13131.7958654963</v>
      </c>
      <c r="N402" s="28" t="n">
        <v>13018.0066355149</v>
      </c>
      <c r="O402" s="24" t="n">
        <v>13043.9048310714</v>
      </c>
      <c r="P402" s="24" t="n">
        <v>12885.4041632664</v>
      </c>
      <c r="Q402" s="24" t="n">
        <v>12716.276620881</v>
      </c>
      <c r="R402" s="24" t="n">
        <v>12510.2844164109</v>
      </c>
      <c r="S402" s="24" t="n">
        <v>10469.0319035186</v>
      </c>
      <c r="T402" s="24" t="n">
        <v>8398.89359544584</v>
      </c>
      <c r="U402" s="24" t="n">
        <v>8113.05004979761</v>
      </c>
      <c r="V402" s="24" t="n">
        <v>7795.06184065542</v>
      </c>
      <c r="W402" s="24" t="n">
        <v>7442.6796292972</v>
      </c>
      <c r="X402" s="24" t="n">
        <v>20818.3329471454</v>
      </c>
    </row>
    <row r="404" customFormat="false" ht="11.25" hidden="false" customHeight="false" outlineLevel="0" collapsed="false">
      <c r="A404" s="29" t="s">
        <v>51</v>
      </c>
    </row>
    <row r="405" customFormat="false" ht="11.25" hidden="false" customHeight="false" outlineLevel="0" collapsed="false">
      <c r="A405" s="36" t="n">
        <v>36286</v>
      </c>
    </row>
    <row r="406" customFormat="false" ht="12.75" hidden="false" customHeight="false" outlineLevel="0" collapsed="false">
      <c r="A406" s="10" t="s">
        <v>3</v>
      </c>
      <c r="B406" s="11" t="n">
        <v>55529.6276638568</v>
      </c>
      <c r="C406" s="7"/>
      <c r="D406" s="7"/>
      <c r="E406" s="7"/>
      <c r="F406" s="7"/>
      <c r="G406" s="7"/>
      <c r="H406" s="7"/>
      <c r="I406" s="7"/>
      <c r="J406" s="7"/>
      <c r="K406" s="7"/>
      <c r="L406" s="7"/>
      <c r="M406" s="7"/>
      <c r="N406" s="7"/>
      <c r="O406" s="7"/>
      <c r="P406" s="7"/>
      <c r="Q406" s="7"/>
      <c r="R406" s="7"/>
      <c r="S406" s="7"/>
      <c r="T406" s="7"/>
      <c r="U406" s="7"/>
      <c r="V406" s="7"/>
      <c r="W406" s="7"/>
      <c r="X406" s="7"/>
    </row>
    <row r="407" customFormat="false" ht="12.75" hidden="false" customHeight="false" outlineLevel="0" collapsed="false">
      <c r="A407" s="12" t="s">
        <v>4</v>
      </c>
      <c r="B407" s="13" t="n">
        <v>87188.175356739</v>
      </c>
      <c r="C407" s="7"/>
      <c r="D407" s="7"/>
      <c r="E407" s="7"/>
      <c r="F407" s="7"/>
      <c r="G407" s="7"/>
      <c r="H407" s="7"/>
      <c r="I407" s="7"/>
      <c r="J407" s="7"/>
      <c r="K407" s="7"/>
      <c r="L407" s="7"/>
      <c r="M407" s="7"/>
      <c r="N407" s="7"/>
      <c r="O407" s="7"/>
      <c r="P407" s="7"/>
      <c r="Q407" s="7"/>
      <c r="R407" s="7"/>
      <c r="S407" s="7"/>
      <c r="T407" s="7"/>
      <c r="U407" s="7"/>
      <c r="V407" s="7"/>
      <c r="W407" s="7"/>
      <c r="X407" s="7"/>
    </row>
    <row r="408" customFormat="false" ht="12.75" hidden="false" customHeight="false" outlineLevel="0" collapsed="false">
      <c r="A408" s="14" t="s">
        <v>5</v>
      </c>
      <c r="B408" s="15" t="s">
        <v>6</v>
      </c>
      <c r="C408" s="15" t="s">
        <v>7</v>
      </c>
      <c r="D408" s="16" t="n">
        <v>2000</v>
      </c>
      <c r="E408" s="17" t="n">
        <v>2001</v>
      </c>
      <c r="F408" s="17" t="n">
        <v>2002</v>
      </c>
      <c r="G408" s="17" t="n">
        <v>2003</v>
      </c>
      <c r="H408" s="17" t="n">
        <v>2004</v>
      </c>
      <c r="I408" s="17" t="n">
        <v>2005</v>
      </c>
      <c r="J408" s="17" t="n">
        <v>2006</v>
      </c>
      <c r="K408" s="17" t="n">
        <v>2007</v>
      </c>
      <c r="L408" s="17" t="n">
        <v>2008</v>
      </c>
      <c r="M408" s="17" t="n">
        <v>2009</v>
      </c>
      <c r="N408" s="18" t="n">
        <v>2010</v>
      </c>
      <c r="O408" s="19" t="n">
        <v>2011</v>
      </c>
      <c r="P408" s="19" t="n">
        <v>2012</v>
      </c>
      <c r="Q408" s="19" t="n">
        <v>2013</v>
      </c>
      <c r="R408" s="19" t="n">
        <v>2014</v>
      </c>
      <c r="S408" s="19" t="n">
        <v>2015</v>
      </c>
      <c r="T408" s="19" t="n">
        <v>2016</v>
      </c>
      <c r="U408" s="19" t="n">
        <v>2017</v>
      </c>
      <c r="V408" s="19" t="n">
        <v>2018</v>
      </c>
      <c r="W408" s="19" t="n">
        <v>2019</v>
      </c>
      <c r="X408" s="19" t="n">
        <v>2020</v>
      </c>
    </row>
    <row r="409" customFormat="false" ht="12.75" hidden="false" customHeight="false" outlineLevel="0" collapsed="false">
      <c r="A409" s="14" t="s">
        <v>8</v>
      </c>
      <c r="B409" s="20" t="n">
        <f aca="false">NPV(0.1,D409:Y409)</f>
        <v>444783.546041825</v>
      </c>
      <c r="C409" s="20" t="n">
        <f aca="false">B409-B399</f>
        <v>0</v>
      </c>
      <c r="D409" s="21" t="n">
        <v>34929.62239</v>
      </c>
      <c r="E409" s="22" t="n">
        <v>45223.5927817</v>
      </c>
      <c r="F409" s="22" t="n">
        <v>45320.382285151</v>
      </c>
      <c r="G409" s="22" t="n">
        <v>49554.6780704994</v>
      </c>
      <c r="H409" s="22" t="n">
        <v>52833.733579919</v>
      </c>
      <c r="I409" s="22" t="n">
        <v>53300.980678136</v>
      </c>
      <c r="J409" s="22" t="n">
        <v>53764.1732751361</v>
      </c>
      <c r="K409" s="22" t="n">
        <v>54861.7307029902</v>
      </c>
      <c r="L409" s="22" t="n">
        <v>55333.9592354116</v>
      </c>
      <c r="M409" s="22" t="n">
        <v>56478.6102420739</v>
      </c>
      <c r="N409" s="23" t="n">
        <v>56959.2573935154</v>
      </c>
      <c r="O409" s="24" t="n">
        <v>58152.6673449208</v>
      </c>
      <c r="P409" s="24" t="n">
        <v>58641.0070972755</v>
      </c>
      <c r="Q409" s="24" t="n">
        <v>59121.7708672731</v>
      </c>
      <c r="R409" s="24" t="n">
        <v>59594.0645901949</v>
      </c>
      <c r="S409" s="24" t="n">
        <v>60056.9473758235</v>
      </c>
      <c r="T409" s="24" t="n">
        <v>60509.4295035707</v>
      </c>
      <c r="U409" s="24" t="n">
        <v>60950.4703394564</v>
      </c>
      <c r="V409" s="24" t="n">
        <v>61378.9761720541</v>
      </c>
      <c r="W409" s="24" t="n">
        <v>61793.7979644141</v>
      </c>
      <c r="X409" s="24" t="n">
        <v>43669.1936220663</v>
      </c>
    </row>
    <row r="410" customFormat="false" ht="12.75" hidden="false" customHeight="false" outlineLevel="0" collapsed="false">
      <c r="A410" s="25" t="s">
        <v>9</v>
      </c>
      <c r="B410" s="20" t="n">
        <f aca="false">NPV(0.1,D410:Y410)</f>
        <v>209622.330605511</v>
      </c>
      <c r="C410" s="20" t="n">
        <f aca="false">B410-B400</f>
        <v>0.868676096462878</v>
      </c>
      <c r="D410" s="21" t="n">
        <v>22459.0917252558</v>
      </c>
      <c r="E410" s="22" t="n">
        <v>23465.8897175955</v>
      </c>
      <c r="F410" s="22" t="n">
        <v>23612.0725103749</v>
      </c>
      <c r="G410" s="22" t="n">
        <v>23908.2379907764</v>
      </c>
      <c r="H410" s="22" t="n">
        <v>24034.6909291173</v>
      </c>
      <c r="I410" s="22" t="n">
        <v>24212.6919703121</v>
      </c>
      <c r="J410" s="22" t="n">
        <v>24397.3382722743</v>
      </c>
      <c r="K410" s="22" t="n">
        <v>24587.916093855</v>
      </c>
      <c r="L410" s="22" t="n">
        <v>24784.629596899</v>
      </c>
      <c r="M410" s="22" t="n">
        <v>24987.636635594</v>
      </c>
      <c r="N410" s="23" t="n">
        <v>25197.1522322657</v>
      </c>
      <c r="O410" s="24" t="n">
        <v>25413.3454273973</v>
      </c>
      <c r="P410" s="24" t="n">
        <v>25636.4427651987</v>
      </c>
      <c r="Q410" s="24" t="n">
        <v>25866.6251536939</v>
      </c>
      <c r="R410" s="24" t="n">
        <v>26104.1313606597</v>
      </c>
      <c r="S410" s="24" t="n">
        <v>26352.9775503111</v>
      </c>
      <c r="T410" s="24" t="n">
        <v>26613.3896295832</v>
      </c>
      <c r="U410" s="24" t="n">
        <v>26881.7905311149</v>
      </c>
      <c r="V410" s="24" t="n">
        <v>27158.4199195738</v>
      </c>
      <c r="W410" s="24" t="n">
        <v>27443.5246495678</v>
      </c>
      <c r="X410" s="24" t="n">
        <v>9212.91545953626</v>
      </c>
    </row>
    <row r="411" customFormat="false" ht="12.75" hidden="false" customHeight="false" outlineLevel="0" collapsed="false">
      <c r="A411" s="25" t="s">
        <v>10</v>
      </c>
      <c r="B411" s="20" t="n">
        <f aca="false">NPV(0.1,D411:Y411)</f>
        <v>79917.6733871111</v>
      </c>
      <c r="C411" s="20" t="n">
        <f aca="false">B411-B401</f>
        <v>-85.4429595710244</v>
      </c>
      <c r="D411" s="21" t="n">
        <v>2132.65016372695</v>
      </c>
      <c r="E411" s="22" t="n">
        <v>4049.33711903023</v>
      </c>
      <c r="F411" s="22" t="n">
        <v>4327.07971292864</v>
      </c>
      <c r="G411" s="22" t="n">
        <v>7034.68784581519</v>
      </c>
      <c r="H411" s="22" t="n">
        <v>8997.71836872267</v>
      </c>
      <c r="I411" s="22" t="n">
        <v>9474.71897065418</v>
      </c>
      <c r="J411" s="22" t="n">
        <v>9909.85681112608</v>
      </c>
      <c r="K411" s="22" t="n">
        <v>10613.7921929851</v>
      </c>
      <c r="L411" s="22" t="n">
        <v>10966.2412490866</v>
      </c>
      <c r="M411" s="22" t="n">
        <v>11741.0634549931</v>
      </c>
      <c r="N411" s="23" t="n">
        <v>12145.4790632977</v>
      </c>
      <c r="O411" s="24" t="n">
        <v>13000.6800188714</v>
      </c>
      <c r="P411" s="24" t="n">
        <v>13465.8292121138</v>
      </c>
      <c r="Q411" s="24" t="n">
        <v>13951.586560506</v>
      </c>
      <c r="R411" s="24" t="n">
        <v>14459.3451087741</v>
      </c>
      <c r="S411" s="24" t="n">
        <v>14988.3332705409</v>
      </c>
      <c r="T411" s="24" t="n">
        <v>15540.1217740639</v>
      </c>
      <c r="U411" s="24" t="n">
        <v>16118.7081351483</v>
      </c>
      <c r="V411" s="24" t="n">
        <v>16725.9988444096</v>
      </c>
      <c r="W411" s="24" t="n">
        <v>17364.0541274365</v>
      </c>
      <c r="X411" s="24" t="n">
        <v>18061.1364595336</v>
      </c>
    </row>
    <row r="412" customFormat="false" ht="12.75" hidden="false" customHeight="false" outlineLevel="0" collapsed="false">
      <c r="A412" s="25" t="s">
        <v>11</v>
      </c>
      <c r="B412" s="20" t="n">
        <f aca="false">NPV(0.1,D412:Y412)</f>
        <v>91344.7827561758</v>
      </c>
      <c r="C412" s="20" t="n">
        <f aca="false">B412-B402</f>
        <v>47.137751761722</v>
      </c>
      <c r="D412" s="26" t="n">
        <v>3240.76909809642</v>
      </c>
      <c r="E412" s="27" t="n">
        <v>5292.97968771003</v>
      </c>
      <c r="F412" s="27" t="n">
        <v>5280.96382020997</v>
      </c>
      <c r="G412" s="27" t="n">
        <v>15708.4445488303</v>
      </c>
      <c r="H412" s="27" t="n">
        <v>14392.4955867273</v>
      </c>
      <c r="I412" s="27" t="n">
        <v>13390.4719953826</v>
      </c>
      <c r="J412" s="27" t="n">
        <v>13063.6407199538</v>
      </c>
      <c r="K412" s="27" t="n">
        <v>13148.8938708685</v>
      </c>
      <c r="L412" s="27" t="n">
        <v>13072.9605308264</v>
      </c>
      <c r="M412" s="27" t="n">
        <v>13131.4695909438</v>
      </c>
      <c r="N412" s="28" t="n">
        <v>13017.6805495933</v>
      </c>
      <c r="O412" s="24" t="n">
        <v>13043.5778204199</v>
      </c>
      <c r="P412" s="24" t="n">
        <v>12885.0773533415</v>
      </c>
      <c r="Q412" s="24" t="n">
        <v>12715.9488992897</v>
      </c>
      <c r="R412" s="24" t="n">
        <v>12509.9569096547</v>
      </c>
      <c r="S412" s="24" t="n">
        <v>10468.869172743</v>
      </c>
      <c r="T412" s="24" t="n">
        <v>8398.89571535604</v>
      </c>
      <c r="U412" s="24" t="n">
        <v>8113.05197824133</v>
      </c>
      <c r="V412" s="24" t="n">
        <v>7795.06357753376</v>
      </c>
      <c r="W412" s="24" t="n">
        <v>7442.68117450337</v>
      </c>
      <c r="X412" s="24" t="n">
        <v>20818.3369565436</v>
      </c>
    </row>
    <row r="414" customFormat="false" ht="11.25" hidden="false" customHeight="false" outlineLevel="0" collapsed="false">
      <c r="A414" s="29" t="s">
        <v>52</v>
      </c>
    </row>
    <row r="415" customFormat="false" ht="11.25" hidden="false" customHeight="false" outlineLevel="0" collapsed="false">
      <c r="A415" s="36" t="n">
        <v>36293</v>
      </c>
    </row>
    <row r="416" customFormat="false" ht="12.75" hidden="false" customHeight="false" outlineLevel="0" collapsed="false">
      <c r="A416" s="10" t="s">
        <v>3</v>
      </c>
      <c r="B416" s="11" t="n">
        <v>54193.8384172166</v>
      </c>
      <c r="C416" s="7"/>
      <c r="D416" s="7"/>
      <c r="E416" s="7"/>
      <c r="F416" s="7"/>
      <c r="G416" s="7"/>
      <c r="H416" s="7"/>
      <c r="I416" s="7"/>
      <c r="J416" s="7"/>
      <c r="K416" s="7"/>
      <c r="L416" s="7"/>
      <c r="M416" s="7"/>
      <c r="N416" s="7"/>
      <c r="O416" s="7"/>
      <c r="P416" s="7"/>
      <c r="Q416" s="7"/>
      <c r="R416" s="7"/>
      <c r="S416" s="7"/>
      <c r="T416" s="7"/>
      <c r="U416" s="7"/>
      <c r="V416" s="7"/>
      <c r="W416" s="7"/>
      <c r="X416" s="7"/>
    </row>
    <row r="417" customFormat="false" ht="12.75" hidden="false" customHeight="false" outlineLevel="0" collapsed="false">
      <c r="A417" s="12" t="s">
        <v>4</v>
      </c>
      <c r="B417" s="13" t="n">
        <v>84948.3275317293</v>
      </c>
      <c r="C417" s="7"/>
      <c r="D417" s="7"/>
      <c r="E417" s="7"/>
      <c r="F417" s="7"/>
      <c r="G417" s="7"/>
      <c r="H417" s="7"/>
      <c r="I417" s="7"/>
      <c r="J417" s="7"/>
      <c r="K417" s="7"/>
      <c r="L417" s="7"/>
      <c r="M417" s="7"/>
      <c r="N417" s="7"/>
      <c r="O417" s="7"/>
      <c r="P417" s="7"/>
      <c r="Q417" s="7"/>
      <c r="R417" s="7"/>
      <c r="S417" s="7"/>
      <c r="T417" s="7"/>
      <c r="U417" s="7"/>
      <c r="V417" s="7"/>
      <c r="W417" s="7"/>
      <c r="X417" s="7"/>
    </row>
    <row r="418" customFormat="false" ht="12.75" hidden="false" customHeight="false" outlineLevel="0" collapsed="false">
      <c r="A418" s="14" t="s">
        <v>5</v>
      </c>
      <c r="B418" s="15" t="s">
        <v>6</v>
      </c>
      <c r="C418" s="15" t="s">
        <v>7</v>
      </c>
      <c r="D418" s="16" t="n">
        <v>2000</v>
      </c>
      <c r="E418" s="17" t="n">
        <v>2001</v>
      </c>
      <c r="F418" s="17" t="n">
        <v>2002</v>
      </c>
      <c r="G418" s="17" t="n">
        <v>2003</v>
      </c>
      <c r="H418" s="17" t="n">
        <v>2004</v>
      </c>
      <c r="I418" s="17" t="n">
        <v>2005</v>
      </c>
      <c r="J418" s="17" t="n">
        <v>2006</v>
      </c>
      <c r="K418" s="17" t="n">
        <v>2007</v>
      </c>
      <c r="L418" s="17" t="n">
        <v>2008</v>
      </c>
      <c r="M418" s="17" t="n">
        <v>2009</v>
      </c>
      <c r="N418" s="18" t="n">
        <v>2010</v>
      </c>
      <c r="O418" s="19" t="n">
        <v>2011</v>
      </c>
      <c r="P418" s="19" t="n">
        <v>2012</v>
      </c>
      <c r="Q418" s="19" t="n">
        <v>2013</v>
      </c>
      <c r="R418" s="19" t="n">
        <v>2014</v>
      </c>
      <c r="S418" s="19" t="n">
        <v>2015</v>
      </c>
      <c r="T418" s="19" t="n">
        <v>2016</v>
      </c>
      <c r="U418" s="19" t="n">
        <v>2017</v>
      </c>
      <c r="V418" s="19" t="n">
        <v>2018</v>
      </c>
      <c r="W418" s="19" t="n">
        <v>2019</v>
      </c>
      <c r="X418" s="19" t="n">
        <v>2020</v>
      </c>
    </row>
    <row r="419" customFormat="false" ht="12.75" hidden="false" customHeight="false" outlineLevel="0" collapsed="false">
      <c r="A419" s="14" t="s">
        <v>8</v>
      </c>
      <c r="B419" s="20" t="n">
        <f aca="false">NPV(0.1,D419:Y419)</f>
        <v>442396.058366079</v>
      </c>
      <c r="C419" s="20" t="n">
        <f aca="false">B419-B409</f>
        <v>-2387.48767574609</v>
      </c>
      <c r="D419" s="21" t="n">
        <v>34929.62239</v>
      </c>
      <c r="E419" s="22" t="n">
        <v>45223.5927817</v>
      </c>
      <c r="F419" s="22" t="n">
        <v>45320.382285151</v>
      </c>
      <c r="G419" s="22" t="n">
        <v>49554.6780704994</v>
      </c>
      <c r="H419" s="22" t="n">
        <v>52833.733579919</v>
      </c>
      <c r="I419" s="22" t="n">
        <v>53300.980678136</v>
      </c>
      <c r="J419" s="22" t="n">
        <v>53764.1732751361</v>
      </c>
      <c r="K419" s="22" t="n">
        <v>54861.7307029902</v>
      </c>
      <c r="L419" s="22" t="n">
        <v>55333.9592354116</v>
      </c>
      <c r="M419" s="22" t="n">
        <v>56478.6102420739</v>
      </c>
      <c r="N419" s="23" t="n">
        <v>56959.2573935154</v>
      </c>
      <c r="O419" s="24" t="n">
        <v>58152.6673449208</v>
      </c>
      <c r="P419" s="24" t="n">
        <v>58641.0070972755</v>
      </c>
      <c r="Q419" s="24" t="n">
        <v>59121.7708672731</v>
      </c>
      <c r="R419" s="24" t="n">
        <v>59594.0645901949</v>
      </c>
      <c r="S419" s="24" t="n">
        <v>60056.9473758235</v>
      </c>
      <c r="T419" s="24" t="n">
        <v>60509.4295035707</v>
      </c>
      <c r="U419" s="24" t="n">
        <v>60950.4703394564</v>
      </c>
      <c r="V419" s="24" t="n">
        <v>61378.9761720541</v>
      </c>
      <c r="W419" s="24" t="n">
        <v>61793.7979644141</v>
      </c>
      <c r="X419" s="24" t="n">
        <v>26001.1880827093</v>
      </c>
    </row>
    <row r="420" customFormat="false" ht="12.75" hidden="false" customHeight="false" outlineLevel="0" collapsed="false">
      <c r="A420" s="25" t="s">
        <v>9</v>
      </c>
      <c r="B420" s="20" t="n">
        <f aca="false">NPV(0.1,D420:Y420)</f>
        <v>210320.399522682</v>
      </c>
      <c r="C420" s="20" t="n">
        <f aca="false">B420-B410</f>
        <v>698.068917171389</v>
      </c>
      <c r="D420" s="21" t="n">
        <v>22459.0917252558</v>
      </c>
      <c r="E420" s="22" t="n">
        <v>23465.8897175955</v>
      </c>
      <c r="F420" s="22" t="n">
        <v>23612.0725103749</v>
      </c>
      <c r="G420" s="22" t="n">
        <v>23908.2379907764</v>
      </c>
      <c r="H420" s="22" t="n">
        <v>24034.6909291173</v>
      </c>
      <c r="I420" s="22" t="n">
        <v>24212.6919703121</v>
      </c>
      <c r="J420" s="22" t="n">
        <v>24397.3382722743</v>
      </c>
      <c r="K420" s="22" t="n">
        <v>24587.916093855</v>
      </c>
      <c r="L420" s="22" t="n">
        <v>24784.629596899</v>
      </c>
      <c r="M420" s="22" t="n">
        <v>24987.636635594</v>
      </c>
      <c r="N420" s="23" t="n">
        <v>25197.1522322657</v>
      </c>
      <c r="O420" s="24" t="n">
        <v>25413.3454273973</v>
      </c>
      <c r="P420" s="24" t="n">
        <v>25636.4427651987</v>
      </c>
      <c r="Q420" s="24" t="n">
        <v>25866.6251536939</v>
      </c>
      <c r="R420" s="24" t="n">
        <v>26104.1313606597</v>
      </c>
      <c r="S420" s="24" t="n">
        <v>26352.9775503111</v>
      </c>
      <c r="T420" s="24" t="n">
        <v>26613.3896295832</v>
      </c>
      <c r="U420" s="24" t="n">
        <v>26881.7905311149</v>
      </c>
      <c r="V420" s="24" t="n">
        <v>27158.4199195738</v>
      </c>
      <c r="W420" s="24" t="n">
        <v>27443.5246495678</v>
      </c>
      <c r="X420" s="24" t="n">
        <v>14378.7999249222</v>
      </c>
    </row>
    <row r="421" customFormat="false" ht="12.75" hidden="false" customHeight="false" outlineLevel="0" collapsed="false">
      <c r="A421" s="25" t="s">
        <v>10</v>
      </c>
      <c r="B421" s="20" t="n">
        <f aca="false">NPV(0.1,D421:Y421)</f>
        <v>78054.5227138462</v>
      </c>
      <c r="C421" s="20" t="n">
        <f aca="false">B421-B411</f>
        <v>-1863.15067326491</v>
      </c>
      <c r="D421" s="21" t="n">
        <v>2132.65016372695</v>
      </c>
      <c r="E421" s="22" t="n">
        <v>4049.33711903023</v>
      </c>
      <c r="F421" s="22" t="n">
        <v>4327.07971292864</v>
      </c>
      <c r="G421" s="22" t="n">
        <v>7034.68784581519</v>
      </c>
      <c r="H421" s="22" t="n">
        <v>8997.71836872267</v>
      </c>
      <c r="I421" s="22" t="n">
        <v>9474.71897065418</v>
      </c>
      <c r="J421" s="22" t="n">
        <v>9909.85681112608</v>
      </c>
      <c r="K421" s="22" t="n">
        <v>10613.7921929851</v>
      </c>
      <c r="L421" s="22" t="n">
        <v>10966.2412490866</v>
      </c>
      <c r="M421" s="22" t="n">
        <v>11741.0634549931</v>
      </c>
      <c r="N421" s="23" t="n">
        <v>12145.4790632977</v>
      </c>
      <c r="O421" s="24" t="n">
        <v>13000.6800188714</v>
      </c>
      <c r="P421" s="24" t="n">
        <v>13465.8292121138</v>
      </c>
      <c r="Q421" s="24" t="n">
        <v>13951.586560506</v>
      </c>
      <c r="R421" s="24" t="n">
        <v>14459.3451087741</v>
      </c>
      <c r="S421" s="24" t="n">
        <v>14988.3332705409</v>
      </c>
      <c r="T421" s="24" t="n">
        <v>15540.1217740639</v>
      </c>
      <c r="U421" s="24" t="n">
        <v>16118.7081351483</v>
      </c>
      <c r="V421" s="24" t="n">
        <v>16725.9988444096</v>
      </c>
      <c r="W421" s="24" t="n">
        <v>17364.0541274365</v>
      </c>
      <c r="X421" s="24" t="n">
        <v>4273.3557935603</v>
      </c>
    </row>
    <row r="422" customFormat="false" ht="12.75" hidden="false" customHeight="false" outlineLevel="0" collapsed="false">
      <c r="A422" s="25" t="s">
        <v>11</v>
      </c>
      <c r="B422" s="20" t="n">
        <f aca="false">NPV(0.1,D422:Y422)</f>
        <v>89481.6320829109</v>
      </c>
      <c r="C422" s="20" t="n">
        <f aca="false">B422-B412</f>
        <v>-1863.15067326491</v>
      </c>
      <c r="D422" s="26" t="n">
        <v>3240.76909809642</v>
      </c>
      <c r="E422" s="27" t="n">
        <v>5292.97968771003</v>
      </c>
      <c r="F422" s="27" t="n">
        <v>5280.96382020997</v>
      </c>
      <c r="G422" s="27" t="n">
        <v>15708.4445488303</v>
      </c>
      <c r="H422" s="27" t="n">
        <v>14392.4955867273</v>
      </c>
      <c r="I422" s="27" t="n">
        <v>13390.4719953826</v>
      </c>
      <c r="J422" s="27" t="n">
        <v>13063.6407199538</v>
      </c>
      <c r="K422" s="27" t="n">
        <v>13148.8938708685</v>
      </c>
      <c r="L422" s="27" t="n">
        <v>13072.9605308264</v>
      </c>
      <c r="M422" s="27" t="n">
        <v>13131.4695909438</v>
      </c>
      <c r="N422" s="28" t="n">
        <v>13017.6805495933</v>
      </c>
      <c r="O422" s="24" t="n">
        <v>13043.5778204199</v>
      </c>
      <c r="P422" s="24" t="n">
        <v>12885.0773533415</v>
      </c>
      <c r="Q422" s="24" t="n">
        <v>12715.9488992897</v>
      </c>
      <c r="R422" s="24" t="n">
        <v>12509.9569096547</v>
      </c>
      <c r="S422" s="24" t="n">
        <v>10468.869172743</v>
      </c>
      <c r="T422" s="24" t="n">
        <v>8398.89571535604</v>
      </c>
      <c r="U422" s="24" t="n">
        <v>8113.05197824133</v>
      </c>
      <c r="V422" s="24" t="n">
        <v>7795.06357753376</v>
      </c>
      <c r="W422" s="24" t="n">
        <v>7442.68117450337</v>
      </c>
      <c r="X422" s="24" t="n">
        <v>7030.5562905703</v>
      </c>
    </row>
    <row r="424" customFormat="false" ht="11.25" hidden="false" customHeight="false" outlineLevel="0" collapsed="false">
      <c r="A424" s="29" t="s">
        <v>53</v>
      </c>
    </row>
    <row r="425" customFormat="false" ht="11.25" hidden="false" customHeight="false" outlineLevel="0" collapsed="false">
      <c r="A425" s="36" t="n">
        <v>36298</v>
      </c>
    </row>
    <row r="426" customFormat="false" ht="12.75" hidden="false" customHeight="false" outlineLevel="0" collapsed="false">
      <c r="A426" s="10" t="s">
        <v>3</v>
      </c>
      <c r="B426" s="11" t="n">
        <v>54153.5583266364</v>
      </c>
      <c r="C426" s="7"/>
      <c r="D426" s="7"/>
      <c r="E426" s="7"/>
      <c r="F426" s="7"/>
      <c r="G426" s="7"/>
      <c r="H426" s="7"/>
      <c r="I426" s="7"/>
      <c r="J426" s="7"/>
      <c r="K426" s="7"/>
      <c r="L426" s="7"/>
      <c r="M426" s="7"/>
      <c r="N426" s="7"/>
      <c r="O426" s="7"/>
      <c r="P426" s="7"/>
      <c r="Q426" s="7"/>
      <c r="R426" s="7"/>
      <c r="S426" s="7"/>
      <c r="T426" s="7"/>
      <c r="U426" s="7"/>
      <c r="V426" s="7"/>
      <c r="W426" s="7"/>
      <c r="X426" s="7"/>
    </row>
    <row r="427" customFormat="false" ht="12.75" hidden="false" customHeight="false" outlineLevel="0" collapsed="false">
      <c r="A427" s="12" t="s">
        <v>4</v>
      </c>
      <c r="B427" s="13" t="n">
        <v>84937.9642533475</v>
      </c>
      <c r="C427" s="7"/>
      <c r="D427" s="7"/>
      <c r="E427" s="7"/>
      <c r="F427" s="7"/>
      <c r="G427" s="7"/>
      <c r="H427" s="7"/>
      <c r="I427" s="7"/>
      <c r="J427" s="7"/>
      <c r="K427" s="7"/>
      <c r="L427" s="7"/>
      <c r="M427" s="7"/>
      <c r="N427" s="7"/>
      <c r="O427" s="7"/>
      <c r="P427" s="7"/>
      <c r="Q427" s="7"/>
      <c r="R427" s="7"/>
      <c r="S427" s="7"/>
      <c r="T427" s="7"/>
      <c r="U427" s="7"/>
      <c r="V427" s="7"/>
      <c r="W427" s="7"/>
      <c r="X427" s="7"/>
    </row>
    <row r="428" customFormat="false" ht="12.75" hidden="false" customHeight="false" outlineLevel="0" collapsed="false">
      <c r="A428" s="14" t="s">
        <v>5</v>
      </c>
      <c r="B428" s="15" t="s">
        <v>6</v>
      </c>
      <c r="C428" s="15" t="s">
        <v>7</v>
      </c>
      <c r="D428" s="16" t="n">
        <v>2000</v>
      </c>
      <c r="E428" s="17" t="n">
        <v>2001</v>
      </c>
      <c r="F428" s="17" t="n">
        <v>2002</v>
      </c>
      <c r="G428" s="17" t="n">
        <v>2003</v>
      </c>
      <c r="H428" s="17" t="n">
        <v>2004</v>
      </c>
      <c r="I428" s="17" t="n">
        <v>2005</v>
      </c>
      <c r="J428" s="17" t="n">
        <v>2006</v>
      </c>
      <c r="K428" s="17" t="n">
        <v>2007</v>
      </c>
      <c r="L428" s="17" t="n">
        <v>2008</v>
      </c>
      <c r="M428" s="17" t="n">
        <v>2009</v>
      </c>
      <c r="N428" s="18" t="n">
        <v>2010</v>
      </c>
      <c r="O428" s="19" t="n">
        <v>2011</v>
      </c>
      <c r="P428" s="19" t="n">
        <v>2012</v>
      </c>
      <c r="Q428" s="19" t="n">
        <v>2013</v>
      </c>
      <c r="R428" s="19" t="n">
        <v>2014</v>
      </c>
      <c r="S428" s="19" t="n">
        <v>2015</v>
      </c>
      <c r="T428" s="19" t="n">
        <v>2016</v>
      </c>
      <c r="U428" s="19" t="n">
        <v>2017</v>
      </c>
      <c r="V428" s="19" t="n">
        <v>2018</v>
      </c>
      <c r="W428" s="19" t="n">
        <v>2019</v>
      </c>
      <c r="X428" s="19" t="n">
        <v>2020</v>
      </c>
    </row>
    <row r="429" customFormat="false" ht="12.75" hidden="false" customHeight="false" outlineLevel="0" collapsed="false">
      <c r="A429" s="14" t="s">
        <v>8</v>
      </c>
      <c r="B429" s="20" t="n">
        <f aca="false">NPV(0.1,D429:Y429)</f>
        <v>442396.058366079</v>
      </c>
      <c r="C429" s="20" t="n">
        <f aca="false">B429-B419</f>
        <v>0</v>
      </c>
      <c r="D429" s="21" t="n">
        <v>34929.62239</v>
      </c>
      <c r="E429" s="22" t="n">
        <v>45223.5927817</v>
      </c>
      <c r="F429" s="22" t="n">
        <v>45320.382285151</v>
      </c>
      <c r="G429" s="22" t="n">
        <v>49554.6780704994</v>
      </c>
      <c r="H429" s="22" t="n">
        <v>52833.733579919</v>
      </c>
      <c r="I429" s="22" t="n">
        <v>53300.980678136</v>
      </c>
      <c r="J429" s="22" t="n">
        <v>53764.1732751361</v>
      </c>
      <c r="K429" s="22" t="n">
        <v>54861.7307029902</v>
      </c>
      <c r="L429" s="22" t="n">
        <v>55333.9592354116</v>
      </c>
      <c r="M429" s="22" t="n">
        <v>56478.6102420739</v>
      </c>
      <c r="N429" s="23" t="n">
        <v>56959.2573935154</v>
      </c>
      <c r="O429" s="24" t="n">
        <v>58152.6673449208</v>
      </c>
      <c r="P429" s="24" t="n">
        <v>58641.0070972755</v>
      </c>
      <c r="Q429" s="24" t="n">
        <v>59121.7708672731</v>
      </c>
      <c r="R429" s="24" t="n">
        <v>59594.0645901949</v>
      </c>
      <c r="S429" s="24" t="n">
        <v>60056.9473758235</v>
      </c>
      <c r="T429" s="24" t="n">
        <v>60509.4295035707</v>
      </c>
      <c r="U429" s="24" t="n">
        <v>60950.4703394564</v>
      </c>
      <c r="V429" s="24" t="n">
        <v>61378.9761720541</v>
      </c>
      <c r="W429" s="24" t="n">
        <v>61793.7979644141</v>
      </c>
      <c r="X429" s="24" t="n">
        <v>26001.1880827093</v>
      </c>
    </row>
    <row r="430" customFormat="false" ht="12.75" hidden="false" customHeight="false" outlineLevel="0" collapsed="false">
      <c r="A430" s="25" t="s">
        <v>9</v>
      </c>
      <c r="B430" s="20" t="n">
        <f aca="false">NPV(0.1,D430:Y430)</f>
        <v>210326.8860434</v>
      </c>
      <c r="C430" s="20" t="n">
        <f aca="false">B430-B420</f>
        <v>6.48652071802644</v>
      </c>
      <c r="D430" s="21" t="n">
        <v>22459.8417252558</v>
      </c>
      <c r="E430" s="22" t="n">
        <v>23466.6397175955</v>
      </c>
      <c r="F430" s="22" t="n">
        <v>23612.8225103749</v>
      </c>
      <c r="G430" s="22" t="n">
        <v>23908.9879907764</v>
      </c>
      <c r="H430" s="22" t="n">
        <v>24035.4409291173</v>
      </c>
      <c r="I430" s="22" t="n">
        <v>24213.4419703121</v>
      </c>
      <c r="J430" s="22" t="n">
        <v>24398.0882722743</v>
      </c>
      <c r="K430" s="22" t="n">
        <v>24588.666093855</v>
      </c>
      <c r="L430" s="22" t="n">
        <v>24785.379596899</v>
      </c>
      <c r="M430" s="22" t="n">
        <v>24988.386635594</v>
      </c>
      <c r="N430" s="23" t="n">
        <v>25197.9022322657</v>
      </c>
      <c r="O430" s="24" t="n">
        <v>25414.0954273973</v>
      </c>
      <c r="P430" s="24" t="n">
        <v>25637.1927651987</v>
      </c>
      <c r="Q430" s="24" t="n">
        <v>25867.3751536939</v>
      </c>
      <c r="R430" s="24" t="n">
        <v>26104.8813606597</v>
      </c>
      <c r="S430" s="24" t="n">
        <v>26353.7275503111</v>
      </c>
      <c r="T430" s="24" t="n">
        <v>26614.1396295832</v>
      </c>
      <c r="U430" s="24" t="n">
        <v>26882.5405311149</v>
      </c>
      <c r="V430" s="24" t="n">
        <v>27159.1699195738</v>
      </c>
      <c r="W430" s="24" t="n">
        <v>27444.2746495678</v>
      </c>
      <c r="X430" s="24" t="n">
        <v>14379.5499249222</v>
      </c>
    </row>
    <row r="431" customFormat="false" ht="12.75" hidden="false" customHeight="false" outlineLevel="0" collapsed="false">
      <c r="A431" s="25" t="s">
        <v>10</v>
      </c>
      <c r="B431" s="20" t="n">
        <f aca="false">NPV(0.1,D431:Y431)</f>
        <v>78194.4261368968</v>
      </c>
      <c r="C431" s="20" t="n">
        <f aca="false">B431-B421</f>
        <v>139.903423050579</v>
      </c>
      <c r="D431" s="21" t="n">
        <v>2161.82679953586</v>
      </c>
      <c r="E431" s="22" t="n">
        <v>4099.65910533594</v>
      </c>
      <c r="F431" s="22" t="n">
        <v>4377.38744728845</v>
      </c>
      <c r="G431" s="22" t="n">
        <v>7084.98022370328</v>
      </c>
      <c r="H431" s="22" t="n">
        <v>9048.00687825127</v>
      </c>
      <c r="I431" s="22" t="n">
        <v>9490.21476068785</v>
      </c>
      <c r="J431" s="22" t="n">
        <v>9900.49913077189</v>
      </c>
      <c r="K431" s="22" t="n">
        <v>10604.4296396121</v>
      </c>
      <c r="L431" s="22" t="n">
        <v>10956.8734328532</v>
      </c>
      <c r="M431" s="22" t="n">
        <v>11731.6899548704</v>
      </c>
      <c r="N431" s="23" t="n">
        <v>12136.0994245746</v>
      </c>
      <c r="O431" s="24" t="n">
        <v>12991.29375046</v>
      </c>
      <c r="P431" s="24" t="n">
        <v>13456.4357836389</v>
      </c>
      <c r="Q431" s="24" t="n">
        <v>13942.1853991626</v>
      </c>
      <c r="R431" s="24" t="n">
        <v>14449.9355959326</v>
      </c>
      <c r="S431" s="24" t="n">
        <v>14978.9147380815</v>
      </c>
      <c r="T431" s="24" t="n">
        <v>15530.6935004173</v>
      </c>
      <c r="U431" s="24" t="n">
        <v>16109.2693410193</v>
      </c>
      <c r="V431" s="24" t="n">
        <v>16716.5486881598</v>
      </c>
      <c r="W431" s="24" t="n">
        <v>17354.5917000961</v>
      </c>
      <c r="X431" s="24" t="n">
        <v>4263.88011344217</v>
      </c>
    </row>
    <row r="432" customFormat="false" ht="12.75" hidden="false" customHeight="false" outlineLevel="0" collapsed="false">
      <c r="A432" s="25" t="s">
        <v>11</v>
      </c>
      <c r="B432" s="20" t="n">
        <f aca="false">NPV(0.1,D432:Y432)</f>
        <v>89451.6615924539</v>
      </c>
      <c r="C432" s="20" t="n">
        <f aca="false">B432-B422</f>
        <v>-29.9704904570099</v>
      </c>
      <c r="D432" s="26" t="n">
        <v>3241.33664617334</v>
      </c>
      <c r="E432" s="27" t="n">
        <v>5292.79723578695</v>
      </c>
      <c r="F432" s="27" t="n">
        <v>5280.78136828689</v>
      </c>
      <c r="G432" s="27" t="n">
        <v>15707.9851738303</v>
      </c>
      <c r="H432" s="27" t="n">
        <v>14284.8211527253</v>
      </c>
      <c r="I432" s="27" t="n">
        <v>13386.0998970066</v>
      </c>
      <c r="J432" s="27" t="n">
        <v>13075.4176563213</v>
      </c>
      <c r="K432" s="27" t="n">
        <v>13160.6944606559</v>
      </c>
      <c r="L432" s="27" t="n">
        <v>13084.7443271298</v>
      </c>
      <c r="M432" s="27" t="n">
        <v>13143.277589462</v>
      </c>
      <c r="N432" s="28" t="n">
        <v>13029.4723473259</v>
      </c>
      <c r="O432" s="24" t="n">
        <v>13055.3944604816</v>
      </c>
      <c r="P432" s="24" t="n">
        <v>12896.8784839412</v>
      </c>
      <c r="Q432" s="24" t="n">
        <v>12727.7756188479</v>
      </c>
      <c r="R432" s="24" t="n">
        <v>12521.7689261105</v>
      </c>
      <c r="S432" s="24" t="n">
        <v>10474.6824583736</v>
      </c>
      <c r="T432" s="24" t="n">
        <v>8398.71075851772</v>
      </c>
      <c r="U432" s="24" t="n">
        <v>8112.87414163718</v>
      </c>
      <c r="V432" s="24" t="n">
        <v>7794.89343078254</v>
      </c>
      <c r="W432" s="24" t="n">
        <v>7442.51933279331</v>
      </c>
      <c r="X432" s="24" t="n">
        <v>7030.10341830468</v>
      </c>
    </row>
    <row r="434" customFormat="false" ht="11.25" hidden="false" customHeight="false" outlineLevel="0" collapsed="false">
      <c r="A434" s="29" t="s">
        <v>54</v>
      </c>
    </row>
    <row r="435" customFormat="false" ht="11.25" hidden="false" customHeight="false" outlineLevel="0" collapsed="false">
      <c r="A435" s="36" t="n">
        <v>36299</v>
      </c>
    </row>
    <row r="436" customFormat="false" ht="12.75" hidden="false" customHeight="false" outlineLevel="0" collapsed="false">
      <c r="A436" s="10" t="s">
        <v>3</v>
      </c>
      <c r="B436" s="11" t="n">
        <v>54150.6964460171</v>
      </c>
      <c r="C436" s="7"/>
      <c r="D436" s="7"/>
      <c r="E436" s="7"/>
      <c r="F436" s="7"/>
      <c r="G436" s="7"/>
      <c r="H436" s="7"/>
      <c r="I436" s="7"/>
      <c r="J436" s="7"/>
      <c r="K436" s="7"/>
      <c r="L436" s="7"/>
      <c r="M436" s="7"/>
      <c r="N436" s="7"/>
      <c r="O436" s="7"/>
      <c r="P436" s="7"/>
      <c r="Q436" s="7"/>
      <c r="R436" s="7"/>
      <c r="S436" s="7"/>
      <c r="T436" s="7"/>
      <c r="U436" s="7"/>
      <c r="V436" s="7"/>
      <c r="W436" s="7"/>
      <c r="X436" s="7"/>
    </row>
    <row r="437" customFormat="false" ht="12.75" hidden="false" customHeight="false" outlineLevel="0" collapsed="false">
      <c r="A437" s="12" t="s">
        <v>4</v>
      </c>
      <c r="B437" s="13" t="n">
        <v>84934.0966601418</v>
      </c>
      <c r="C437" s="7"/>
      <c r="D437" s="7"/>
      <c r="E437" s="7"/>
      <c r="F437" s="7"/>
      <c r="G437" s="7"/>
      <c r="H437" s="7"/>
      <c r="I437" s="7"/>
      <c r="J437" s="7"/>
      <c r="K437" s="7"/>
      <c r="L437" s="7"/>
      <c r="M437" s="7"/>
      <c r="N437" s="7"/>
      <c r="O437" s="7"/>
      <c r="P437" s="7"/>
      <c r="Q437" s="7"/>
      <c r="R437" s="7"/>
      <c r="S437" s="7"/>
      <c r="T437" s="7"/>
      <c r="U437" s="7"/>
      <c r="V437" s="7"/>
      <c r="W437" s="7"/>
      <c r="X437" s="7"/>
    </row>
    <row r="438" customFormat="false" ht="12.75" hidden="false" customHeight="false" outlineLevel="0" collapsed="false">
      <c r="A438" s="14" t="s">
        <v>5</v>
      </c>
      <c r="B438" s="15" t="s">
        <v>6</v>
      </c>
      <c r="C438" s="15" t="s">
        <v>7</v>
      </c>
      <c r="D438" s="16" t="n">
        <v>2000</v>
      </c>
      <c r="E438" s="17" t="n">
        <v>2001</v>
      </c>
      <c r="F438" s="17" t="n">
        <v>2002</v>
      </c>
      <c r="G438" s="17" t="n">
        <v>2003</v>
      </c>
      <c r="H438" s="17" t="n">
        <v>2004</v>
      </c>
      <c r="I438" s="17" t="n">
        <v>2005</v>
      </c>
      <c r="J438" s="17" t="n">
        <v>2006</v>
      </c>
      <c r="K438" s="17" t="n">
        <v>2007</v>
      </c>
      <c r="L438" s="17" t="n">
        <v>2008</v>
      </c>
      <c r="M438" s="17" t="n">
        <v>2009</v>
      </c>
      <c r="N438" s="18" t="n">
        <v>2010</v>
      </c>
      <c r="O438" s="19" t="n">
        <v>2011</v>
      </c>
      <c r="P438" s="19" t="n">
        <v>2012</v>
      </c>
      <c r="Q438" s="19" t="n">
        <v>2013</v>
      </c>
      <c r="R438" s="19" t="n">
        <v>2014</v>
      </c>
      <c r="S438" s="19" t="n">
        <v>2015</v>
      </c>
      <c r="T438" s="19" t="n">
        <v>2016</v>
      </c>
      <c r="U438" s="19" t="n">
        <v>2017</v>
      </c>
      <c r="V438" s="19" t="n">
        <v>2018</v>
      </c>
      <c r="W438" s="19" t="n">
        <v>2019</v>
      </c>
      <c r="X438" s="19" t="n">
        <v>2020</v>
      </c>
    </row>
    <row r="439" customFormat="false" ht="12.75" hidden="false" customHeight="false" outlineLevel="0" collapsed="false">
      <c r="A439" s="14" t="s">
        <v>8</v>
      </c>
      <c r="B439" s="20" t="n">
        <f aca="false">NPV(0.1,D439:Y439)</f>
        <v>435521.52618852</v>
      </c>
      <c r="C439" s="20" t="n">
        <f aca="false">B439-B429</f>
        <v>-6874.5321775591</v>
      </c>
      <c r="D439" s="21" t="n">
        <v>34109.114599491</v>
      </c>
      <c r="E439" s="22" t="n">
        <v>44408.7316497246</v>
      </c>
      <c r="F439" s="22" t="n">
        <v>44505.8148479721</v>
      </c>
      <c r="G439" s="22" t="n">
        <v>48746.6568694664</v>
      </c>
      <c r="H439" s="22" t="n">
        <v>52037.3083317422</v>
      </c>
      <c r="I439" s="22" t="n">
        <v>52504.4693596697</v>
      </c>
      <c r="J439" s="22" t="n">
        <v>52967.7098027116</v>
      </c>
      <c r="K439" s="22" t="n">
        <v>54065.6345965888</v>
      </c>
      <c r="L439" s="22" t="n">
        <v>54538.241516014</v>
      </c>
      <c r="M439" s="22" t="n">
        <v>55683.2822612903</v>
      </c>
      <c r="N439" s="23" t="n">
        <v>56164.330843504</v>
      </c>
      <c r="O439" s="24" t="n">
        <v>57358.1542686049</v>
      </c>
      <c r="P439" s="24" t="n">
        <v>57846.919898866</v>
      </c>
      <c r="Q439" s="24" t="n">
        <v>58328.122323107</v>
      </c>
      <c r="R439" s="24" t="n">
        <v>58800.8678598997</v>
      </c>
      <c r="S439" s="24" t="n">
        <v>59264.2160138153</v>
      </c>
      <c r="T439" s="24" t="n">
        <v>59717.177470898</v>
      </c>
      <c r="U439" s="24" t="n">
        <v>60158.7120159994</v>
      </c>
      <c r="V439" s="24" t="n">
        <v>60587.7263690892</v>
      </c>
      <c r="W439" s="24" t="n">
        <v>61003.071937556</v>
      </c>
      <c r="X439" s="24" t="n">
        <v>25677.637643427</v>
      </c>
    </row>
    <row r="440" customFormat="false" ht="12.75" hidden="false" customHeight="false" outlineLevel="0" collapsed="false">
      <c r="A440" s="25" t="s">
        <v>9</v>
      </c>
      <c r="B440" s="20" t="n">
        <f aca="false">NPV(0.1,D440:Y440)</f>
        <v>203456.083449112</v>
      </c>
      <c r="C440" s="20" t="n">
        <f aca="false">B440-B430</f>
        <v>-6870.80259428782</v>
      </c>
      <c r="D440" s="21" t="n">
        <v>21639.4039007062</v>
      </c>
      <c r="E440" s="22" t="n">
        <v>22651.9552757571</v>
      </c>
      <c r="F440" s="22" t="n">
        <v>22798.5385979708</v>
      </c>
      <c r="G440" s="22" t="n">
        <v>23101.3572665702</v>
      </c>
      <c r="H440" s="22" t="n">
        <v>23239.7377528129</v>
      </c>
      <c r="I440" s="22" t="n">
        <v>23417.6946448862</v>
      </c>
      <c r="J440" s="22" t="n">
        <v>23602.3446246855</v>
      </c>
      <c r="K440" s="22" t="n">
        <v>23793.2456013384</v>
      </c>
      <c r="L440" s="22" t="n">
        <v>23990.2933231815</v>
      </c>
      <c r="M440" s="22" t="n">
        <v>24193.6458895395</v>
      </c>
      <c r="N440" s="23" t="n">
        <v>24403.5187487789</v>
      </c>
      <c r="O440" s="24" t="n">
        <v>24620.081206655</v>
      </c>
      <c r="P440" s="24" t="n">
        <v>24843.5602541581</v>
      </c>
      <c r="Q440" s="24" t="n">
        <v>25074.1370859458</v>
      </c>
      <c r="R440" s="24" t="n">
        <v>25312.0509385778</v>
      </c>
      <c r="S440" s="24" t="n">
        <v>25561.3309384655</v>
      </c>
      <c r="T440" s="24" t="n">
        <v>25822.2033991768</v>
      </c>
      <c r="U440" s="24" t="n">
        <v>26091.0790620276</v>
      </c>
      <c r="V440" s="24" t="n">
        <v>26368.1980230821</v>
      </c>
      <c r="W440" s="24" t="n">
        <v>26653.8075812865</v>
      </c>
      <c r="X440" s="24" t="n">
        <v>14056.2394963202</v>
      </c>
    </row>
    <row r="441" customFormat="false" ht="12.75" hidden="false" customHeight="false" outlineLevel="0" collapsed="false">
      <c r="A441" s="25" t="s">
        <v>10</v>
      </c>
      <c r="B441" s="20" t="n">
        <f aca="false">NPV(0.1,D441:Y441)</f>
        <v>78192.737812831</v>
      </c>
      <c r="C441" s="20" t="n">
        <f aca="false">B441-B431</f>
        <v>-1.68832406580623</v>
      </c>
      <c r="D441" s="21" t="n">
        <v>2161.83868786971</v>
      </c>
      <c r="E441" s="22" t="n">
        <v>4099.64692693282</v>
      </c>
      <c r="F441" s="22" t="n">
        <v>4377.31180177976</v>
      </c>
      <c r="G441" s="22" t="n">
        <v>7084.83732270416</v>
      </c>
      <c r="H441" s="22" t="n">
        <v>9047.66372889972</v>
      </c>
      <c r="I441" s="22" t="n">
        <v>9489.83994679748</v>
      </c>
      <c r="J441" s="22" t="n">
        <v>9900.14332753462</v>
      </c>
      <c r="K441" s="22" t="n">
        <v>10604.0931029918</v>
      </c>
      <c r="L441" s="22" t="n">
        <v>10956.5563864188</v>
      </c>
      <c r="M441" s="22" t="n">
        <v>11731.3926929484</v>
      </c>
      <c r="N441" s="23" t="n">
        <v>12135.8222121656</v>
      </c>
      <c r="O441" s="24" t="n">
        <v>12991.0369266365</v>
      </c>
      <c r="P441" s="24" t="n">
        <v>13456.1996617274</v>
      </c>
      <c r="Q441" s="24" t="n">
        <v>13941.9703704277</v>
      </c>
      <c r="R441" s="24" t="n">
        <v>14449.7420300679</v>
      </c>
      <c r="S441" s="24" t="n">
        <v>14978.7354470315</v>
      </c>
      <c r="T441" s="24" t="n">
        <v>15530.5210895804</v>
      </c>
      <c r="U441" s="24" t="n">
        <v>16109.1038071102</v>
      </c>
      <c r="V441" s="24" t="n">
        <v>16716.39002763</v>
      </c>
      <c r="W441" s="24" t="n">
        <v>17354.4399091136</v>
      </c>
      <c r="X441" s="24" t="n">
        <v>4263.73518786812</v>
      </c>
    </row>
    <row r="442" customFormat="false" ht="12.75" hidden="false" customHeight="false" outlineLevel="0" collapsed="false">
      <c r="A442" s="25" t="s">
        <v>11</v>
      </c>
      <c r="B442" s="20" t="n">
        <f aca="false">NPV(0.1,D442:Y442)</f>
        <v>89450.6509006021</v>
      </c>
      <c r="C442" s="20" t="n">
        <f aca="false">B442-B432</f>
        <v>-1.01069185181404</v>
      </c>
      <c r="D442" s="26" t="n">
        <v>3241.31962560823</v>
      </c>
      <c r="E442" s="27" t="n">
        <v>5292.75425251324</v>
      </c>
      <c r="F442" s="27" t="n">
        <v>5280.71239543302</v>
      </c>
      <c r="G442" s="27" t="n">
        <v>15707.7460067739</v>
      </c>
      <c r="H442" s="27" t="n">
        <v>14284.7592342722</v>
      </c>
      <c r="I442" s="27" t="n">
        <v>13385.8856243048</v>
      </c>
      <c r="J442" s="27" t="n">
        <v>13075.2175702858</v>
      </c>
      <c r="K442" s="27" t="n">
        <v>13160.5084142332</v>
      </c>
      <c r="L442" s="27" t="n">
        <v>13084.5721428269</v>
      </c>
      <c r="M442" s="27" t="n">
        <v>13143.1190942617</v>
      </c>
      <c r="N442" s="28" t="n">
        <v>13029.3273356944</v>
      </c>
      <c r="O442" s="24" t="n">
        <v>13055.2627291175</v>
      </c>
      <c r="P442" s="24" t="n">
        <v>12896.7597946039</v>
      </c>
      <c r="Q442" s="24" t="n">
        <v>12727.6697329128</v>
      </c>
      <c r="R442" s="24" t="n">
        <v>12521.6755671878</v>
      </c>
      <c r="S442" s="24" t="n">
        <v>10474.5987676006</v>
      </c>
      <c r="T442" s="24" t="n">
        <v>8398.63401682147</v>
      </c>
      <c r="U442" s="24" t="n">
        <v>8112.80435124131</v>
      </c>
      <c r="V442" s="24" t="n">
        <v>7794.83059408854</v>
      </c>
      <c r="W442" s="24" t="n">
        <v>7442.46345239477</v>
      </c>
      <c r="X442" s="24" t="n">
        <v>7029.95849273062</v>
      </c>
    </row>
    <row r="444" customFormat="false" ht="11.25" hidden="false" customHeight="false" outlineLevel="0" collapsed="false">
      <c r="A444" s="29" t="s">
        <v>55</v>
      </c>
    </row>
    <row r="445" customFormat="false" ht="11.25" hidden="false" customHeight="false" outlineLevel="0" collapsed="false">
      <c r="A445" s="36" t="n">
        <v>36299</v>
      </c>
    </row>
    <row r="446" customFormat="false" ht="12.75" hidden="false" customHeight="false" outlineLevel="0" collapsed="false">
      <c r="A446" s="10" t="s">
        <v>3</v>
      </c>
      <c r="B446" s="11" t="n">
        <v>43183.3724567535</v>
      </c>
      <c r="C446" s="7"/>
      <c r="D446" s="7"/>
      <c r="E446" s="7"/>
      <c r="F446" s="7"/>
      <c r="G446" s="7"/>
      <c r="H446" s="7"/>
      <c r="I446" s="7"/>
      <c r="J446" s="7"/>
      <c r="K446" s="7"/>
      <c r="L446" s="7"/>
      <c r="M446" s="7"/>
      <c r="N446" s="7"/>
      <c r="O446" s="7"/>
      <c r="P446" s="7"/>
      <c r="Q446" s="7"/>
      <c r="R446" s="7"/>
      <c r="S446" s="7"/>
      <c r="T446" s="7"/>
      <c r="U446" s="7"/>
      <c r="V446" s="7"/>
      <c r="W446" s="7"/>
      <c r="X446" s="7"/>
    </row>
    <row r="447" customFormat="false" ht="12.75" hidden="false" customHeight="false" outlineLevel="0" collapsed="false">
      <c r="A447" s="12" t="s">
        <v>4</v>
      </c>
      <c r="B447" s="13" t="n">
        <v>76748.437969461</v>
      </c>
      <c r="C447" s="7"/>
      <c r="D447" s="7"/>
      <c r="E447" s="7"/>
      <c r="F447" s="7"/>
      <c r="G447" s="7"/>
      <c r="H447" s="7"/>
      <c r="I447" s="7"/>
      <c r="J447" s="7"/>
      <c r="K447" s="7"/>
      <c r="L447" s="7"/>
      <c r="M447" s="7"/>
      <c r="N447" s="7"/>
      <c r="O447" s="7"/>
      <c r="P447" s="7"/>
      <c r="Q447" s="7"/>
      <c r="R447" s="7"/>
      <c r="S447" s="7"/>
      <c r="T447" s="7"/>
      <c r="U447" s="7"/>
      <c r="V447" s="7"/>
      <c r="W447" s="7"/>
      <c r="X447" s="7"/>
    </row>
    <row r="448" customFormat="false" ht="12.75" hidden="false" customHeight="false" outlineLevel="0" collapsed="false">
      <c r="A448" s="14" t="s">
        <v>5</v>
      </c>
      <c r="B448" s="15" t="s">
        <v>6</v>
      </c>
      <c r="C448" s="15" t="s">
        <v>7</v>
      </c>
      <c r="D448" s="16" t="n">
        <v>2000</v>
      </c>
      <c r="E448" s="17" t="n">
        <v>2001</v>
      </c>
      <c r="F448" s="17" t="n">
        <v>2002</v>
      </c>
      <c r="G448" s="17" t="n">
        <v>2003</v>
      </c>
      <c r="H448" s="17" t="n">
        <v>2004</v>
      </c>
      <c r="I448" s="17" t="n">
        <v>2005</v>
      </c>
      <c r="J448" s="17" t="n">
        <v>2006</v>
      </c>
      <c r="K448" s="17" t="n">
        <v>2007</v>
      </c>
      <c r="L448" s="17" t="n">
        <v>2008</v>
      </c>
      <c r="M448" s="17" t="n">
        <v>2009</v>
      </c>
      <c r="N448" s="18" t="n">
        <v>2010</v>
      </c>
      <c r="O448" s="19" t="n">
        <v>2011</v>
      </c>
      <c r="P448" s="19" t="n">
        <v>2012</v>
      </c>
      <c r="Q448" s="19" t="n">
        <v>2013</v>
      </c>
      <c r="R448" s="19" t="n">
        <v>2014</v>
      </c>
      <c r="S448" s="19" t="n">
        <v>2015</v>
      </c>
      <c r="T448" s="19" t="n">
        <v>2016</v>
      </c>
      <c r="U448" s="19" t="n">
        <v>2017</v>
      </c>
      <c r="V448" s="19" t="n">
        <v>2018</v>
      </c>
      <c r="W448" s="19" t="n">
        <v>2019</v>
      </c>
      <c r="X448" s="19" t="n">
        <v>2020</v>
      </c>
    </row>
    <row r="449" customFormat="false" ht="12.75" hidden="false" customHeight="false" outlineLevel="0" collapsed="false">
      <c r="A449" s="14" t="s">
        <v>8</v>
      </c>
      <c r="B449" s="20" t="n">
        <f aca="false">NPV(0.1,D449:Y449)</f>
        <v>435521.52618852</v>
      </c>
      <c r="C449" s="20" t="n">
        <f aca="false">B449-B439</f>
        <v>0</v>
      </c>
      <c r="D449" s="21" t="n">
        <v>34109.114599491</v>
      </c>
      <c r="E449" s="22" t="n">
        <v>44408.7316497246</v>
      </c>
      <c r="F449" s="22" t="n">
        <v>44505.8148479721</v>
      </c>
      <c r="G449" s="22" t="n">
        <v>48746.6568694664</v>
      </c>
      <c r="H449" s="22" t="n">
        <v>52037.3083317422</v>
      </c>
      <c r="I449" s="22" t="n">
        <v>52504.4693596697</v>
      </c>
      <c r="J449" s="22" t="n">
        <v>52967.7098027116</v>
      </c>
      <c r="K449" s="22" t="n">
        <v>54065.6345965888</v>
      </c>
      <c r="L449" s="22" t="n">
        <v>54538.241516014</v>
      </c>
      <c r="M449" s="22" t="n">
        <v>55683.2822612903</v>
      </c>
      <c r="N449" s="23" t="n">
        <v>56164.330843504</v>
      </c>
      <c r="O449" s="24" t="n">
        <v>57358.1542686049</v>
      </c>
      <c r="P449" s="24" t="n">
        <v>57846.919898866</v>
      </c>
      <c r="Q449" s="24" t="n">
        <v>58328.122323107</v>
      </c>
      <c r="R449" s="24" t="n">
        <v>58800.8678598997</v>
      </c>
      <c r="S449" s="24" t="n">
        <v>59264.2160138153</v>
      </c>
      <c r="T449" s="24" t="n">
        <v>59717.177470898</v>
      </c>
      <c r="U449" s="24" t="n">
        <v>60158.7120159994</v>
      </c>
      <c r="V449" s="24" t="n">
        <v>60587.7263690892</v>
      </c>
      <c r="W449" s="24" t="n">
        <v>61003.071937556</v>
      </c>
      <c r="X449" s="24" t="n">
        <v>25677.637643427</v>
      </c>
    </row>
    <row r="450" customFormat="false" ht="12.75" hidden="false" customHeight="false" outlineLevel="0" collapsed="false">
      <c r="A450" s="25" t="s">
        <v>9</v>
      </c>
      <c r="B450" s="20" t="n">
        <f aca="false">NPV(0.1,D450:Y450)</f>
        <v>203461.954134017</v>
      </c>
      <c r="C450" s="20" t="n">
        <f aca="false">B450-B440</f>
        <v>5.87068490425008</v>
      </c>
      <c r="D450" s="21" t="n">
        <v>21642.2796751489</v>
      </c>
      <c r="E450" s="22" t="n">
        <v>22654.0023562168</v>
      </c>
      <c r="F450" s="22" t="n">
        <v>22799.9142893538</v>
      </c>
      <c r="G450" s="22" t="n">
        <v>23102.1346526778</v>
      </c>
      <c r="H450" s="22" t="n">
        <v>23239.7377528129</v>
      </c>
      <c r="I450" s="22" t="n">
        <v>23417.6946448862</v>
      </c>
      <c r="J450" s="22" t="n">
        <v>23602.3446246855</v>
      </c>
      <c r="K450" s="22" t="n">
        <v>23793.2456013384</v>
      </c>
      <c r="L450" s="22" t="n">
        <v>23990.2933231815</v>
      </c>
      <c r="M450" s="22" t="n">
        <v>24193.6458895395</v>
      </c>
      <c r="N450" s="23" t="n">
        <v>24403.5187487789</v>
      </c>
      <c r="O450" s="24" t="n">
        <v>24620.081206655</v>
      </c>
      <c r="P450" s="24" t="n">
        <v>24843.5602541581</v>
      </c>
      <c r="Q450" s="24" t="n">
        <v>25074.1370859458</v>
      </c>
      <c r="R450" s="24" t="n">
        <v>25312.0509385778</v>
      </c>
      <c r="S450" s="24" t="n">
        <v>25561.3309384655</v>
      </c>
      <c r="T450" s="24" t="n">
        <v>25822.2033991768</v>
      </c>
      <c r="U450" s="24" t="n">
        <v>26091.0790620276</v>
      </c>
      <c r="V450" s="24" t="n">
        <v>26368.1980230821</v>
      </c>
      <c r="W450" s="24" t="n">
        <v>26653.8075812865</v>
      </c>
      <c r="X450" s="24" t="n">
        <v>14056.2394963202</v>
      </c>
    </row>
    <row r="451" customFormat="false" ht="12.75" hidden="false" customHeight="false" outlineLevel="0" collapsed="false">
      <c r="A451" s="25" t="s">
        <v>10</v>
      </c>
      <c r="B451" s="20" t="n">
        <f aca="false">NPV(0.1,D451:Y451)</f>
        <v>82541.6645697869</v>
      </c>
      <c r="C451" s="20" t="n">
        <f aca="false">B451-B441</f>
        <v>4348.92675695597</v>
      </c>
      <c r="D451" s="21" t="n">
        <v>138.461279841043</v>
      </c>
      <c r="E451" s="22" t="n">
        <v>4682.71097346622</v>
      </c>
      <c r="F451" s="22" t="n">
        <v>4849.69707283846</v>
      </c>
      <c r="G451" s="22" t="n">
        <v>7505.8012757218</v>
      </c>
      <c r="H451" s="22" t="n">
        <v>9768.93017950345</v>
      </c>
      <c r="I451" s="22" t="n">
        <v>10313.7842996499</v>
      </c>
      <c r="J451" s="22" t="n">
        <v>10811.3023408468</v>
      </c>
      <c r="K451" s="22" t="n">
        <v>11618.0812372131</v>
      </c>
      <c r="L451" s="22" t="n">
        <v>12043.5630496336</v>
      </c>
      <c r="M451" s="22" t="n">
        <v>13034.0276741853</v>
      </c>
      <c r="N451" s="23" t="n">
        <v>13733.1063610011</v>
      </c>
      <c r="O451" s="24" t="n">
        <v>14451.6543864604</v>
      </c>
      <c r="P451" s="24" t="n">
        <v>14772.4033520926</v>
      </c>
      <c r="Q451" s="24" t="n">
        <v>15084.2995765307</v>
      </c>
      <c r="R451" s="24" t="n">
        <v>15386.65897026</v>
      </c>
      <c r="S451" s="24" t="n">
        <v>15676.4807280779</v>
      </c>
      <c r="T451" s="24" t="n">
        <v>15953.0308179965</v>
      </c>
      <c r="U451" s="24" t="n">
        <v>16378.409479445</v>
      </c>
      <c r="V451" s="24" t="n">
        <v>16855.4749495923</v>
      </c>
      <c r="W451" s="24" t="n">
        <v>17415.4965579291</v>
      </c>
      <c r="X451" s="24" t="n">
        <v>4263.73518786812</v>
      </c>
    </row>
    <row r="452" customFormat="false" ht="12.75" hidden="false" customHeight="false" outlineLevel="0" collapsed="false">
      <c r="A452" s="25" t="s">
        <v>11</v>
      </c>
      <c r="B452" s="20" t="n">
        <f aca="false">NPV(0.1,D452:Y452)</f>
        <v>88451.4029868293</v>
      </c>
      <c r="C452" s="20" t="n">
        <f aca="false">B452-B442</f>
        <v>-999.247913772779</v>
      </c>
      <c r="D452" s="26" t="n">
        <v>-1499.64819310361</v>
      </c>
      <c r="E452" s="27" t="n">
        <v>8025.96309717664</v>
      </c>
      <c r="F452" s="27" t="n">
        <v>6503.41494060106</v>
      </c>
      <c r="G452" s="27" t="n">
        <v>9154.6133419984</v>
      </c>
      <c r="H452" s="27" t="n">
        <v>13059.9317329119</v>
      </c>
      <c r="I452" s="27" t="n">
        <v>12217.661193748</v>
      </c>
      <c r="J452" s="27" t="n">
        <v>11681.740082813</v>
      </c>
      <c r="K452" s="27" t="n">
        <v>12494.6890544965</v>
      </c>
      <c r="L452" s="27" t="n">
        <v>9308.90079159988</v>
      </c>
      <c r="M452" s="27" t="n">
        <v>7844.72549146866</v>
      </c>
      <c r="N452" s="28" t="n">
        <v>17550.3841029673</v>
      </c>
      <c r="O452" s="24" t="n">
        <v>17616.8422037438</v>
      </c>
      <c r="P452" s="24" t="n">
        <v>17931.4210940588</v>
      </c>
      <c r="Q452" s="24" t="n">
        <v>18249.487393814</v>
      </c>
      <c r="R452" s="24" t="n">
        <v>18545.6767122263</v>
      </c>
      <c r="S452" s="24" t="n">
        <v>17015.3262514922</v>
      </c>
      <c r="T452" s="24" t="n">
        <v>12180.404122859</v>
      </c>
      <c r="U452" s="24" t="n">
        <v>11289.2627843075</v>
      </c>
      <c r="V452" s="24" t="n">
        <v>9791.54825445484</v>
      </c>
      <c r="W452" s="24" t="n">
        <v>9035.04986279165</v>
      </c>
      <c r="X452" s="24" t="n">
        <v>7029.95849273062</v>
      </c>
    </row>
    <row r="453" customFormat="false" ht="11.25" hidden="false" customHeight="false" outlineLevel="0" collapsed="false">
      <c r="C453" s="39"/>
      <c r="D453" s="40"/>
    </row>
    <row r="454" customFormat="false" ht="11.25" hidden="false" customHeight="false" outlineLevel="0" collapsed="false">
      <c r="A454" s="29" t="s">
        <v>56</v>
      </c>
    </row>
    <row r="455" customFormat="false" ht="11.25" hidden="false" customHeight="false" outlineLevel="0" collapsed="false">
      <c r="A455" s="36" t="n">
        <v>36300</v>
      </c>
    </row>
    <row r="456" customFormat="false" ht="12.75" hidden="false" customHeight="false" outlineLevel="0" collapsed="false">
      <c r="A456" s="10" t="s">
        <v>3</v>
      </c>
      <c r="B456" s="11" t="n">
        <v>44365.8656228622</v>
      </c>
      <c r="C456" s="7"/>
      <c r="D456" s="7"/>
      <c r="E456" s="7"/>
      <c r="F456" s="7"/>
      <c r="G456" s="7"/>
      <c r="H456" s="7"/>
      <c r="I456" s="7"/>
      <c r="J456" s="7"/>
      <c r="K456" s="7"/>
      <c r="L456" s="7"/>
      <c r="M456" s="7"/>
      <c r="N456" s="7"/>
      <c r="O456" s="7"/>
      <c r="P456" s="7"/>
      <c r="Q456" s="7"/>
      <c r="R456" s="7"/>
      <c r="S456" s="7"/>
      <c r="T456" s="7"/>
      <c r="U456" s="7"/>
      <c r="V456" s="7"/>
      <c r="W456" s="7"/>
      <c r="X456" s="7"/>
    </row>
    <row r="457" customFormat="false" ht="12.75" hidden="false" customHeight="false" outlineLevel="0" collapsed="false">
      <c r="A457" s="12" t="s">
        <v>4</v>
      </c>
      <c r="B457" s="13" t="n">
        <v>78562.5862832349</v>
      </c>
      <c r="C457" s="7"/>
      <c r="D457" s="7"/>
      <c r="E457" s="7"/>
      <c r="F457" s="7"/>
      <c r="G457" s="7"/>
      <c r="H457" s="7"/>
      <c r="I457" s="7"/>
      <c r="J457" s="7"/>
      <c r="K457" s="7"/>
      <c r="L457" s="7"/>
      <c r="M457" s="7"/>
      <c r="N457" s="7"/>
      <c r="O457" s="7"/>
      <c r="P457" s="7"/>
      <c r="Q457" s="7"/>
      <c r="R457" s="7"/>
      <c r="S457" s="7"/>
      <c r="T457" s="7"/>
      <c r="U457" s="7"/>
      <c r="V457" s="7"/>
      <c r="W457" s="7"/>
      <c r="X457" s="7"/>
    </row>
    <row r="458" customFormat="false" ht="12.75" hidden="false" customHeight="false" outlineLevel="0" collapsed="false">
      <c r="A458" s="14" t="s">
        <v>5</v>
      </c>
      <c r="B458" s="15" t="s">
        <v>6</v>
      </c>
      <c r="C458" s="15" t="s">
        <v>7</v>
      </c>
      <c r="D458" s="16" t="n">
        <v>2000</v>
      </c>
      <c r="E458" s="17" t="n">
        <v>2001</v>
      </c>
      <c r="F458" s="17" t="n">
        <v>2002</v>
      </c>
      <c r="G458" s="17" t="n">
        <v>2003</v>
      </c>
      <c r="H458" s="17" t="n">
        <v>2004</v>
      </c>
      <c r="I458" s="17" t="n">
        <v>2005</v>
      </c>
      <c r="J458" s="17" t="n">
        <v>2006</v>
      </c>
      <c r="K458" s="17" t="n">
        <v>2007</v>
      </c>
      <c r="L458" s="17" t="n">
        <v>2008</v>
      </c>
      <c r="M458" s="17" t="n">
        <v>2009</v>
      </c>
      <c r="N458" s="18" t="n">
        <v>2010</v>
      </c>
      <c r="O458" s="19" t="n">
        <v>2011</v>
      </c>
      <c r="P458" s="19" t="n">
        <v>2012</v>
      </c>
      <c r="Q458" s="19" t="n">
        <v>2013</v>
      </c>
      <c r="R458" s="19" t="n">
        <v>2014</v>
      </c>
      <c r="S458" s="19" t="n">
        <v>2015</v>
      </c>
      <c r="T458" s="19" t="n">
        <v>2016</v>
      </c>
      <c r="U458" s="19" t="n">
        <v>2017</v>
      </c>
      <c r="V458" s="19" t="n">
        <v>2018</v>
      </c>
      <c r="W458" s="19" t="n">
        <v>2019</v>
      </c>
      <c r="X458" s="19" t="n">
        <v>2020</v>
      </c>
    </row>
    <row r="459" customFormat="false" ht="12.75" hidden="false" customHeight="false" outlineLevel="0" collapsed="false">
      <c r="A459" s="14" t="s">
        <v>8</v>
      </c>
      <c r="B459" s="20" t="n">
        <f aca="false">NPV(0.1,D459:Y459)</f>
        <v>435521.52618852</v>
      </c>
      <c r="C459" s="20" t="n">
        <f aca="false">B459-B449</f>
        <v>0</v>
      </c>
      <c r="D459" s="21" t="n">
        <v>34109.114599491</v>
      </c>
      <c r="E459" s="22" t="n">
        <v>44408.7316497246</v>
      </c>
      <c r="F459" s="22" t="n">
        <v>44505.8148479721</v>
      </c>
      <c r="G459" s="22" t="n">
        <v>48746.6568694664</v>
      </c>
      <c r="H459" s="22" t="n">
        <v>52037.3083317422</v>
      </c>
      <c r="I459" s="22" t="n">
        <v>52504.4693596697</v>
      </c>
      <c r="J459" s="22" t="n">
        <v>52967.7098027116</v>
      </c>
      <c r="K459" s="22" t="n">
        <v>54065.6345965888</v>
      </c>
      <c r="L459" s="22" t="n">
        <v>54538.241516014</v>
      </c>
      <c r="M459" s="22" t="n">
        <v>55683.2822612903</v>
      </c>
      <c r="N459" s="23" t="n">
        <v>56164.330843504</v>
      </c>
      <c r="O459" s="24" t="n">
        <v>57358.1542686049</v>
      </c>
      <c r="P459" s="24" t="n">
        <v>57846.919898866</v>
      </c>
      <c r="Q459" s="24" t="n">
        <v>58328.122323107</v>
      </c>
      <c r="R459" s="24" t="n">
        <v>58800.8678598997</v>
      </c>
      <c r="S459" s="24" t="n">
        <v>59264.2160138153</v>
      </c>
      <c r="T459" s="24" t="n">
        <v>59717.177470898</v>
      </c>
      <c r="U459" s="24" t="n">
        <v>60158.7120159994</v>
      </c>
      <c r="V459" s="24" t="n">
        <v>60587.7263690892</v>
      </c>
      <c r="W459" s="24" t="n">
        <v>61003.071937556</v>
      </c>
      <c r="X459" s="24" t="n">
        <v>25677.637643427</v>
      </c>
    </row>
    <row r="460" customFormat="false" ht="12.75" hidden="false" customHeight="false" outlineLevel="0" collapsed="false">
      <c r="A460" s="25" t="s">
        <v>9</v>
      </c>
      <c r="B460" s="20" t="n">
        <f aca="false">NPV(0.1,D460:Y460)</f>
        <v>201568.978789351</v>
      </c>
      <c r="C460" s="20" t="n">
        <f aca="false">B460-B450</f>
        <v>-1892.97534466564</v>
      </c>
      <c r="D460" s="21" t="n">
        <v>21319.9992072557</v>
      </c>
      <c r="E460" s="22" t="n">
        <v>22349.0300927834</v>
      </c>
      <c r="F460" s="22" t="n">
        <v>22512.4875634427</v>
      </c>
      <c r="G460" s="22" t="n">
        <v>22836.0285171059</v>
      </c>
      <c r="H460" s="22" t="n">
        <v>22990.8781225032</v>
      </c>
      <c r="I460" s="22" t="n">
        <v>23183.1685580541</v>
      </c>
      <c r="J460" s="22" t="n">
        <v>23381.3642051115</v>
      </c>
      <c r="K460" s="22" t="n">
        <v>23585.8238061807</v>
      </c>
      <c r="L460" s="22" t="n">
        <v>23796.4171952819</v>
      </c>
      <c r="M460" s="22" t="n">
        <v>24013.3283860562</v>
      </c>
      <c r="N460" s="23" t="n">
        <v>24236.7469125537</v>
      </c>
      <c r="O460" s="24" t="n">
        <v>24466.8679948461</v>
      </c>
      <c r="P460" s="24" t="n">
        <v>24703.8927096073</v>
      </c>
      <c r="Q460" s="24" t="n">
        <v>24948.0281658113</v>
      </c>
      <c r="R460" s="24" t="n">
        <v>25199.4876857015</v>
      </c>
      <c r="S460" s="24" t="n">
        <v>25458.4909911884</v>
      </c>
      <c r="T460" s="24" t="n">
        <v>25725.2643958398</v>
      </c>
      <c r="U460" s="24" t="n">
        <v>26000.0410026308</v>
      </c>
      <c r="V460" s="24" t="n">
        <v>26283.0609076256</v>
      </c>
      <c r="W460" s="24" t="n">
        <v>26574.5714097702</v>
      </c>
      <c r="X460" s="24" t="n">
        <v>13982.8123937441</v>
      </c>
    </row>
    <row r="461" customFormat="false" ht="12.75" hidden="false" customHeight="false" outlineLevel="0" collapsed="false">
      <c r="A461" s="25" t="s">
        <v>10</v>
      </c>
      <c r="B461" s="20" t="n">
        <f aca="false">NPV(0.1,D461:Y461)</f>
        <v>83684.6992806016</v>
      </c>
      <c r="C461" s="20" t="n">
        <f aca="false">B461-B451</f>
        <v>1143.03471081467</v>
      </c>
      <c r="D461" s="21" t="n">
        <v>333.063794056337</v>
      </c>
      <c r="E461" s="22" t="n">
        <v>4866.86227999137</v>
      </c>
      <c r="F461" s="22" t="n">
        <v>5023.2538629245</v>
      </c>
      <c r="G461" s="22" t="n">
        <v>7666.48406040602</v>
      </c>
      <c r="H461" s="22" t="n">
        <v>9919.19901230475</v>
      </c>
      <c r="I461" s="22" t="n">
        <v>10455.3981133724</v>
      </c>
      <c r="J461" s="22" t="n">
        <v>10944.7368785418</v>
      </c>
      <c r="K461" s="22" t="n">
        <v>11743.3286749639</v>
      </c>
      <c r="L461" s="22" t="n">
        <v>12160.6312113569</v>
      </c>
      <c r="M461" s="22" t="n">
        <v>13142.9087359644</v>
      </c>
      <c r="N461" s="23" t="n">
        <v>13833.8081467527</v>
      </c>
      <c r="O461" s="24" t="n">
        <v>14544.1690722678</v>
      </c>
      <c r="P461" s="24" t="n">
        <v>14856.7387618726</v>
      </c>
      <c r="Q461" s="24" t="n">
        <v>15160.4478863664</v>
      </c>
      <c r="R461" s="24" t="n">
        <v>15454.6280040683</v>
      </c>
      <c r="S461" s="24" t="n">
        <v>15738.5785413047</v>
      </c>
      <c r="T461" s="24" t="n">
        <v>16011.565466088</v>
      </c>
      <c r="U461" s="24" t="n">
        <v>16433.3809624011</v>
      </c>
      <c r="V461" s="24" t="n">
        <v>16906.8832674131</v>
      </c>
      <c r="W461" s="24" t="n">
        <v>17463.3417106145</v>
      </c>
      <c r="X461" s="24" t="n">
        <v>4308.07265227067</v>
      </c>
    </row>
    <row r="462" customFormat="false" ht="12.75" hidden="false" customHeight="false" outlineLevel="0" collapsed="false">
      <c r="A462" s="25" t="s">
        <v>11</v>
      </c>
      <c r="B462" s="20" t="n">
        <f aca="false">NPV(0.1,D462:Y462)</f>
        <v>89680.0755867473</v>
      </c>
      <c r="C462" s="20" t="n">
        <f aca="false">B462-B452</f>
        <v>1228.67259991805</v>
      </c>
      <c r="D462" s="26" t="n">
        <v>-1173.33921936176</v>
      </c>
      <c r="E462" s="27" t="n">
        <v>8334.74751390295</v>
      </c>
      <c r="F462" s="27" t="n">
        <v>6794.43450058604</v>
      </c>
      <c r="G462" s="27" t="n">
        <v>9424.04580426496</v>
      </c>
      <c r="H462" s="27" t="n">
        <v>12727.6485485043</v>
      </c>
      <c r="I462" s="27" t="n">
        <v>12359.2750074704</v>
      </c>
      <c r="J462" s="27" t="n">
        <v>11815.174620508</v>
      </c>
      <c r="K462" s="27" t="n">
        <v>12619.9364922473</v>
      </c>
      <c r="L462" s="27" t="n">
        <v>9425.96895332319</v>
      </c>
      <c r="M462" s="27" t="n">
        <v>7953.60655324776</v>
      </c>
      <c r="N462" s="28" t="n">
        <v>17651.085888719</v>
      </c>
      <c r="O462" s="24" t="n">
        <v>17709.3568895512</v>
      </c>
      <c r="P462" s="24" t="n">
        <v>18015.7565038388</v>
      </c>
      <c r="Q462" s="24" t="n">
        <v>18325.6357036498</v>
      </c>
      <c r="R462" s="24" t="n">
        <v>18613.6457460346</v>
      </c>
      <c r="S462" s="24" t="n">
        <v>17077.4240647191</v>
      </c>
      <c r="T462" s="24" t="n">
        <v>12238.9387709505</v>
      </c>
      <c r="U462" s="24" t="n">
        <v>11344.2342672636</v>
      </c>
      <c r="V462" s="24" t="n">
        <v>9842.9565722756</v>
      </c>
      <c r="W462" s="24" t="n">
        <v>9082.89501547704</v>
      </c>
      <c r="X462" s="24" t="n">
        <v>7074.29595713317</v>
      </c>
    </row>
    <row r="464" customFormat="false" ht="11.25" hidden="false" customHeight="false" outlineLevel="0" collapsed="false">
      <c r="A464" s="29" t="s">
        <v>57</v>
      </c>
    </row>
    <row r="465" customFormat="false" ht="11.25" hidden="false" customHeight="false" outlineLevel="0" collapsed="false">
      <c r="A465" s="36" t="n">
        <v>36300</v>
      </c>
    </row>
    <row r="466" customFormat="false" ht="12.75" hidden="false" customHeight="false" outlineLevel="0" collapsed="false">
      <c r="A466" s="10" t="s">
        <v>3</v>
      </c>
      <c r="B466" s="11" t="n">
        <v>44560.2297025188</v>
      </c>
      <c r="C466" s="7"/>
      <c r="D466" s="7"/>
      <c r="E466" s="7"/>
      <c r="F466" s="7"/>
      <c r="G466" s="7"/>
      <c r="H466" s="7"/>
      <c r="I466" s="7"/>
      <c r="J466" s="7"/>
      <c r="K466" s="7"/>
      <c r="L466" s="7"/>
      <c r="M466" s="7"/>
      <c r="N466" s="7"/>
      <c r="O466" s="7"/>
      <c r="P466" s="7"/>
      <c r="Q466" s="7"/>
      <c r="R466" s="7"/>
      <c r="S466" s="7"/>
      <c r="T466" s="7"/>
      <c r="U466" s="7"/>
      <c r="V466" s="7"/>
      <c r="W466" s="7"/>
      <c r="X466" s="7"/>
    </row>
    <row r="467" customFormat="false" ht="12.75" hidden="false" customHeight="false" outlineLevel="0" collapsed="false">
      <c r="A467" s="12" t="s">
        <v>4</v>
      </c>
      <c r="B467" s="13" t="n">
        <v>78886.9880464799</v>
      </c>
      <c r="C467" s="7"/>
      <c r="D467" s="7"/>
      <c r="E467" s="7"/>
      <c r="F467" s="7"/>
      <c r="G467" s="7"/>
      <c r="H467" s="7"/>
      <c r="I467" s="7"/>
      <c r="J467" s="7"/>
      <c r="K467" s="7"/>
      <c r="L467" s="7"/>
      <c r="M467" s="7"/>
      <c r="N467" s="7"/>
      <c r="O467" s="7"/>
      <c r="P467" s="7"/>
      <c r="Q467" s="7"/>
      <c r="R467" s="7"/>
      <c r="S467" s="7"/>
      <c r="T467" s="7"/>
      <c r="U467" s="7"/>
      <c r="V467" s="7"/>
      <c r="W467" s="7"/>
      <c r="X467" s="7"/>
    </row>
    <row r="468" customFormat="false" ht="12.75" hidden="false" customHeight="false" outlineLevel="0" collapsed="false">
      <c r="A468" s="14" t="s">
        <v>5</v>
      </c>
      <c r="B468" s="15" t="s">
        <v>6</v>
      </c>
      <c r="C468" s="15" t="s">
        <v>7</v>
      </c>
      <c r="D468" s="16" t="n">
        <v>2000</v>
      </c>
      <c r="E468" s="17" t="n">
        <v>2001</v>
      </c>
      <c r="F468" s="17" t="n">
        <v>2002</v>
      </c>
      <c r="G468" s="17" t="n">
        <v>2003</v>
      </c>
      <c r="H468" s="17" t="n">
        <v>2004</v>
      </c>
      <c r="I468" s="17" t="n">
        <v>2005</v>
      </c>
      <c r="J468" s="17" t="n">
        <v>2006</v>
      </c>
      <c r="K468" s="17" t="n">
        <v>2007</v>
      </c>
      <c r="L468" s="17" t="n">
        <v>2008</v>
      </c>
      <c r="M468" s="17" t="n">
        <v>2009</v>
      </c>
      <c r="N468" s="18" t="n">
        <v>2010</v>
      </c>
      <c r="O468" s="19" t="n">
        <v>2011</v>
      </c>
      <c r="P468" s="19" t="n">
        <v>2012</v>
      </c>
      <c r="Q468" s="19" t="n">
        <v>2013</v>
      </c>
      <c r="R468" s="19" t="n">
        <v>2014</v>
      </c>
      <c r="S468" s="19" t="n">
        <v>2015</v>
      </c>
      <c r="T468" s="19" t="n">
        <v>2016</v>
      </c>
      <c r="U468" s="19" t="n">
        <v>2017</v>
      </c>
      <c r="V468" s="19" t="n">
        <v>2018</v>
      </c>
      <c r="W468" s="19" t="n">
        <v>2019</v>
      </c>
      <c r="X468" s="19" t="n">
        <v>2020</v>
      </c>
    </row>
    <row r="469" customFormat="false" ht="12.75" hidden="false" customHeight="false" outlineLevel="0" collapsed="false">
      <c r="A469" s="14" t="s">
        <v>8</v>
      </c>
      <c r="B469" s="20" t="n">
        <f aca="false">NPV(0.1,D469:Y469)</f>
        <v>435520.859249936</v>
      </c>
      <c r="C469" s="20" t="n">
        <f aca="false">B469-B459</f>
        <v>-0.666938584006857</v>
      </c>
      <c r="D469" s="21" t="n">
        <v>34109.114599491</v>
      </c>
      <c r="E469" s="22" t="n">
        <v>44408.7316497246</v>
      </c>
      <c r="F469" s="22" t="n">
        <v>44505.8148479721</v>
      </c>
      <c r="G469" s="22" t="n">
        <v>48746.6015422209</v>
      </c>
      <c r="H469" s="22" t="n">
        <v>52037.2106396345</v>
      </c>
      <c r="I469" s="22" t="n">
        <v>52504.3687367988</v>
      </c>
      <c r="J469" s="22" t="n">
        <v>52967.6061611546</v>
      </c>
      <c r="K469" s="22" t="n">
        <v>54065.5278457851</v>
      </c>
      <c r="L469" s="22" t="n">
        <v>54538.1315626862</v>
      </c>
      <c r="M469" s="22" t="n">
        <v>55683.1690093626</v>
      </c>
      <c r="N469" s="23" t="n">
        <v>56164.2141940184</v>
      </c>
      <c r="O469" s="24" t="n">
        <v>57358.0341196348</v>
      </c>
      <c r="P469" s="24" t="n">
        <v>57846.7961454267</v>
      </c>
      <c r="Q469" s="24" t="n">
        <v>58327.9948570646</v>
      </c>
      <c r="R469" s="24" t="n">
        <v>58800.7365698761</v>
      </c>
      <c r="S469" s="24" t="n">
        <v>59264.0807850909</v>
      </c>
      <c r="T469" s="24" t="n">
        <v>59717.0381853119</v>
      </c>
      <c r="U469" s="24" t="n">
        <v>60158.5685518457</v>
      </c>
      <c r="V469" s="24" t="n">
        <v>60587.5786010109</v>
      </c>
      <c r="W469" s="24" t="n">
        <v>61002.9197364354</v>
      </c>
      <c r="X469" s="24" t="n">
        <v>25677.5723237794</v>
      </c>
    </row>
    <row r="470" customFormat="false" ht="12.75" hidden="false" customHeight="false" outlineLevel="0" collapsed="false">
      <c r="A470" s="25" t="s">
        <v>9</v>
      </c>
      <c r="B470" s="20" t="n">
        <f aca="false">NPV(0.1,D470:Y470)</f>
        <v>201197.790415233</v>
      </c>
      <c r="C470" s="20" t="n">
        <f aca="false">B470-B460</f>
        <v>-371.188374117948</v>
      </c>
      <c r="D470" s="21" t="n">
        <v>21319.9992072557</v>
      </c>
      <c r="E470" s="22" t="n">
        <v>22349.0300927834</v>
      </c>
      <c r="F470" s="22" t="n">
        <v>22512.4875634427</v>
      </c>
      <c r="G470" s="22" t="n">
        <v>22805.2358312738</v>
      </c>
      <c r="H470" s="22" t="n">
        <v>22936.507037234</v>
      </c>
      <c r="I470" s="22" t="n">
        <v>23127.1663402268</v>
      </c>
      <c r="J470" s="22" t="n">
        <v>23323.6819207494</v>
      </c>
      <c r="K470" s="22" t="n">
        <v>23526.4110532877</v>
      </c>
      <c r="L470" s="22" t="n">
        <v>23735.2220598022</v>
      </c>
      <c r="M470" s="22" t="n">
        <v>23950.297396512</v>
      </c>
      <c r="N470" s="23" t="n">
        <v>24171.8249933232</v>
      </c>
      <c r="O470" s="24" t="n">
        <v>24399.9984180387</v>
      </c>
      <c r="P470" s="24" t="n">
        <v>24635.0170454957</v>
      </c>
      <c r="Q470" s="24" t="n">
        <v>24877.0862317764</v>
      </c>
      <c r="R470" s="24" t="n">
        <v>25126.4174936455</v>
      </c>
      <c r="S470" s="24" t="n">
        <v>25383.2286933707</v>
      </c>
      <c r="T470" s="24" t="n">
        <v>25647.7442290876</v>
      </c>
      <c r="U470" s="24" t="n">
        <v>25920.1952308761</v>
      </c>
      <c r="V470" s="24" t="n">
        <v>26200.8197627182</v>
      </c>
      <c r="W470" s="24" t="n">
        <v>26489.8630305155</v>
      </c>
      <c r="X470" s="24" t="n">
        <v>13946.4583809806</v>
      </c>
    </row>
    <row r="471" customFormat="false" ht="12.75" hidden="false" customHeight="false" outlineLevel="0" collapsed="false">
      <c r="A471" s="25" t="s">
        <v>10</v>
      </c>
      <c r="B471" s="20" t="n">
        <f aca="false">NPV(0.1,D471:Y471)</f>
        <v>83908.4311232321</v>
      </c>
      <c r="C471" s="20" t="n">
        <f aca="false">B471-B461</f>
        <v>223.731842630528</v>
      </c>
      <c r="D471" s="21" t="n">
        <v>333.063794056337</v>
      </c>
      <c r="E471" s="22" t="n">
        <v>4866.86227999137</v>
      </c>
      <c r="F471" s="22" t="n">
        <v>5023.2538629245</v>
      </c>
      <c r="G471" s="22" t="n">
        <v>7685.04419003595</v>
      </c>
      <c r="H471" s="22" t="n">
        <v>9951.97089833704</v>
      </c>
      <c r="I471" s="22" t="n">
        <v>10489.1531559856</v>
      </c>
      <c r="J471" s="22" t="n">
        <v>10979.5045724334</v>
      </c>
      <c r="K471" s="22" t="n">
        <v>11779.1393996723</v>
      </c>
      <c r="L471" s="22" t="n">
        <v>12197.5162578066</v>
      </c>
      <c r="M471" s="22" t="n">
        <v>13180.9003338075</v>
      </c>
      <c r="N471" s="23" t="n">
        <v>13872.9394925312</v>
      </c>
      <c r="O471" s="24" t="n">
        <v>14584.4743584196</v>
      </c>
      <c r="P471" s="24" t="n">
        <v>14898.2532066089</v>
      </c>
      <c r="Q471" s="24" t="n">
        <v>15203.2077644449</v>
      </c>
      <c r="R471" s="24" t="n">
        <v>15498.6706784891</v>
      </c>
      <c r="S471" s="24" t="n">
        <v>15783.9424959581</v>
      </c>
      <c r="T471" s="24" t="n">
        <v>16058.290339381</v>
      </c>
      <c r="U471" s="24" t="n">
        <v>16481.5075818929</v>
      </c>
      <c r="V471" s="24" t="n">
        <v>16956.4536854897</v>
      </c>
      <c r="W471" s="24" t="n">
        <v>17514.3992412334</v>
      </c>
      <c r="X471" s="24" t="n">
        <v>4329.9848424946</v>
      </c>
    </row>
    <row r="472" customFormat="false" ht="12.75" hidden="false" customHeight="false" outlineLevel="0" collapsed="false">
      <c r="A472" s="25" t="s">
        <v>11</v>
      </c>
      <c r="B472" s="20" t="n">
        <f aca="false">NPV(0.1,D472:Y472)</f>
        <v>89904.5873963411</v>
      </c>
      <c r="C472" s="20" t="n">
        <f aca="false">B472-B462</f>
        <v>224.511809593736</v>
      </c>
      <c r="D472" s="26" t="n">
        <v>-1173.33921936176</v>
      </c>
      <c r="E472" s="27" t="n">
        <v>8334.74751390295</v>
      </c>
      <c r="F472" s="27" t="n">
        <v>6794.43450058604</v>
      </c>
      <c r="G472" s="27" t="n">
        <v>9455.16737983391</v>
      </c>
      <c r="H472" s="27" t="n">
        <v>12747.8589885975</v>
      </c>
      <c r="I472" s="27" t="n">
        <v>12393.0300500837</v>
      </c>
      <c r="J472" s="27" t="n">
        <v>11849.9423143997</v>
      </c>
      <c r="K472" s="27" t="n">
        <v>12655.7472169557</v>
      </c>
      <c r="L472" s="27" t="n">
        <v>9462.85399977285</v>
      </c>
      <c r="M472" s="27" t="n">
        <v>7991.5981510909</v>
      </c>
      <c r="N472" s="28" t="n">
        <v>17690.2172344974</v>
      </c>
      <c r="O472" s="24" t="n">
        <v>17749.662175703</v>
      </c>
      <c r="P472" s="24" t="n">
        <v>18057.2709485751</v>
      </c>
      <c r="Q472" s="24" t="n">
        <v>18368.3955817282</v>
      </c>
      <c r="R472" s="24" t="n">
        <v>18657.6884204553</v>
      </c>
      <c r="S472" s="24" t="n">
        <v>17122.7880193725</v>
      </c>
      <c r="T472" s="24" t="n">
        <v>12285.6636442435</v>
      </c>
      <c r="U472" s="24" t="n">
        <v>11392.3608867554</v>
      </c>
      <c r="V472" s="24" t="n">
        <v>9892.52699035215</v>
      </c>
      <c r="W472" s="24" t="n">
        <v>9133.95254609589</v>
      </c>
      <c r="X472" s="24" t="n">
        <v>7096.2081473571</v>
      </c>
    </row>
    <row r="474" customFormat="false" ht="11.25" hidden="false" customHeight="false" outlineLevel="0" collapsed="false">
      <c r="A474" s="29" t="s">
        <v>58</v>
      </c>
    </row>
    <row r="475" customFormat="false" ht="11.25" hidden="false" customHeight="false" outlineLevel="0" collapsed="false">
      <c r="A475" s="36" t="n">
        <v>36306</v>
      </c>
    </row>
    <row r="476" customFormat="false" ht="12.75" hidden="false" customHeight="false" outlineLevel="0" collapsed="false">
      <c r="A476" s="10" t="s">
        <v>3</v>
      </c>
      <c r="B476" s="11" t="n">
        <v>44560.9134440195</v>
      </c>
      <c r="C476" s="7"/>
      <c r="D476" s="7"/>
      <c r="E476" s="7"/>
      <c r="F476" s="7"/>
      <c r="G476" s="7"/>
      <c r="H476" s="7"/>
      <c r="I476" s="7"/>
      <c r="J476" s="7"/>
      <c r="K476" s="7"/>
      <c r="L476" s="7"/>
      <c r="M476" s="7"/>
      <c r="N476" s="7"/>
      <c r="O476" s="7"/>
      <c r="P476" s="7"/>
      <c r="Q476" s="7"/>
      <c r="R476" s="7"/>
      <c r="S476" s="7"/>
      <c r="T476" s="7"/>
      <c r="U476" s="7"/>
      <c r="V476" s="7"/>
      <c r="W476" s="7"/>
      <c r="X476" s="7"/>
    </row>
    <row r="477" customFormat="false" ht="12.75" hidden="false" customHeight="false" outlineLevel="0" collapsed="false">
      <c r="A477" s="12" t="s">
        <v>4</v>
      </c>
      <c r="B477" s="13" t="n">
        <v>78887.8150464799</v>
      </c>
      <c r="C477" s="7"/>
      <c r="D477" s="7"/>
      <c r="E477" s="7"/>
      <c r="F477" s="7"/>
      <c r="G477" s="7"/>
      <c r="H477" s="7"/>
      <c r="I477" s="7"/>
      <c r="J477" s="7"/>
      <c r="K477" s="7"/>
      <c r="L477" s="7"/>
      <c r="M477" s="7"/>
      <c r="N477" s="7"/>
      <c r="O477" s="7"/>
      <c r="P477" s="7"/>
      <c r="Q477" s="7"/>
      <c r="R477" s="7"/>
      <c r="S477" s="7"/>
      <c r="T477" s="7"/>
      <c r="U477" s="7"/>
      <c r="V477" s="7"/>
      <c r="W477" s="7"/>
      <c r="X477" s="7"/>
    </row>
    <row r="478" customFormat="false" ht="12.75" hidden="false" customHeight="false" outlineLevel="0" collapsed="false">
      <c r="A478" s="14" t="s">
        <v>5</v>
      </c>
      <c r="B478" s="15" t="s">
        <v>6</v>
      </c>
      <c r="C478" s="15" t="s">
        <v>7</v>
      </c>
      <c r="D478" s="16" t="n">
        <v>2000</v>
      </c>
      <c r="E478" s="17" t="n">
        <v>2001</v>
      </c>
      <c r="F478" s="17" t="n">
        <v>2002</v>
      </c>
      <c r="G478" s="17" t="n">
        <v>2003</v>
      </c>
      <c r="H478" s="17" t="n">
        <v>2004</v>
      </c>
      <c r="I478" s="17" t="n">
        <v>2005</v>
      </c>
      <c r="J478" s="17" t="n">
        <v>2006</v>
      </c>
      <c r="K478" s="17" t="n">
        <v>2007</v>
      </c>
      <c r="L478" s="17" t="n">
        <v>2008</v>
      </c>
      <c r="M478" s="17" t="n">
        <v>2009</v>
      </c>
      <c r="N478" s="18" t="n">
        <v>2010</v>
      </c>
      <c r="O478" s="19" t="n">
        <v>2011</v>
      </c>
      <c r="P478" s="19" t="n">
        <v>2012</v>
      </c>
      <c r="Q478" s="19" t="n">
        <v>2013</v>
      </c>
      <c r="R478" s="19" t="n">
        <v>2014</v>
      </c>
      <c r="S478" s="19" t="n">
        <v>2015</v>
      </c>
      <c r="T478" s="19" t="n">
        <v>2016</v>
      </c>
      <c r="U478" s="19" t="n">
        <v>2017</v>
      </c>
      <c r="V478" s="19" t="n">
        <v>2018</v>
      </c>
      <c r="W478" s="19" t="n">
        <v>2019</v>
      </c>
      <c r="X478" s="19" t="n">
        <v>2020</v>
      </c>
    </row>
    <row r="479" customFormat="false" ht="12.75" hidden="false" customHeight="false" outlineLevel="0" collapsed="false">
      <c r="A479" s="14" t="s">
        <v>8</v>
      </c>
      <c r="B479" s="20" t="n">
        <f aca="false">NPV(0.1,D479:Y479)</f>
        <v>435520.858880618</v>
      </c>
      <c r="C479" s="20" t="n">
        <f aca="false">B479-B469</f>
        <v>-0.000369317480362952</v>
      </c>
      <c r="D479" s="21" t="n">
        <v>34109.1145734405</v>
      </c>
      <c r="E479" s="22" t="n">
        <v>44408.7316050666</v>
      </c>
      <c r="F479" s="22" t="n">
        <v>44505.8148033141</v>
      </c>
      <c r="G479" s="22" t="n">
        <v>48746.6014975629</v>
      </c>
      <c r="H479" s="22" t="n">
        <v>52037.2105949765</v>
      </c>
      <c r="I479" s="22" t="n">
        <v>52504.3686921408</v>
      </c>
      <c r="J479" s="22" t="n">
        <v>52967.6061164966</v>
      </c>
      <c r="K479" s="22" t="n">
        <v>54065.5278011271</v>
      </c>
      <c r="L479" s="22" t="n">
        <v>54538.1315180282</v>
      </c>
      <c r="M479" s="22" t="n">
        <v>55683.1689647046</v>
      </c>
      <c r="N479" s="23" t="n">
        <v>56164.2141493604</v>
      </c>
      <c r="O479" s="24" t="n">
        <v>57358.0340749768</v>
      </c>
      <c r="P479" s="24" t="n">
        <v>57846.7961007687</v>
      </c>
      <c r="Q479" s="24" t="n">
        <v>58327.9948124066</v>
      </c>
      <c r="R479" s="24" t="n">
        <v>58800.7365252181</v>
      </c>
      <c r="S479" s="24" t="n">
        <v>59264.0807404329</v>
      </c>
      <c r="T479" s="24" t="n">
        <v>59717.0381406539</v>
      </c>
      <c r="U479" s="24" t="n">
        <v>60158.5685071877</v>
      </c>
      <c r="V479" s="24" t="n">
        <v>60587.5785563529</v>
      </c>
      <c r="W479" s="24" t="n">
        <v>61002.9196917774</v>
      </c>
      <c r="X479" s="24" t="n">
        <v>25677.5722791214</v>
      </c>
    </row>
    <row r="480" customFormat="false" ht="12.75" hidden="false" customHeight="false" outlineLevel="0" collapsed="false">
      <c r="A480" s="25" t="s">
        <v>9</v>
      </c>
      <c r="B480" s="20" t="n">
        <f aca="false">NPV(0.1,D480:Y480)</f>
        <v>201197.790045915</v>
      </c>
      <c r="C480" s="20" t="n">
        <f aca="false">B480-B470</f>
        <v>-0.000369317480362952</v>
      </c>
      <c r="D480" s="21" t="n">
        <v>21319.9991812052</v>
      </c>
      <c r="E480" s="22" t="n">
        <v>22349.0300481254</v>
      </c>
      <c r="F480" s="22" t="n">
        <v>22512.4875187847</v>
      </c>
      <c r="G480" s="22" t="n">
        <v>22805.2357866158</v>
      </c>
      <c r="H480" s="22" t="n">
        <v>22936.506992576</v>
      </c>
      <c r="I480" s="22" t="n">
        <v>23127.1662955688</v>
      </c>
      <c r="J480" s="22" t="n">
        <v>23323.6818760914</v>
      </c>
      <c r="K480" s="22" t="n">
        <v>23526.4110086297</v>
      </c>
      <c r="L480" s="22" t="n">
        <v>23735.2220151442</v>
      </c>
      <c r="M480" s="22" t="n">
        <v>23950.297351854</v>
      </c>
      <c r="N480" s="23" t="n">
        <v>24171.8249486652</v>
      </c>
      <c r="O480" s="24" t="n">
        <v>24399.9983733807</v>
      </c>
      <c r="P480" s="24" t="n">
        <v>24635.0170008377</v>
      </c>
      <c r="Q480" s="24" t="n">
        <v>24877.0861871184</v>
      </c>
      <c r="R480" s="24" t="n">
        <v>25126.4174489875</v>
      </c>
      <c r="S480" s="24" t="n">
        <v>25383.2286487127</v>
      </c>
      <c r="T480" s="24" t="n">
        <v>25647.7441844296</v>
      </c>
      <c r="U480" s="24" t="n">
        <v>25920.1951862181</v>
      </c>
      <c r="V480" s="24" t="n">
        <v>26200.8197180602</v>
      </c>
      <c r="W480" s="24" t="n">
        <v>26489.8629858575</v>
      </c>
      <c r="X480" s="24" t="n">
        <v>13946.4583363226</v>
      </c>
    </row>
    <row r="481" customFormat="false" ht="12.75" hidden="false" customHeight="false" outlineLevel="0" collapsed="false">
      <c r="A481" s="25" t="s">
        <v>10</v>
      </c>
      <c r="B481" s="20" t="n">
        <f aca="false">NPV(0.1,D481:Y481)</f>
        <v>83908.5534852946</v>
      </c>
      <c r="C481" s="20" t="n">
        <f aca="false">B481-B471</f>
        <v>0.122362062480534</v>
      </c>
      <c r="D481" s="21" t="n">
        <v>333.072425093523</v>
      </c>
      <c r="E481" s="22" t="n">
        <v>4866.87707605512</v>
      </c>
      <c r="F481" s="22" t="n">
        <v>5023.26865898825</v>
      </c>
      <c r="G481" s="22" t="n">
        <v>7685.0589860997</v>
      </c>
      <c r="H481" s="22" t="n">
        <v>9951.98569440078</v>
      </c>
      <c r="I481" s="22" t="n">
        <v>10489.1679520494</v>
      </c>
      <c r="J481" s="22" t="n">
        <v>10979.5193684972</v>
      </c>
      <c r="K481" s="22" t="n">
        <v>11779.1541957361</v>
      </c>
      <c r="L481" s="22" t="n">
        <v>12197.5310538704</v>
      </c>
      <c r="M481" s="22" t="n">
        <v>13180.9151298713</v>
      </c>
      <c r="N481" s="23" t="n">
        <v>13872.9542885949</v>
      </c>
      <c r="O481" s="24" t="n">
        <v>14584.4891544834</v>
      </c>
      <c r="P481" s="24" t="n">
        <v>14898.2680026726</v>
      </c>
      <c r="Q481" s="24" t="n">
        <v>15203.2225605086</v>
      </c>
      <c r="R481" s="24" t="n">
        <v>15498.6854745528</v>
      </c>
      <c r="S481" s="24" t="n">
        <v>15783.9572920219</v>
      </c>
      <c r="T481" s="24" t="n">
        <v>16058.3051354448</v>
      </c>
      <c r="U481" s="24" t="n">
        <v>16481.5223779567</v>
      </c>
      <c r="V481" s="24" t="n">
        <v>16956.4684815534</v>
      </c>
      <c r="W481" s="24" t="n">
        <v>17514.4140372971</v>
      </c>
      <c r="X481" s="24" t="n">
        <v>4329.99963855835</v>
      </c>
    </row>
    <row r="482" customFormat="false" ht="12.75" hidden="false" customHeight="false" outlineLevel="0" collapsed="false">
      <c r="A482" s="25" t="s">
        <v>11</v>
      </c>
      <c r="B482" s="20" t="n">
        <f aca="false">NPV(0.1,D482:Y482)</f>
        <v>89904.4313486214</v>
      </c>
      <c r="C482" s="20" t="n">
        <f aca="false">B482-B472</f>
        <v>-0.156047719618073</v>
      </c>
      <c r="D482" s="26" t="n">
        <v>-1173.33921936177</v>
      </c>
      <c r="E482" s="27" t="n">
        <v>8334.74751390295</v>
      </c>
      <c r="F482" s="27" t="n">
        <v>6794.43450058604</v>
      </c>
      <c r="G482" s="27" t="n">
        <v>9455.16737983391</v>
      </c>
      <c r="H482" s="27" t="n">
        <v>12747.7332135582</v>
      </c>
      <c r="I482" s="27" t="n">
        <v>12393.0092544761</v>
      </c>
      <c r="J482" s="27" t="n">
        <v>11849.922620325</v>
      </c>
      <c r="K482" s="27" t="n">
        <v>12655.7274895013</v>
      </c>
      <c r="L482" s="27" t="n">
        <v>9462.83430569823</v>
      </c>
      <c r="M482" s="27" t="n">
        <v>7991.57842363648</v>
      </c>
      <c r="N482" s="28" t="n">
        <v>17690.1975404228</v>
      </c>
      <c r="O482" s="24" t="n">
        <v>17749.6424482486</v>
      </c>
      <c r="P482" s="24" t="n">
        <v>18057.2512545005</v>
      </c>
      <c r="Q482" s="24" t="n">
        <v>18368.3758542738</v>
      </c>
      <c r="R482" s="24" t="n">
        <v>18657.6687263807</v>
      </c>
      <c r="S482" s="24" t="n">
        <v>17122.7781723352</v>
      </c>
      <c r="T482" s="24" t="n">
        <v>12285.6636442435</v>
      </c>
      <c r="U482" s="24" t="n">
        <v>11392.3608867554</v>
      </c>
      <c r="V482" s="24" t="n">
        <v>9892.52699035216</v>
      </c>
      <c r="W482" s="24" t="n">
        <v>9133.95254609589</v>
      </c>
      <c r="X482" s="24" t="n">
        <v>7096.2081473571</v>
      </c>
    </row>
    <row r="484" customFormat="false" ht="11.25" hidden="false" customHeight="false" outlineLevel="0" collapsed="false">
      <c r="A484" s="29" t="s">
        <v>59</v>
      </c>
    </row>
    <row r="485" customFormat="false" ht="11.25" hidden="false" customHeight="false" outlineLevel="0" collapsed="false">
      <c r="A485" s="36" t="n">
        <v>36314</v>
      </c>
    </row>
    <row r="486" customFormat="false" ht="12.75" hidden="false" customHeight="false" outlineLevel="0" collapsed="false">
      <c r="A486" s="10" t="s">
        <v>3</v>
      </c>
      <c r="B486" s="11" t="n">
        <v>44400.5723416149</v>
      </c>
      <c r="C486" s="7"/>
      <c r="D486" s="7"/>
      <c r="E486" s="7"/>
      <c r="F486" s="7"/>
      <c r="G486" s="7"/>
      <c r="H486" s="7"/>
      <c r="I486" s="7"/>
      <c r="J486" s="7"/>
      <c r="K486" s="7"/>
      <c r="L486" s="7"/>
      <c r="M486" s="7"/>
      <c r="N486" s="7"/>
      <c r="O486" s="7"/>
      <c r="P486" s="7"/>
      <c r="Q486" s="7"/>
      <c r="R486" s="7"/>
      <c r="S486" s="7"/>
      <c r="T486" s="7"/>
      <c r="U486" s="7"/>
      <c r="V486" s="7"/>
      <c r="W486" s="7"/>
      <c r="X486" s="7"/>
    </row>
    <row r="487" customFormat="false" ht="12.75" hidden="false" customHeight="false" outlineLevel="0" collapsed="false">
      <c r="A487" s="12" t="s">
        <v>4</v>
      </c>
      <c r="B487" s="13" t="n">
        <v>78693.8790464798</v>
      </c>
      <c r="C487" s="7"/>
      <c r="D487" s="7"/>
      <c r="E487" s="7"/>
      <c r="F487" s="7"/>
      <c r="G487" s="7"/>
      <c r="H487" s="7"/>
      <c r="I487" s="7"/>
      <c r="J487" s="7"/>
      <c r="K487" s="7"/>
      <c r="L487" s="7"/>
      <c r="M487" s="7"/>
      <c r="N487" s="7"/>
      <c r="O487" s="7"/>
      <c r="P487" s="7"/>
      <c r="Q487" s="7"/>
      <c r="R487" s="7"/>
      <c r="S487" s="7"/>
      <c r="T487" s="7"/>
      <c r="U487" s="7"/>
      <c r="V487" s="7"/>
      <c r="W487" s="7"/>
      <c r="X487" s="7"/>
    </row>
    <row r="488" customFormat="false" ht="12.75" hidden="false" customHeight="false" outlineLevel="0" collapsed="false">
      <c r="A488" s="14" t="s">
        <v>5</v>
      </c>
      <c r="B488" s="15" t="s">
        <v>6</v>
      </c>
      <c r="C488" s="15" t="s">
        <v>7</v>
      </c>
      <c r="D488" s="16" t="n">
        <v>2000</v>
      </c>
      <c r="E488" s="17" t="n">
        <v>2001</v>
      </c>
      <c r="F488" s="17" t="n">
        <v>2002</v>
      </c>
      <c r="G488" s="17" t="n">
        <v>2003</v>
      </c>
      <c r="H488" s="17" t="n">
        <v>2004</v>
      </c>
      <c r="I488" s="17" t="n">
        <v>2005</v>
      </c>
      <c r="J488" s="17" t="n">
        <v>2006</v>
      </c>
      <c r="K488" s="17" t="n">
        <v>2007</v>
      </c>
      <c r="L488" s="17" t="n">
        <v>2008</v>
      </c>
      <c r="M488" s="17" t="n">
        <v>2009</v>
      </c>
      <c r="N488" s="18" t="n">
        <v>2010</v>
      </c>
      <c r="O488" s="19" t="n">
        <v>2011</v>
      </c>
      <c r="P488" s="19" t="n">
        <v>2012</v>
      </c>
      <c r="Q488" s="19" t="n">
        <v>2013</v>
      </c>
      <c r="R488" s="19" t="n">
        <v>2014</v>
      </c>
      <c r="S488" s="19" t="n">
        <v>2015</v>
      </c>
      <c r="T488" s="19" t="n">
        <v>2016</v>
      </c>
      <c r="U488" s="19" t="n">
        <v>2017</v>
      </c>
      <c r="V488" s="19" t="n">
        <v>2018</v>
      </c>
      <c r="W488" s="19" t="n">
        <v>2019</v>
      </c>
      <c r="X488" s="19" t="n">
        <v>2020</v>
      </c>
    </row>
    <row r="489" customFormat="false" ht="12.75" hidden="false" customHeight="false" outlineLevel="0" collapsed="false">
      <c r="A489" s="14" t="s">
        <v>8</v>
      </c>
      <c r="B489" s="20" t="n">
        <f aca="false">NPV(0.1,D489:Y489)</f>
        <v>435520.945487577</v>
      </c>
      <c r="C489" s="20" t="n">
        <f aca="false">B489-B479</f>
        <v>0.0866069588228129</v>
      </c>
      <c r="D489" s="21" t="n">
        <v>34109.1206824245</v>
      </c>
      <c r="E489" s="22" t="n">
        <v>44408.7420776106</v>
      </c>
      <c r="F489" s="22" t="n">
        <v>44505.8252758581</v>
      </c>
      <c r="G489" s="22" t="n">
        <v>48746.6119701069</v>
      </c>
      <c r="H489" s="22" t="n">
        <v>52037.2210675205</v>
      </c>
      <c r="I489" s="22" t="n">
        <v>52504.3791646848</v>
      </c>
      <c r="J489" s="22" t="n">
        <v>52967.6165890406</v>
      </c>
      <c r="K489" s="22" t="n">
        <v>54065.5382736711</v>
      </c>
      <c r="L489" s="22" t="n">
        <v>54538.1419905722</v>
      </c>
      <c r="M489" s="22" t="n">
        <v>55683.1794372486</v>
      </c>
      <c r="N489" s="23" t="n">
        <v>56164.2246219044</v>
      </c>
      <c r="O489" s="24" t="n">
        <v>57358.0445475208</v>
      </c>
      <c r="P489" s="24" t="n">
        <v>57846.8065733127</v>
      </c>
      <c r="Q489" s="24" t="n">
        <v>58328.0052849506</v>
      </c>
      <c r="R489" s="24" t="n">
        <v>58800.7469977621</v>
      </c>
      <c r="S489" s="24" t="n">
        <v>59264.0912129769</v>
      </c>
      <c r="T489" s="24" t="n">
        <v>59717.0486131979</v>
      </c>
      <c r="U489" s="24" t="n">
        <v>60158.5789797317</v>
      </c>
      <c r="V489" s="24" t="n">
        <v>60587.5890288969</v>
      </c>
      <c r="W489" s="24" t="n">
        <v>61002.9301643214</v>
      </c>
      <c r="X489" s="24" t="n">
        <v>25677.5827516654</v>
      </c>
    </row>
    <row r="490" customFormat="false" ht="12.75" hidden="false" customHeight="false" outlineLevel="0" collapsed="false">
      <c r="A490" s="25" t="s">
        <v>9</v>
      </c>
      <c r="B490" s="20" t="n">
        <f aca="false">NPV(0.1,D490:Y490)</f>
        <v>201197.876652874</v>
      </c>
      <c r="C490" s="20" t="n">
        <f aca="false">B490-B480</f>
        <v>0.0866069587646052</v>
      </c>
      <c r="D490" s="21" t="n">
        <v>21320.0052901892</v>
      </c>
      <c r="E490" s="22" t="n">
        <v>22349.0405206694</v>
      </c>
      <c r="F490" s="22" t="n">
        <v>22512.4979913287</v>
      </c>
      <c r="G490" s="22" t="n">
        <v>22805.2462591598</v>
      </c>
      <c r="H490" s="22" t="n">
        <v>22936.51746512</v>
      </c>
      <c r="I490" s="22" t="n">
        <v>23127.1767681128</v>
      </c>
      <c r="J490" s="22" t="n">
        <v>23323.6923486354</v>
      </c>
      <c r="K490" s="22" t="n">
        <v>23526.4214811737</v>
      </c>
      <c r="L490" s="22" t="n">
        <v>23735.2324876882</v>
      </c>
      <c r="M490" s="22" t="n">
        <v>23950.307824398</v>
      </c>
      <c r="N490" s="23" t="n">
        <v>24171.8354212092</v>
      </c>
      <c r="O490" s="24" t="n">
        <v>24400.0088459247</v>
      </c>
      <c r="P490" s="24" t="n">
        <v>24635.0274733817</v>
      </c>
      <c r="Q490" s="24" t="n">
        <v>24877.0966596624</v>
      </c>
      <c r="R490" s="24" t="n">
        <v>25126.4279215315</v>
      </c>
      <c r="S490" s="24" t="n">
        <v>25383.2391212567</v>
      </c>
      <c r="T490" s="24" t="n">
        <v>25647.7546569736</v>
      </c>
      <c r="U490" s="24" t="n">
        <v>25920.2056587621</v>
      </c>
      <c r="V490" s="24" t="n">
        <v>26200.8301906042</v>
      </c>
      <c r="W490" s="24" t="n">
        <v>26489.8734584015</v>
      </c>
      <c r="X490" s="24" t="n">
        <v>13946.4688088666</v>
      </c>
    </row>
    <row r="491" customFormat="false" ht="12.75" hidden="false" customHeight="false" outlineLevel="0" collapsed="false">
      <c r="A491" s="25" t="s">
        <v>10</v>
      </c>
      <c r="B491" s="20" t="n">
        <f aca="false">NPV(0.1,D491:Y491)</f>
        <v>83879.8589158284</v>
      </c>
      <c r="C491" s="20" t="n">
        <f aca="false">B491-B481</f>
        <v>-28.694569466199</v>
      </c>
      <c r="D491" s="21" t="n">
        <v>331.048399908525</v>
      </c>
      <c r="E491" s="22" t="n">
        <v>4863.40731859512</v>
      </c>
      <c r="F491" s="22" t="n">
        <v>5019.79890152824</v>
      </c>
      <c r="G491" s="22" t="n">
        <v>7681.5892286397</v>
      </c>
      <c r="H491" s="22" t="n">
        <v>9948.51593694079</v>
      </c>
      <c r="I491" s="22" t="n">
        <v>10485.6981945894</v>
      </c>
      <c r="J491" s="22" t="n">
        <v>10976.0496110372</v>
      </c>
      <c r="K491" s="22" t="n">
        <v>11775.6844382761</v>
      </c>
      <c r="L491" s="22" t="n">
        <v>12194.0612964104</v>
      </c>
      <c r="M491" s="22" t="n">
        <v>13177.4453724113</v>
      </c>
      <c r="N491" s="23" t="n">
        <v>13869.4845311349</v>
      </c>
      <c r="O491" s="24" t="n">
        <v>14581.0193970234</v>
      </c>
      <c r="P491" s="24" t="n">
        <v>14894.7982452126</v>
      </c>
      <c r="Q491" s="24" t="n">
        <v>15199.7528030486</v>
      </c>
      <c r="R491" s="24" t="n">
        <v>15495.2157170928</v>
      </c>
      <c r="S491" s="24" t="n">
        <v>15780.4875345619</v>
      </c>
      <c r="T491" s="24" t="n">
        <v>16054.8353779848</v>
      </c>
      <c r="U491" s="24" t="n">
        <v>16478.0526204967</v>
      </c>
      <c r="V491" s="24" t="n">
        <v>16952.9987240934</v>
      </c>
      <c r="W491" s="24" t="n">
        <v>17510.9442798371</v>
      </c>
      <c r="X491" s="24" t="n">
        <v>4326.52988109835</v>
      </c>
    </row>
    <row r="492" customFormat="false" ht="12.75" hidden="false" customHeight="false" outlineLevel="0" collapsed="false">
      <c r="A492" s="25" t="s">
        <v>11</v>
      </c>
      <c r="B492" s="20" t="n">
        <f aca="false">NPV(0.1,D492:Y492)</f>
        <v>89941.0253879791</v>
      </c>
      <c r="C492" s="20" t="n">
        <f aca="false">B492-B482</f>
        <v>36.5940393576602</v>
      </c>
      <c r="D492" s="26" t="n">
        <v>-1173.33921936176</v>
      </c>
      <c r="E492" s="27" t="n">
        <v>8334.74751390294</v>
      </c>
      <c r="F492" s="27" t="n">
        <v>6794.43450058603</v>
      </c>
      <c r="G492" s="27" t="n">
        <v>9455.16737983392</v>
      </c>
      <c r="H492" s="27" t="n">
        <v>12777.2281446606</v>
      </c>
      <c r="I492" s="27" t="n">
        <v>12397.8859376175</v>
      </c>
      <c r="J492" s="27" t="n">
        <v>11854.540987987</v>
      </c>
      <c r="K492" s="27" t="n">
        <v>12660.3536849051</v>
      </c>
      <c r="L492" s="27" t="n">
        <v>9467.45267336023</v>
      </c>
      <c r="M492" s="27" t="n">
        <v>7996.20461904028</v>
      </c>
      <c r="N492" s="28" t="n">
        <v>17694.8159080848</v>
      </c>
      <c r="O492" s="24" t="n">
        <v>17754.2686436524</v>
      </c>
      <c r="P492" s="24" t="n">
        <v>18061.8696221625</v>
      </c>
      <c r="Q492" s="24" t="n">
        <v>18373.0020496776</v>
      </c>
      <c r="R492" s="24" t="n">
        <v>18662.2870940427</v>
      </c>
      <c r="S492" s="24" t="n">
        <v>17125.0873561662</v>
      </c>
      <c r="T492" s="24" t="n">
        <v>12285.6636442435</v>
      </c>
      <c r="U492" s="24" t="n">
        <v>11392.3608867554</v>
      </c>
      <c r="V492" s="24" t="n">
        <v>9892.52699035215</v>
      </c>
      <c r="W492" s="24" t="n">
        <v>9133.95254609589</v>
      </c>
      <c r="X492" s="24" t="n">
        <v>7096.2081473571</v>
      </c>
    </row>
    <row r="494" customFormat="false" ht="11.25" hidden="false" customHeight="false" outlineLevel="0" collapsed="false">
      <c r="A494" s="29" t="s">
        <v>60</v>
      </c>
    </row>
    <row r="495" customFormat="false" ht="11.25" hidden="false" customHeight="false" outlineLevel="0" collapsed="false">
      <c r="A495" s="36" t="n">
        <v>36314</v>
      </c>
    </row>
    <row r="496" customFormat="false" ht="12.75" hidden="false" customHeight="false" outlineLevel="0" collapsed="false">
      <c r="A496" s="10" t="s">
        <v>3</v>
      </c>
      <c r="B496" s="11" t="n">
        <v>44449.1672087809</v>
      </c>
      <c r="C496" s="7"/>
      <c r="D496" s="7"/>
      <c r="E496" s="7"/>
      <c r="F496" s="7"/>
      <c r="G496" s="7"/>
      <c r="H496" s="7"/>
      <c r="I496" s="7"/>
      <c r="J496" s="7"/>
      <c r="K496" s="7"/>
      <c r="L496" s="7"/>
      <c r="M496" s="7"/>
      <c r="N496" s="7"/>
      <c r="O496" s="7"/>
      <c r="P496" s="7"/>
      <c r="Q496" s="7"/>
      <c r="R496" s="7"/>
      <c r="S496" s="7"/>
      <c r="T496" s="7"/>
      <c r="U496" s="7"/>
      <c r="V496" s="7"/>
      <c r="W496" s="7"/>
      <c r="X496" s="7"/>
    </row>
    <row r="497" customFormat="false" ht="12.75" hidden="false" customHeight="false" outlineLevel="0" collapsed="false">
      <c r="A497" s="12" t="s">
        <v>4</v>
      </c>
      <c r="B497" s="13" t="n">
        <v>78775.3627893696</v>
      </c>
      <c r="C497" s="7"/>
      <c r="D497" s="7"/>
      <c r="E497" s="7"/>
      <c r="F497" s="7"/>
      <c r="G497" s="7"/>
      <c r="H497" s="7"/>
      <c r="I497" s="7"/>
      <c r="J497" s="7"/>
      <c r="K497" s="7"/>
      <c r="L497" s="7"/>
      <c r="M497" s="7"/>
      <c r="N497" s="7"/>
      <c r="O497" s="7"/>
      <c r="P497" s="7"/>
      <c r="Q497" s="7"/>
      <c r="R497" s="7"/>
      <c r="S497" s="7"/>
      <c r="T497" s="7"/>
      <c r="U497" s="7"/>
      <c r="V497" s="7"/>
      <c r="W497" s="7"/>
      <c r="X497" s="7"/>
    </row>
    <row r="498" customFormat="false" ht="12.75" hidden="false" customHeight="false" outlineLevel="0" collapsed="false">
      <c r="A498" s="14" t="s">
        <v>5</v>
      </c>
      <c r="B498" s="15" t="s">
        <v>6</v>
      </c>
      <c r="C498" s="15" t="s">
        <v>7</v>
      </c>
      <c r="D498" s="16" t="n">
        <v>2000</v>
      </c>
      <c r="E498" s="17" t="n">
        <v>2001</v>
      </c>
      <c r="F498" s="17" t="n">
        <v>2002</v>
      </c>
      <c r="G498" s="17" t="n">
        <v>2003</v>
      </c>
      <c r="H498" s="17" t="n">
        <v>2004</v>
      </c>
      <c r="I498" s="17" t="n">
        <v>2005</v>
      </c>
      <c r="J498" s="17" t="n">
        <v>2006</v>
      </c>
      <c r="K498" s="17" t="n">
        <v>2007</v>
      </c>
      <c r="L498" s="17" t="n">
        <v>2008</v>
      </c>
      <c r="M498" s="17" t="n">
        <v>2009</v>
      </c>
      <c r="N498" s="18" t="n">
        <v>2010</v>
      </c>
      <c r="O498" s="19" t="n">
        <v>2011</v>
      </c>
      <c r="P498" s="19" t="n">
        <v>2012</v>
      </c>
      <c r="Q498" s="19" t="n">
        <v>2013</v>
      </c>
      <c r="R498" s="19" t="n">
        <v>2014</v>
      </c>
      <c r="S498" s="19" t="n">
        <v>2015</v>
      </c>
      <c r="T498" s="19" t="n">
        <v>2016</v>
      </c>
      <c r="U498" s="19" t="n">
        <v>2017</v>
      </c>
      <c r="V498" s="19" t="n">
        <v>2018</v>
      </c>
      <c r="W498" s="19" t="n">
        <v>2019</v>
      </c>
      <c r="X498" s="19" t="n">
        <v>2020</v>
      </c>
    </row>
    <row r="499" customFormat="false" ht="12.75" hidden="false" customHeight="false" outlineLevel="0" collapsed="false">
      <c r="A499" s="14" t="s">
        <v>8</v>
      </c>
      <c r="B499" s="20" t="n">
        <f aca="false">NPV(0.1,D499:Y499)</f>
        <v>435633.195390129</v>
      </c>
      <c r="C499" s="20" t="n">
        <f aca="false">B499-B489</f>
        <v>112.249902552227</v>
      </c>
      <c r="D499" s="21" t="n">
        <v>34109.1206824245</v>
      </c>
      <c r="E499" s="22" t="n">
        <v>44408.7420776106</v>
      </c>
      <c r="F499" s="22" t="n">
        <v>44505.8252758581</v>
      </c>
      <c r="G499" s="22" t="n">
        <v>48746.6119701069</v>
      </c>
      <c r="H499" s="22" t="n">
        <v>52037.2210675205</v>
      </c>
      <c r="I499" s="22" t="n">
        <v>52504.3791646848</v>
      </c>
      <c r="J499" s="22" t="n">
        <v>52967.6165890406</v>
      </c>
      <c r="K499" s="22" t="n">
        <v>54065.5382736711</v>
      </c>
      <c r="L499" s="22" t="n">
        <v>54538.1419905722</v>
      </c>
      <c r="M499" s="22" t="n">
        <v>55683.1794372486</v>
      </c>
      <c r="N499" s="23" t="n">
        <v>56164.2246219044</v>
      </c>
      <c r="O499" s="24" t="n">
        <v>57358.0445475208</v>
      </c>
      <c r="P499" s="24" t="n">
        <v>57846.8065733127</v>
      </c>
      <c r="Q499" s="24" t="n">
        <v>58328.0052849506</v>
      </c>
      <c r="R499" s="24" t="n">
        <v>58800.7469977621</v>
      </c>
      <c r="S499" s="24" t="n">
        <v>59264.0912129769</v>
      </c>
      <c r="T499" s="24" t="n">
        <v>59717.0486131979</v>
      </c>
      <c r="U499" s="24" t="n">
        <v>60158.5789797317</v>
      </c>
      <c r="V499" s="24" t="n">
        <v>60587.5890288969</v>
      </c>
      <c r="W499" s="24" t="n">
        <v>61002.9301643214</v>
      </c>
      <c r="X499" s="24" t="n">
        <v>26508.2600867709</v>
      </c>
    </row>
    <row r="500" customFormat="false" ht="12.75" hidden="false" customHeight="false" outlineLevel="0" collapsed="false">
      <c r="A500" s="25" t="s">
        <v>9</v>
      </c>
      <c r="B500" s="20" t="n">
        <f aca="false">NPV(0.1,D500:Y500)</f>
        <v>201197.876652874</v>
      </c>
      <c r="C500" s="20" t="n">
        <f aca="false">B500-B490</f>
        <v>0</v>
      </c>
      <c r="D500" s="21" t="n">
        <v>21320.0052901892</v>
      </c>
      <c r="E500" s="22" t="n">
        <v>22349.0405206694</v>
      </c>
      <c r="F500" s="22" t="n">
        <v>22512.4979913287</v>
      </c>
      <c r="G500" s="22" t="n">
        <v>22805.2462591598</v>
      </c>
      <c r="H500" s="22" t="n">
        <v>22936.51746512</v>
      </c>
      <c r="I500" s="22" t="n">
        <v>23127.1767681128</v>
      </c>
      <c r="J500" s="22" t="n">
        <v>23323.6923486354</v>
      </c>
      <c r="K500" s="22" t="n">
        <v>23526.4214811737</v>
      </c>
      <c r="L500" s="22" t="n">
        <v>23735.2324876882</v>
      </c>
      <c r="M500" s="22" t="n">
        <v>23950.307824398</v>
      </c>
      <c r="N500" s="23" t="n">
        <v>24171.8354212092</v>
      </c>
      <c r="O500" s="24" t="n">
        <v>24400.0088459247</v>
      </c>
      <c r="P500" s="24" t="n">
        <v>24635.0274733817</v>
      </c>
      <c r="Q500" s="24" t="n">
        <v>24877.0966596624</v>
      </c>
      <c r="R500" s="24" t="n">
        <v>25126.4279215315</v>
      </c>
      <c r="S500" s="24" t="n">
        <v>25383.2391212567</v>
      </c>
      <c r="T500" s="24" t="n">
        <v>25647.7546569736</v>
      </c>
      <c r="U500" s="24" t="n">
        <v>25920.2056587621</v>
      </c>
      <c r="V500" s="24" t="n">
        <v>26200.8301906042</v>
      </c>
      <c r="W500" s="24" t="n">
        <v>26489.8734584015</v>
      </c>
      <c r="X500" s="24" t="n">
        <v>13946.4688088666</v>
      </c>
    </row>
    <row r="501" customFormat="false" ht="12.75" hidden="false" customHeight="false" outlineLevel="0" collapsed="false">
      <c r="A501" s="25" t="s">
        <v>10</v>
      </c>
      <c r="B501" s="20" t="n">
        <f aca="false">NPV(0.1,D501:Y501)</f>
        <v>83947.6387394084</v>
      </c>
      <c r="C501" s="20" t="n">
        <f aca="false">B501-B491</f>
        <v>67.7798235800437</v>
      </c>
      <c r="D501" s="21" t="n">
        <v>331.048399908525</v>
      </c>
      <c r="E501" s="22" t="n">
        <v>4863.40731859512</v>
      </c>
      <c r="F501" s="22" t="n">
        <v>5019.79890152824</v>
      </c>
      <c r="G501" s="22" t="n">
        <v>7681.5892286397</v>
      </c>
      <c r="H501" s="22" t="n">
        <v>9948.51593694079</v>
      </c>
      <c r="I501" s="22" t="n">
        <v>10485.6981945894</v>
      </c>
      <c r="J501" s="22" t="n">
        <v>10976.0496110372</v>
      </c>
      <c r="K501" s="22" t="n">
        <v>11775.6844382761</v>
      </c>
      <c r="L501" s="22" t="n">
        <v>12194.0612964104</v>
      </c>
      <c r="M501" s="22" t="n">
        <v>13177.4453724113</v>
      </c>
      <c r="N501" s="23" t="n">
        <v>13869.4845311349</v>
      </c>
      <c r="O501" s="24" t="n">
        <v>14581.0193970234</v>
      </c>
      <c r="P501" s="24" t="n">
        <v>14894.7982452126</v>
      </c>
      <c r="Q501" s="24" t="n">
        <v>15199.7528030486</v>
      </c>
      <c r="R501" s="24" t="n">
        <v>15495.2157170928</v>
      </c>
      <c r="S501" s="24" t="n">
        <v>15780.4875345619</v>
      </c>
      <c r="T501" s="24" t="n">
        <v>16054.8353779848</v>
      </c>
      <c r="U501" s="24" t="n">
        <v>16478.0526204967</v>
      </c>
      <c r="V501" s="24" t="n">
        <v>16952.9987240934</v>
      </c>
      <c r="W501" s="24" t="n">
        <v>17510.9442798371</v>
      </c>
      <c r="X501" s="24" t="n">
        <v>4828.1175167684</v>
      </c>
    </row>
    <row r="502" customFormat="false" ht="12.75" hidden="false" customHeight="false" outlineLevel="0" collapsed="false">
      <c r="A502" s="25" t="s">
        <v>11</v>
      </c>
      <c r="B502" s="20" t="n">
        <f aca="false">NPV(0.1,D502:Y502)</f>
        <v>90008.8052115591</v>
      </c>
      <c r="C502" s="20" t="n">
        <f aca="false">B502-B492</f>
        <v>67.7798235800437</v>
      </c>
      <c r="D502" s="26" t="n">
        <v>-1173.33921936176</v>
      </c>
      <c r="E502" s="27" t="n">
        <v>8334.74751390294</v>
      </c>
      <c r="F502" s="27" t="n">
        <v>6794.43450058603</v>
      </c>
      <c r="G502" s="27" t="n">
        <v>9455.16737983392</v>
      </c>
      <c r="H502" s="27" t="n">
        <v>12777.2281446606</v>
      </c>
      <c r="I502" s="27" t="n">
        <v>12397.8859376175</v>
      </c>
      <c r="J502" s="27" t="n">
        <v>11854.540987987</v>
      </c>
      <c r="K502" s="27" t="n">
        <v>12660.3536849051</v>
      </c>
      <c r="L502" s="27" t="n">
        <v>9467.45267336023</v>
      </c>
      <c r="M502" s="27" t="n">
        <v>7996.20461904028</v>
      </c>
      <c r="N502" s="28" t="n">
        <v>17694.8159080848</v>
      </c>
      <c r="O502" s="24" t="n">
        <v>17754.2686436524</v>
      </c>
      <c r="P502" s="24" t="n">
        <v>18061.8696221625</v>
      </c>
      <c r="Q502" s="24" t="n">
        <v>18373.0020496776</v>
      </c>
      <c r="R502" s="24" t="n">
        <v>18662.2870940427</v>
      </c>
      <c r="S502" s="24" t="n">
        <v>17125.0873561662</v>
      </c>
      <c r="T502" s="24" t="n">
        <v>12285.6636442435</v>
      </c>
      <c r="U502" s="24" t="n">
        <v>11392.3608867554</v>
      </c>
      <c r="V502" s="24" t="n">
        <v>9892.52699035215</v>
      </c>
      <c r="W502" s="24" t="n">
        <v>9133.95254609589</v>
      </c>
      <c r="X502" s="24" t="n">
        <v>7597.79578302715</v>
      </c>
    </row>
    <row r="504" customFormat="false" ht="11.25" hidden="false" customHeight="false" outlineLevel="0" collapsed="false">
      <c r="A504" s="29" t="s">
        <v>61</v>
      </c>
    </row>
    <row r="505" customFormat="false" ht="11.25" hidden="false" customHeight="false" outlineLevel="0" collapsed="false">
      <c r="A505" s="36" t="n">
        <v>36317</v>
      </c>
    </row>
    <row r="506" customFormat="false" ht="12.75" hidden="false" customHeight="false" outlineLevel="0" collapsed="false">
      <c r="A506" s="10" t="s">
        <v>3</v>
      </c>
      <c r="B506" s="11" t="n">
        <v>44449.1672087809</v>
      </c>
      <c r="C506" s="7"/>
      <c r="D506" s="7"/>
      <c r="E506" s="7"/>
      <c r="F506" s="7"/>
      <c r="G506" s="7"/>
      <c r="H506" s="7"/>
      <c r="I506" s="7"/>
      <c r="J506" s="7"/>
      <c r="K506" s="7"/>
      <c r="L506" s="7"/>
      <c r="M506" s="7"/>
      <c r="N506" s="7"/>
      <c r="O506" s="7"/>
      <c r="P506" s="7"/>
      <c r="Q506" s="7"/>
      <c r="R506" s="7"/>
      <c r="S506" s="7"/>
      <c r="T506" s="7"/>
      <c r="U506" s="7"/>
      <c r="V506" s="7"/>
      <c r="W506" s="7"/>
      <c r="X506" s="7"/>
    </row>
    <row r="507" customFormat="false" ht="12.75" hidden="false" customHeight="false" outlineLevel="0" collapsed="false">
      <c r="A507" s="12" t="s">
        <v>4</v>
      </c>
      <c r="B507" s="13" t="n">
        <v>78775.3627893697</v>
      </c>
      <c r="C507" s="7"/>
      <c r="D507" s="7"/>
      <c r="E507" s="7"/>
      <c r="F507" s="7"/>
      <c r="G507" s="7"/>
      <c r="H507" s="7"/>
      <c r="I507" s="7"/>
      <c r="J507" s="7"/>
      <c r="K507" s="7"/>
      <c r="L507" s="7"/>
      <c r="M507" s="7"/>
      <c r="N507" s="7"/>
      <c r="O507" s="7"/>
      <c r="P507" s="7"/>
      <c r="Q507" s="7"/>
      <c r="R507" s="7"/>
      <c r="S507" s="7"/>
      <c r="T507" s="7"/>
      <c r="U507" s="7"/>
      <c r="V507" s="7"/>
      <c r="W507" s="7"/>
      <c r="X507" s="7"/>
    </row>
    <row r="508" customFormat="false" ht="12.75" hidden="false" customHeight="false" outlineLevel="0" collapsed="false">
      <c r="A508" s="14" t="s">
        <v>5</v>
      </c>
      <c r="B508" s="15" t="s">
        <v>6</v>
      </c>
      <c r="C508" s="15" t="s">
        <v>7</v>
      </c>
      <c r="D508" s="16" t="n">
        <v>2000</v>
      </c>
      <c r="E508" s="17" t="n">
        <v>2001</v>
      </c>
      <c r="F508" s="17" t="n">
        <v>2002</v>
      </c>
      <c r="G508" s="17" t="n">
        <v>2003</v>
      </c>
      <c r="H508" s="17" t="n">
        <v>2004</v>
      </c>
      <c r="I508" s="17" t="n">
        <v>2005</v>
      </c>
      <c r="J508" s="17" t="n">
        <v>2006</v>
      </c>
      <c r="K508" s="17" t="n">
        <v>2007</v>
      </c>
      <c r="L508" s="17" t="n">
        <v>2008</v>
      </c>
      <c r="M508" s="17" t="n">
        <v>2009</v>
      </c>
      <c r="N508" s="18" t="n">
        <v>2010</v>
      </c>
      <c r="O508" s="19" t="n">
        <v>2011</v>
      </c>
      <c r="P508" s="19" t="n">
        <v>2012</v>
      </c>
      <c r="Q508" s="19" t="n">
        <v>2013</v>
      </c>
      <c r="R508" s="19" t="n">
        <v>2014</v>
      </c>
      <c r="S508" s="19" t="n">
        <v>2015</v>
      </c>
      <c r="T508" s="19" t="n">
        <v>2016</v>
      </c>
      <c r="U508" s="19" t="n">
        <v>2017</v>
      </c>
      <c r="V508" s="19" t="n">
        <v>2018</v>
      </c>
      <c r="W508" s="19" t="n">
        <v>2019</v>
      </c>
      <c r="X508" s="19" t="n">
        <v>2020</v>
      </c>
    </row>
    <row r="509" customFormat="false" ht="12.75" hidden="false" customHeight="false" outlineLevel="0" collapsed="false">
      <c r="A509" s="14" t="s">
        <v>8</v>
      </c>
      <c r="B509" s="20" t="n">
        <f aca="false">NPV(0.1,D509:Y509)</f>
        <v>437078.738686202</v>
      </c>
      <c r="C509" s="20" t="n">
        <f aca="false">B509-B499</f>
        <v>1445.54329607304</v>
      </c>
      <c r="D509" s="21" t="n">
        <v>34276.2607439745</v>
      </c>
      <c r="E509" s="22" t="n">
        <v>44575.8821391606</v>
      </c>
      <c r="F509" s="22" t="n">
        <v>44672.9653374081</v>
      </c>
      <c r="G509" s="22" t="n">
        <v>48913.7520316569</v>
      </c>
      <c r="H509" s="22" t="n">
        <v>52204.3611290705</v>
      </c>
      <c r="I509" s="22" t="n">
        <v>52671.5192262348</v>
      </c>
      <c r="J509" s="22" t="n">
        <v>53134.7566505906</v>
      </c>
      <c r="K509" s="22" t="n">
        <v>54232.6783352211</v>
      </c>
      <c r="L509" s="22" t="n">
        <v>54705.2820521222</v>
      </c>
      <c r="M509" s="22" t="n">
        <v>55850.3194987986</v>
      </c>
      <c r="N509" s="23" t="n">
        <v>56331.3646834544</v>
      </c>
      <c r="O509" s="24" t="n">
        <v>57525.1846090708</v>
      </c>
      <c r="P509" s="24" t="n">
        <v>58013.9466348627</v>
      </c>
      <c r="Q509" s="24" t="n">
        <v>58495.1453465006</v>
      </c>
      <c r="R509" s="24" t="n">
        <v>58967.8870593121</v>
      </c>
      <c r="S509" s="24" t="n">
        <v>59431.2312745269</v>
      </c>
      <c r="T509" s="24" t="n">
        <v>59884.1886747479</v>
      </c>
      <c r="U509" s="24" t="n">
        <v>60325.7190412817</v>
      </c>
      <c r="V509" s="24" t="n">
        <v>60754.7290904469</v>
      </c>
      <c r="W509" s="24" t="n">
        <v>61170.0702258714</v>
      </c>
      <c r="X509" s="24" t="n">
        <v>26675.4001483209</v>
      </c>
    </row>
    <row r="510" customFormat="false" ht="12.75" hidden="false" customHeight="false" outlineLevel="0" collapsed="false">
      <c r="A510" s="25" t="s">
        <v>9</v>
      </c>
      <c r="B510" s="20" t="n">
        <f aca="false">NPV(0.1,D510:Y510)</f>
        <v>202643.419948947</v>
      </c>
      <c r="C510" s="20" t="n">
        <f aca="false">B510-B500</f>
        <v>1445.54329607301</v>
      </c>
      <c r="D510" s="21" t="n">
        <v>21487.1453517392</v>
      </c>
      <c r="E510" s="22" t="n">
        <v>22516.1805822194</v>
      </c>
      <c r="F510" s="22" t="n">
        <v>22679.6380528787</v>
      </c>
      <c r="G510" s="22" t="n">
        <v>22972.3863207098</v>
      </c>
      <c r="H510" s="22" t="n">
        <v>23103.65752667</v>
      </c>
      <c r="I510" s="22" t="n">
        <v>23294.3168296628</v>
      </c>
      <c r="J510" s="22" t="n">
        <v>23490.8324101854</v>
      </c>
      <c r="K510" s="22" t="n">
        <v>23693.5615427237</v>
      </c>
      <c r="L510" s="22" t="n">
        <v>23902.3725492382</v>
      </c>
      <c r="M510" s="22" t="n">
        <v>24117.447885948</v>
      </c>
      <c r="N510" s="23" t="n">
        <v>24338.9754827592</v>
      </c>
      <c r="O510" s="24" t="n">
        <v>24567.1489074747</v>
      </c>
      <c r="P510" s="24" t="n">
        <v>24802.1675349317</v>
      </c>
      <c r="Q510" s="24" t="n">
        <v>25044.2367212124</v>
      </c>
      <c r="R510" s="24" t="n">
        <v>25293.5679830815</v>
      </c>
      <c r="S510" s="24" t="n">
        <v>25550.3791828067</v>
      </c>
      <c r="T510" s="24" t="n">
        <v>25814.8947185236</v>
      </c>
      <c r="U510" s="24" t="n">
        <v>26087.3457203121</v>
      </c>
      <c r="V510" s="24" t="n">
        <v>26367.9702521542</v>
      </c>
      <c r="W510" s="24" t="n">
        <v>26657.0135199515</v>
      </c>
      <c r="X510" s="24" t="n">
        <v>14113.6088704166</v>
      </c>
    </row>
    <row r="511" customFormat="false" ht="12.75" hidden="false" customHeight="false" outlineLevel="0" collapsed="false">
      <c r="A511" s="25" t="s">
        <v>10</v>
      </c>
      <c r="B511" s="20" t="n">
        <f aca="false">NPV(0.1,D511:Y511)</f>
        <v>83947.6387394085</v>
      </c>
      <c r="C511" s="20" t="n">
        <f aca="false">B511-B501</f>
        <v>0</v>
      </c>
      <c r="D511" s="21" t="n">
        <v>331.048399908525</v>
      </c>
      <c r="E511" s="22" t="n">
        <v>4863.40731859512</v>
      </c>
      <c r="F511" s="22" t="n">
        <v>5019.79890152824</v>
      </c>
      <c r="G511" s="22" t="n">
        <v>7681.58922863971</v>
      </c>
      <c r="H511" s="22" t="n">
        <v>9948.51593694079</v>
      </c>
      <c r="I511" s="22" t="n">
        <v>10485.6981945894</v>
      </c>
      <c r="J511" s="22" t="n">
        <v>10976.0496110372</v>
      </c>
      <c r="K511" s="22" t="n">
        <v>11775.6844382761</v>
      </c>
      <c r="L511" s="22" t="n">
        <v>12194.0612964103</v>
      </c>
      <c r="M511" s="22" t="n">
        <v>13177.4453724113</v>
      </c>
      <c r="N511" s="23" t="n">
        <v>13869.4845311349</v>
      </c>
      <c r="O511" s="24" t="n">
        <v>14581.0193970234</v>
      </c>
      <c r="P511" s="24" t="n">
        <v>14894.7982452126</v>
      </c>
      <c r="Q511" s="24" t="n">
        <v>15199.7528030486</v>
      </c>
      <c r="R511" s="24" t="n">
        <v>15495.2157170928</v>
      </c>
      <c r="S511" s="24" t="n">
        <v>15780.4875345619</v>
      </c>
      <c r="T511" s="24" t="n">
        <v>16054.8353779848</v>
      </c>
      <c r="U511" s="24" t="n">
        <v>16478.0526204967</v>
      </c>
      <c r="V511" s="24" t="n">
        <v>16952.9987240934</v>
      </c>
      <c r="W511" s="24" t="n">
        <v>17510.9442798371</v>
      </c>
      <c r="X511" s="24" t="n">
        <v>4828.1175167684</v>
      </c>
    </row>
    <row r="512" customFormat="false" ht="12.75" hidden="false" customHeight="false" outlineLevel="0" collapsed="false">
      <c r="A512" s="25" t="s">
        <v>11</v>
      </c>
      <c r="B512" s="20" t="n">
        <f aca="false">NPV(0.1,D512:Y512)</f>
        <v>90008.8052115591</v>
      </c>
      <c r="C512" s="20" t="n">
        <f aca="false">B512-B502</f>
        <v>0</v>
      </c>
      <c r="D512" s="26" t="n">
        <v>-1173.33921936176</v>
      </c>
      <c r="E512" s="27" t="n">
        <v>8334.74751390294</v>
      </c>
      <c r="F512" s="27" t="n">
        <v>6794.43450058603</v>
      </c>
      <c r="G512" s="27" t="n">
        <v>9455.16737983392</v>
      </c>
      <c r="H512" s="27" t="n">
        <v>12777.2281446606</v>
      </c>
      <c r="I512" s="27" t="n">
        <v>12397.8859376174</v>
      </c>
      <c r="J512" s="27" t="n">
        <v>11854.540987987</v>
      </c>
      <c r="K512" s="27" t="n">
        <v>12660.3536849051</v>
      </c>
      <c r="L512" s="27" t="n">
        <v>9467.45267336022</v>
      </c>
      <c r="M512" s="27" t="n">
        <v>7996.20461904029</v>
      </c>
      <c r="N512" s="28" t="n">
        <v>17694.8159080848</v>
      </c>
      <c r="O512" s="24" t="n">
        <v>17754.2686436524</v>
      </c>
      <c r="P512" s="24" t="n">
        <v>18061.8696221625</v>
      </c>
      <c r="Q512" s="24" t="n">
        <v>18373.0020496776</v>
      </c>
      <c r="R512" s="24" t="n">
        <v>18662.2870940427</v>
      </c>
      <c r="S512" s="24" t="n">
        <v>17125.0873561662</v>
      </c>
      <c r="T512" s="24" t="n">
        <v>12285.6636442435</v>
      </c>
      <c r="U512" s="24" t="n">
        <v>11392.3608867554</v>
      </c>
      <c r="V512" s="24" t="n">
        <v>9892.52699035216</v>
      </c>
      <c r="W512" s="24" t="n">
        <v>9133.95254609589</v>
      </c>
      <c r="X512" s="24" t="n">
        <v>7597.79578302715</v>
      </c>
    </row>
    <row r="514" customFormat="false" ht="11.25" hidden="false" customHeight="false" outlineLevel="0" collapsed="false">
      <c r="A514" s="29" t="s">
        <v>62</v>
      </c>
    </row>
    <row r="515" customFormat="false" ht="11.25" hidden="false" customHeight="false" outlineLevel="0" collapsed="false">
      <c r="A515" s="36" t="n">
        <v>36343</v>
      </c>
    </row>
    <row r="516" customFormat="false" ht="12.75" hidden="false" customHeight="false" outlineLevel="0" collapsed="false">
      <c r="A516" s="10" t="s">
        <v>3</v>
      </c>
      <c r="B516" s="11" t="n">
        <v>29230.7648810869</v>
      </c>
      <c r="C516" s="7"/>
      <c r="D516" s="7"/>
      <c r="E516" s="7"/>
      <c r="F516" s="7"/>
      <c r="G516" s="7"/>
      <c r="H516" s="7"/>
      <c r="I516" s="7"/>
      <c r="J516" s="7"/>
      <c r="K516" s="7"/>
      <c r="L516" s="7"/>
      <c r="M516" s="7"/>
      <c r="N516" s="7"/>
      <c r="O516" s="7"/>
      <c r="P516" s="7"/>
      <c r="Q516" s="7"/>
      <c r="R516" s="7"/>
      <c r="S516" s="7"/>
      <c r="T516" s="7"/>
      <c r="U516" s="7"/>
      <c r="V516" s="7"/>
      <c r="W516" s="7"/>
      <c r="X516" s="7"/>
    </row>
    <row r="517" customFormat="false" ht="12.75" hidden="false" customHeight="false" outlineLevel="0" collapsed="false">
      <c r="A517" s="12" t="s">
        <v>4</v>
      </c>
      <c r="B517" s="13" t="n">
        <v>59861.5113955192</v>
      </c>
      <c r="C517" s="7"/>
      <c r="D517" s="7"/>
      <c r="E517" s="7"/>
      <c r="F517" s="7"/>
      <c r="G517" s="7"/>
      <c r="H517" s="7"/>
      <c r="I517" s="7"/>
      <c r="J517" s="7"/>
      <c r="K517" s="7"/>
      <c r="L517" s="7"/>
      <c r="M517" s="7"/>
      <c r="N517" s="7"/>
      <c r="O517" s="7"/>
      <c r="P517" s="7"/>
      <c r="Q517" s="7"/>
      <c r="R517" s="7"/>
      <c r="S517" s="7"/>
      <c r="T517" s="7"/>
      <c r="U517" s="7"/>
      <c r="V517" s="7"/>
      <c r="W517" s="7"/>
      <c r="X517" s="7"/>
    </row>
    <row r="518" customFormat="false" ht="12.75" hidden="false" customHeight="false" outlineLevel="0" collapsed="false">
      <c r="A518" s="14" t="s">
        <v>5</v>
      </c>
      <c r="B518" s="15" t="s">
        <v>6</v>
      </c>
      <c r="C518" s="15" t="s">
        <v>7</v>
      </c>
      <c r="D518" s="16" t="n">
        <v>2000</v>
      </c>
      <c r="E518" s="17" t="n">
        <v>2001</v>
      </c>
      <c r="F518" s="17" t="n">
        <v>2002</v>
      </c>
      <c r="G518" s="17" t="n">
        <v>2003</v>
      </c>
      <c r="H518" s="17" t="n">
        <v>2004</v>
      </c>
      <c r="I518" s="17" t="n">
        <v>2005</v>
      </c>
      <c r="J518" s="17" t="n">
        <v>2006</v>
      </c>
      <c r="K518" s="17" t="n">
        <v>2007</v>
      </c>
      <c r="L518" s="17" t="n">
        <v>2008</v>
      </c>
      <c r="M518" s="17" t="n">
        <v>2009</v>
      </c>
      <c r="N518" s="18" t="n">
        <v>2010</v>
      </c>
      <c r="O518" s="19" t="n">
        <v>2011</v>
      </c>
      <c r="P518" s="19" t="n">
        <v>2012</v>
      </c>
      <c r="Q518" s="19" t="n">
        <v>2013</v>
      </c>
      <c r="R518" s="19" t="n">
        <v>2014</v>
      </c>
      <c r="S518" s="19" t="n">
        <v>2015</v>
      </c>
      <c r="T518" s="19" t="n">
        <v>2016</v>
      </c>
      <c r="U518" s="19" t="n">
        <v>2017</v>
      </c>
      <c r="V518" s="19" t="n">
        <v>2018</v>
      </c>
      <c r="W518" s="19" t="n">
        <v>2019</v>
      </c>
      <c r="X518" s="19" t="n">
        <v>2020</v>
      </c>
    </row>
    <row r="519" customFormat="false" ht="12.75" hidden="false" customHeight="false" outlineLevel="0" collapsed="false">
      <c r="A519" s="14" t="s">
        <v>8</v>
      </c>
      <c r="B519" s="20" t="n">
        <f aca="false">NPV(0.1,D519:Y519)</f>
        <v>438471.628831067</v>
      </c>
      <c r="C519" s="20" t="n">
        <f aca="false">B519-B509</f>
        <v>1392.89014486439</v>
      </c>
      <c r="D519" s="21" t="n">
        <v>34276.8915480018</v>
      </c>
      <c r="E519" s="22" t="n">
        <v>44576.9277045504</v>
      </c>
      <c r="F519" s="22" t="n">
        <v>44674.0109027979</v>
      </c>
      <c r="G519" s="22" t="n">
        <v>48914.7975970467</v>
      </c>
      <c r="H519" s="22" t="n">
        <v>52205.4066944603</v>
      </c>
      <c r="I519" s="22" t="n">
        <v>52672.5005708946</v>
      </c>
      <c r="J519" s="22" t="n">
        <v>53135.6921233004</v>
      </c>
      <c r="K519" s="22" t="n">
        <v>54233.6138079309</v>
      </c>
      <c r="L519" s="22" t="n">
        <v>54706.217524832</v>
      </c>
      <c r="M519" s="22" t="n">
        <v>55851.2549715084</v>
      </c>
      <c r="N519" s="23" t="n">
        <v>56332.3001561642</v>
      </c>
      <c r="O519" s="24" t="n">
        <v>57526.1200817806</v>
      </c>
      <c r="P519" s="24" t="n">
        <v>58014.8821075725</v>
      </c>
      <c r="Q519" s="24" t="n">
        <v>58496.0808192104</v>
      </c>
      <c r="R519" s="24" t="n">
        <v>58968.8225320219</v>
      </c>
      <c r="S519" s="24" t="n">
        <v>59432.1667472367</v>
      </c>
      <c r="T519" s="24" t="n">
        <v>59885.1241474577</v>
      </c>
      <c r="U519" s="24" t="n">
        <v>60326.6545139915</v>
      </c>
      <c r="V519" s="24" t="n">
        <v>60755.6645631567</v>
      </c>
      <c r="W519" s="24" t="n">
        <v>61171.0056985812</v>
      </c>
      <c r="X519" s="24" t="n">
        <v>36923.7085302753</v>
      </c>
    </row>
    <row r="520" customFormat="false" ht="12.75" hidden="false" customHeight="false" outlineLevel="0" collapsed="false">
      <c r="A520" s="25" t="s">
        <v>9</v>
      </c>
      <c r="B520" s="20" t="n">
        <f aca="false">NPV(0.1,D520:Y520)</f>
        <v>206379.882194386</v>
      </c>
      <c r="C520" s="20" t="n">
        <f aca="false">B520-B510</f>
        <v>3736.46224543848</v>
      </c>
      <c r="D520" s="21" t="n">
        <v>21872.9758098839</v>
      </c>
      <c r="E520" s="22" t="n">
        <v>22884.4711955671</v>
      </c>
      <c r="F520" s="22" t="n">
        <v>23029.7361717811</v>
      </c>
      <c r="G520" s="22" t="n">
        <v>23300.4899349551</v>
      </c>
      <c r="H520" s="22" t="n">
        <v>23408.0929782655</v>
      </c>
      <c r="I520" s="22" t="n">
        <v>23582.8017939068</v>
      </c>
      <c r="J520" s="22" t="n">
        <v>23764.2730285422</v>
      </c>
      <c r="K520" s="22" t="n">
        <v>23951.9893239492</v>
      </c>
      <c r="L520" s="22" t="n">
        <v>24145.8018565265</v>
      </c>
      <c r="M520" s="22" t="n">
        <v>24345.864356105</v>
      </c>
      <c r="N520" s="23" t="n">
        <v>24552.393478979</v>
      </c>
      <c r="O520" s="24" t="n">
        <v>24765.5540665631</v>
      </c>
      <c r="P520" s="24" t="n">
        <v>24985.574220083</v>
      </c>
      <c r="Q520" s="24" t="n">
        <v>25212.6305692323</v>
      </c>
      <c r="R520" s="24" t="n">
        <v>25446.9633571642</v>
      </c>
      <c r="S520" s="24" t="n">
        <v>25693.0132252485</v>
      </c>
      <c r="T520" s="24" t="n">
        <v>25951.0045716209</v>
      </c>
      <c r="U520" s="24" t="n">
        <v>26216.9313840647</v>
      </c>
      <c r="V520" s="24" t="n">
        <v>26491.0317265622</v>
      </c>
      <c r="W520" s="24" t="n">
        <v>26773.550805015</v>
      </c>
      <c r="X520" s="24" t="n">
        <v>24468.17125038</v>
      </c>
    </row>
    <row r="521" customFormat="false" ht="12.75" hidden="false" customHeight="false" outlineLevel="0" collapsed="false">
      <c r="A521" s="25" t="s">
        <v>10</v>
      </c>
      <c r="B521" s="20" t="n">
        <f aca="false">NPV(0.1,D521:Y521)</f>
        <v>79973.685982618</v>
      </c>
      <c r="C521" s="20" t="n">
        <f aca="false">B521-B511</f>
        <v>-3973.95275679046</v>
      </c>
      <c r="D521" s="21" t="n">
        <v>-93.9324927430026</v>
      </c>
      <c r="E521" s="22" t="n">
        <v>4311.84944596951</v>
      </c>
      <c r="F521" s="22" t="n">
        <v>4479.22619713841</v>
      </c>
      <c r="G521" s="22" t="n">
        <v>7154.29745912368</v>
      </c>
      <c r="H521" s="22" t="n">
        <v>9435.51570668127</v>
      </c>
      <c r="I521" s="22" t="n">
        <v>10003.5681403249</v>
      </c>
      <c r="J521" s="22" t="n">
        <v>10518.1743495927</v>
      </c>
      <c r="K521" s="22" t="n">
        <v>11326.8743735851</v>
      </c>
      <c r="L521" s="22" t="n">
        <v>11754.3077555499</v>
      </c>
      <c r="M521" s="22" t="n">
        <v>12746.7570283043</v>
      </c>
      <c r="N521" s="23" t="n">
        <v>13447.8527108584</v>
      </c>
      <c r="O521" s="24" t="n">
        <v>14168.4527735004</v>
      </c>
      <c r="P521" s="24" t="n">
        <v>14491.2881455201</v>
      </c>
      <c r="Q521" s="24" t="n">
        <v>14805.3079001096</v>
      </c>
      <c r="R521" s="24" t="n">
        <v>15109.8273379843</v>
      </c>
      <c r="S521" s="24" t="n">
        <v>15401.5971669751</v>
      </c>
      <c r="T521" s="24" t="n">
        <v>15679.8845096112</v>
      </c>
      <c r="U521" s="24" t="n">
        <v>16107.0412513362</v>
      </c>
      <c r="V521" s="24" t="n">
        <v>16585.9268541461</v>
      </c>
      <c r="W521" s="24" t="n">
        <v>17147.811909103</v>
      </c>
      <c r="X521" s="24" t="n">
        <v>4470.62963384873</v>
      </c>
    </row>
    <row r="522" customFormat="false" ht="12.75" hidden="false" customHeight="false" outlineLevel="0" collapsed="false">
      <c r="A522" s="25" t="s">
        <v>11</v>
      </c>
      <c r="B522" s="20" t="n">
        <f aca="false">NPV(0.1,D522:Y522)</f>
        <v>91685.572663689</v>
      </c>
      <c r="C522" s="20" t="n">
        <f aca="false">B522-B512</f>
        <v>1676.76745212989</v>
      </c>
      <c r="D522" s="26" t="n">
        <v>-1535.4993581556</v>
      </c>
      <c r="E522" s="27" t="n">
        <v>7962.91190284554</v>
      </c>
      <c r="F522" s="27" t="n">
        <v>6441.01879015453</v>
      </c>
      <c r="G522" s="27" t="n">
        <v>9124.02110536774</v>
      </c>
      <c r="H522" s="27" t="n">
        <v>15784.4493494222</v>
      </c>
      <c r="I522" s="27" t="n">
        <v>12646.8370077346</v>
      </c>
      <c r="J522" s="27" t="n">
        <v>12080.4247958532</v>
      </c>
      <c r="K522" s="27" t="n">
        <v>12895.9644361431</v>
      </c>
      <c r="L522" s="27" t="n">
        <v>9711.45820181039</v>
      </c>
      <c r="M522" s="27" t="n">
        <v>8249.93709086229</v>
      </c>
      <c r="N522" s="28" t="n">
        <v>17956.9431571189</v>
      </c>
      <c r="O522" s="24" t="n">
        <v>18026.1228360584</v>
      </c>
      <c r="P522" s="24" t="n">
        <v>18342.1185917806</v>
      </c>
      <c r="Q522" s="24" t="n">
        <v>18662.9779626676</v>
      </c>
      <c r="R522" s="24" t="n">
        <v>18960.6577842448</v>
      </c>
      <c r="S522" s="24" t="n">
        <v>17234.7408054879</v>
      </c>
      <c r="T522" s="24" t="n">
        <v>12204.0413403762</v>
      </c>
      <c r="U522" s="24" t="n">
        <v>11314.6780821012</v>
      </c>
      <c r="V522" s="24" t="n">
        <v>9818.78368491107</v>
      </c>
      <c r="W522" s="24" t="n">
        <v>9064.14873986796</v>
      </c>
      <c r="X522" s="24" t="n">
        <v>7533.63646461373</v>
      </c>
    </row>
    <row r="524" customFormat="false" ht="11.25" hidden="false" customHeight="false" outlineLevel="0" collapsed="false">
      <c r="A524" s="29" t="s">
        <v>63</v>
      </c>
    </row>
    <row r="525" customFormat="false" ht="11.25" hidden="false" customHeight="false" outlineLevel="0" collapsed="false">
      <c r="A525" s="36" t="n">
        <v>36349</v>
      </c>
    </row>
    <row r="526" customFormat="false" ht="12.75" hidden="false" customHeight="false" outlineLevel="0" collapsed="false">
      <c r="A526" s="10" t="s">
        <v>3</v>
      </c>
      <c r="B526" s="11" t="n">
        <v>30544.8712433509</v>
      </c>
      <c r="C526" s="7"/>
      <c r="D526" s="7"/>
      <c r="E526" s="7"/>
      <c r="F526" s="7"/>
      <c r="G526" s="7"/>
      <c r="H526" s="7"/>
      <c r="I526" s="7"/>
      <c r="J526" s="7"/>
      <c r="K526" s="7"/>
      <c r="L526" s="7"/>
      <c r="M526" s="7"/>
      <c r="N526" s="7"/>
      <c r="O526" s="7"/>
      <c r="P526" s="7"/>
      <c r="Q526" s="7"/>
      <c r="R526" s="7"/>
      <c r="S526" s="7"/>
      <c r="T526" s="7"/>
      <c r="U526" s="7"/>
      <c r="V526" s="7"/>
      <c r="W526" s="7"/>
      <c r="X526" s="7"/>
    </row>
    <row r="527" customFormat="false" ht="12.75" hidden="false" customHeight="false" outlineLevel="0" collapsed="false">
      <c r="A527" s="12" t="s">
        <v>4</v>
      </c>
      <c r="B527" s="13" t="n">
        <v>61877.3316273627</v>
      </c>
      <c r="C527" s="7"/>
      <c r="D527" s="7"/>
      <c r="E527" s="7"/>
      <c r="F527" s="7"/>
      <c r="G527" s="7"/>
      <c r="H527" s="7"/>
      <c r="I527" s="7"/>
      <c r="J527" s="7"/>
      <c r="K527" s="7"/>
      <c r="L527" s="7"/>
      <c r="M527" s="7"/>
      <c r="N527" s="7"/>
      <c r="O527" s="7"/>
      <c r="P527" s="7"/>
      <c r="Q527" s="7"/>
      <c r="R527" s="7"/>
      <c r="S527" s="7"/>
      <c r="T527" s="7"/>
      <c r="U527" s="7"/>
      <c r="V527" s="7"/>
      <c r="W527" s="7"/>
      <c r="X527" s="7"/>
    </row>
    <row r="528" customFormat="false" ht="12.75" hidden="false" customHeight="false" outlineLevel="0" collapsed="false">
      <c r="A528" s="14" t="s">
        <v>5</v>
      </c>
      <c r="B528" s="15" t="s">
        <v>6</v>
      </c>
      <c r="C528" s="15" t="s">
        <v>7</v>
      </c>
      <c r="D528" s="16" t="n">
        <v>2000</v>
      </c>
      <c r="E528" s="17" t="n">
        <v>2001</v>
      </c>
      <c r="F528" s="17" t="n">
        <v>2002</v>
      </c>
      <c r="G528" s="17" t="n">
        <v>2003</v>
      </c>
      <c r="H528" s="17" t="n">
        <v>2004</v>
      </c>
      <c r="I528" s="17" t="n">
        <v>2005</v>
      </c>
      <c r="J528" s="17" t="n">
        <v>2006</v>
      </c>
      <c r="K528" s="17" t="n">
        <v>2007</v>
      </c>
      <c r="L528" s="17" t="n">
        <v>2008</v>
      </c>
      <c r="M528" s="17" t="n">
        <v>2009</v>
      </c>
      <c r="N528" s="18" t="n">
        <v>2010</v>
      </c>
      <c r="O528" s="19" t="n">
        <v>2011</v>
      </c>
      <c r="P528" s="19" t="n">
        <v>2012</v>
      </c>
      <c r="Q528" s="19" t="n">
        <v>2013</v>
      </c>
      <c r="R528" s="19" t="n">
        <v>2014</v>
      </c>
      <c r="S528" s="19" t="n">
        <v>2015</v>
      </c>
      <c r="T528" s="19" t="n">
        <v>2016</v>
      </c>
      <c r="U528" s="19" t="n">
        <v>2017</v>
      </c>
      <c r="V528" s="19" t="n">
        <v>2018</v>
      </c>
      <c r="W528" s="19" t="n">
        <v>2019</v>
      </c>
      <c r="X528" s="19" t="n">
        <v>2020</v>
      </c>
    </row>
    <row r="529" customFormat="false" ht="12.75" hidden="false" customHeight="false" outlineLevel="0" collapsed="false">
      <c r="A529" s="14" t="s">
        <v>8</v>
      </c>
      <c r="B529" s="20" t="n">
        <f aca="false">NPV(0.1,D529:Y529)</f>
        <v>438471.628831067</v>
      </c>
      <c r="C529" s="20" t="n">
        <f aca="false">B529-B519</f>
        <v>0</v>
      </c>
      <c r="D529" s="21" t="n">
        <v>34276.8915480018</v>
      </c>
      <c r="E529" s="22" t="n">
        <v>44576.9277045504</v>
      </c>
      <c r="F529" s="22" t="n">
        <v>44674.0109027979</v>
      </c>
      <c r="G529" s="22" t="n">
        <v>48914.7975970467</v>
      </c>
      <c r="H529" s="22" t="n">
        <v>52205.4066944603</v>
      </c>
      <c r="I529" s="22" t="n">
        <v>52672.5005708946</v>
      </c>
      <c r="J529" s="22" t="n">
        <v>53135.6921233004</v>
      </c>
      <c r="K529" s="22" t="n">
        <v>54233.6138079309</v>
      </c>
      <c r="L529" s="22" t="n">
        <v>54706.217524832</v>
      </c>
      <c r="M529" s="22" t="n">
        <v>55851.2549715084</v>
      </c>
      <c r="N529" s="23" t="n">
        <v>56332.3001561642</v>
      </c>
      <c r="O529" s="24" t="n">
        <v>57526.1200817806</v>
      </c>
      <c r="P529" s="24" t="n">
        <v>58014.8821075725</v>
      </c>
      <c r="Q529" s="24" t="n">
        <v>58496.0808192104</v>
      </c>
      <c r="R529" s="24" t="n">
        <v>58968.8225320219</v>
      </c>
      <c r="S529" s="24" t="n">
        <v>59432.1667472367</v>
      </c>
      <c r="T529" s="24" t="n">
        <v>59885.1241474577</v>
      </c>
      <c r="U529" s="24" t="n">
        <v>60326.6545139915</v>
      </c>
      <c r="V529" s="24" t="n">
        <v>60755.6645631567</v>
      </c>
      <c r="W529" s="24" t="n">
        <v>61171.0056985812</v>
      </c>
      <c r="X529" s="24" t="n">
        <v>36923.7085302753</v>
      </c>
    </row>
    <row r="530" customFormat="false" ht="12.75" hidden="false" customHeight="false" outlineLevel="0" collapsed="false">
      <c r="A530" s="25" t="s">
        <v>9</v>
      </c>
      <c r="B530" s="20" t="n">
        <f aca="false">NPV(0.1,D530:Y530)</f>
        <v>204276.821270888</v>
      </c>
      <c r="C530" s="20" t="n">
        <f aca="false">B530-B520</f>
        <v>-2103.06092349798</v>
      </c>
      <c r="D530" s="21" t="n">
        <v>21515.6306667665</v>
      </c>
      <c r="E530" s="22" t="n">
        <v>22545.0806586092</v>
      </c>
      <c r="F530" s="22" t="n">
        <v>22708.5381292685</v>
      </c>
      <c r="G530" s="22" t="n">
        <v>23001.2863970996</v>
      </c>
      <c r="H530" s="22" t="n">
        <v>23132.5576030598</v>
      </c>
      <c r="I530" s="22" t="n">
        <v>23323.1526853226</v>
      </c>
      <c r="J530" s="22" t="n">
        <v>23519.6223938952</v>
      </c>
      <c r="K530" s="22" t="n">
        <v>23722.3515264335</v>
      </c>
      <c r="L530" s="22" t="n">
        <v>23931.162532948</v>
      </c>
      <c r="M530" s="22" t="n">
        <v>24146.2378696578</v>
      </c>
      <c r="N530" s="23" t="n">
        <v>24367.765466469</v>
      </c>
      <c r="O530" s="24" t="n">
        <v>24595.9388911845</v>
      </c>
      <c r="P530" s="24" t="n">
        <v>24830.9575186415</v>
      </c>
      <c r="Q530" s="24" t="n">
        <v>25073.0267049222</v>
      </c>
      <c r="R530" s="24" t="n">
        <v>25322.3579667913</v>
      </c>
      <c r="S530" s="24" t="n">
        <v>25579.1691665165</v>
      </c>
      <c r="T530" s="24" t="n">
        <v>25843.6847022334</v>
      </c>
      <c r="U530" s="24" t="n">
        <v>26116.1357040219</v>
      </c>
      <c r="V530" s="24" t="n">
        <v>26396.760235864</v>
      </c>
      <c r="W530" s="24" t="n">
        <v>26685.8035036613</v>
      </c>
      <c r="X530" s="24" t="n">
        <v>24386.856263371</v>
      </c>
    </row>
    <row r="531" customFormat="false" ht="12.75" hidden="false" customHeight="false" outlineLevel="0" collapsed="false">
      <c r="A531" s="25" t="s">
        <v>10</v>
      </c>
      <c r="B531" s="20" t="n">
        <f aca="false">NPV(0.1,D531:Y531)</f>
        <v>81243.5766028473</v>
      </c>
      <c r="C531" s="20" t="n">
        <f aca="false">B531-B521</f>
        <v>1269.89062022926</v>
      </c>
      <c r="D531" s="21" t="n">
        <v>121.8431133552</v>
      </c>
      <c r="E531" s="22" t="n">
        <v>4516.78352784127</v>
      </c>
      <c r="F531" s="22" t="n">
        <v>4673.1751107744</v>
      </c>
      <c r="G531" s="22" t="n">
        <v>7334.96543788585</v>
      </c>
      <c r="H531" s="22" t="n">
        <v>9601.89214618694</v>
      </c>
      <c r="I531" s="22" t="n">
        <v>10160.3519804209</v>
      </c>
      <c r="J531" s="22" t="n">
        <v>10665.9016658583</v>
      </c>
      <c r="K531" s="22" t="n">
        <v>11465.5364930972</v>
      </c>
      <c r="L531" s="22" t="n">
        <v>11883.9133512315</v>
      </c>
      <c r="M531" s="22" t="n">
        <v>12867.2974272324</v>
      </c>
      <c r="N531" s="23" t="n">
        <v>13559.3365859561</v>
      </c>
      <c r="O531" s="24" t="n">
        <v>14270.8714518445</v>
      </c>
      <c r="P531" s="24" t="n">
        <v>14584.6503000338</v>
      </c>
      <c r="Q531" s="24" t="n">
        <v>14889.6048578698</v>
      </c>
      <c r="R531" s="24" t="n">
        <v>15185.067771914</v>
      </c>
      <c r="S531" s="24" t="n">
        <v>15470.3395893831</v>
      </c>
      <c r="T531" s="24" t="n">
        <v>15744.687432806</v>
      </c>
      <c r="U531" s="24" t="n">
        <v>16167.9046753178</v>
      </c>
      <c r="V531" s="24" t="n">
        <v>16642.8507789146</v>
      </c>
      <c r="W531" s="24" t="n">
        <v>17200.7963346583</v>
      </c>
      <c r="X531" s="24" t="n">
        <v>4519.73003704346</v>
      </c>
    </row>
    <row r="532" customFormat="false" ht="12.75" hidden="false" customHeight="false" outlineLevel="0" collapsed="false">
      <c r="A532" s="25" t="s">
        <v>11</v>
      </c>
      <c r="B532" s="20" t="n">
        <f aca="false">NPV(0.1,D532:Y532)</f>
        <v>93050.7609274471</v>
      </c>
      <c r="C532" s="20" t="n">
        <f aca="false">B532-B522</f>
        <v>1365.18826375809</v>
      </c>
      <c r="D532" s="26" t="n">
        <v>-1173.68740074926</v>
      </c>
      <c r="E532" s="27" t="n">
        <v>8306.54482151544</v>
      </c>
      <c r="F532" s="27" t="n">
        <v>6766.23180819853</v>
      </c>
      <c r="G532" s="27" t="n">
        <v>9426.96468744641</v>
      </c>
      <c r="H532" s="27" t="n">
        <v>15412.5508930971</v>
      </c>
      <c r="I532" s="27" t="n">
        <v>12803.6208478306</v>
      </c>
      <c r="J532" s="27" t="n">
        <v>12228.1521121188</v>
      </c>
      <c r="K532" s="27" t="n">
        <v>13034.6265556552</v>
      </c>
      <c r="L532" s="27" t="n">
        <v>9841.06379749201</v>
      </c>
      <c r="M532" s="27" t="n">
        <v>8370.47748979038</v>
      </c>
      <c r="N532" s="28" t="n">
        <v>18068.4270322166</v>
      </c>
      <c r="O532" s="24" t="n">
        <v>18128.5415144025</v>
      </c>
      <c r="P532" s="24" t="n">
        <v>18435.4807462943</v>
      </c>
      <c r="Q532" s="24" t="n">
        <v>18747.2749204277</v>
      </c>
      <c r="R532" s="24" t="n">
        <v>19035.8982181745</v>
      </c>
      <c r="S532" s="24" t="n">
        <v>17303.4832278958</v>
      </c>
      <c r="T532" s="24" t="n">
        <v>12268.844263571</v>
      </c>
      <c r="U532" s="24" t="n">
        <v>11375.5415060828</v>
      </c>
      <c r="V532" s="24" t="n">
        <v>9875.70760967956</v>
      </c>
      <c r="W532" s="24" t="n">
        <v>9117.1331654233</v>
      </c>
      <c r="X532" s="24" t="n">
        <v>7582.73686780846</v>
      </c>
    </row>
    <row r="534" customFormat="false" ht="11.25" hidden="false" customHeight="false" outlineLevel="0" collapsed="false">
      <c r="A534" s="29" t="s">
        <v>64</v>
      </c>
    </row>
    <row r="535" customFormat="false" ht="11.25" hidden="false" customHeight="false" outlineLevel="0" collapsed="false">
      <c r="A535" s="36" t="n">
        <v>36362</v>
      </c>
    </row>
    <row r="536" customFormat="false" ht="12.75" hidden="false" customHeight="false" outlineLevel="0" collapsed="false">
      <c r="A536" s="10" t="s">
        <v>3</v>
      </c>
      <c r="B536" s="11" t="n">
        <v>30377.7901116302</v>
      </c>
      <c r="C536" s="7"/>
      <c r="D536" s="7"/>
      <c r="E536" s="7"/>
      <c r="F536" s="7"/>
      <c r="G536" s="7"/>
      <c r="H536" s="7"/>
      <c r="I536" s="7"/>
      <c r="J536" s="7"/>
      <c r="K536" s="7"/>
      <c r="L536" s="7"/>
      <c r="M536" s="7"/>
      <c r="N536" s="7"/>
      <c r="O536" s="7"/>
      <c r="P536" s="7"/>
      <c r="Q536" s="7"/>
      <c r="R536" s="7"/>
      <c r="S536" s="7"/>
      <c r="T536" s="7"/>
      <c r="U536" s="7"/>
      <c r="V536" s="7"/>
      <c r="W536" s="7"/>
      <c r="X536" s="7"/>
    </row>
    <row r="537" customFormat="false" ht="12.75" hidden="false" customHeight="false" outlineLevel="0" collapsed="false">
      <c r="A537" s="12" t="s">
        <v>4</v>
      </c>
      <c r="B537" s="13" t="n">
        <v>61853.7386273627</v>
      </c>
      <c r="C537" s="7"/>
      <c r="D537" s="7"/>
      <c r="E537" s="7"/>
      <c r="F537" s="7"/>
      <c r="G537" s="7"/>
      <c r="H537" s="7"/>
      <c r="I537" s="7"/>
      <c r="J537" s="7"/>
      <c r="K537" s="7"/>
      <c r="L537" s="7"/>
      <c r="M537" s="7"/>
      <c r="N537" s="7"/>
      <c r="O537" s="7"/>
      <c r="P537" s="7"/>
      <c r="Q537" s="7"/>
      <c r="R537" s="7"/>
      <c r="S537" s="7"/>
      <c r="T537" s="7"/>
      <c r="U537" s="7"/>
      <c r="V537" s="7"/>
      <c r="W537" s="7"/>
      <c r="X537" s="7"/>
    </row>
    <row r="538" customFormat="false" ht="12.75" hidden="false" customHeight="false" outlineLevel="0" collapsed="false">
      <c r="A538" s="14" t="s">
        <v>5</v>
      </c>
      <c r="B538" s="15" t="s">
        <v>6</v>
      </c>
      <c r="C538" s="15" t="s">
        <v>7</v>
      </c>
      <c r="D538" s="16" t="n">
        <v>2000</v>
      </c>
      <c r="E538" s="17" t="n">
        <v>2001</v>
      </c>
      <c r="F538" s="17" t="n">
        <v>2002</v>
      </c>
      <c r="G538" s="17" t="n">
        <v>2003</v>
      </c>
      <c r="H538" s="17" t="n">
        <v>2004</v>
      </c>
      <c r="I538" s="17" t="n">
        <v>2005</v>
      </c>
      <c r="J538" s="17" t="n">
        <v>2006</v>
      </c>
      <c r="K538" s="17" t="n">
        <v>2007</v>
      </c>
      <c r="L538" s="17" t="n">
        <v>2008</v>
      </c>
      <c r="M538" s="17" t="n">
        <v>2009</v>
      </c>
      <c r="N538" s="18" t="n">
        <v>2010</v>
      </c>
      <c r="O538" s="19" t="n">
        <v>2011</v>
      </c>
      <c r="P538" s="19" t="n">
        <v>2012</v>
      </c>
      <c r="Q538" s="19" t="n">
        <v>2013</v>
      </c>
      <c r="R538" s="19" t="n">
        <v>2014</v>
      </c>
      <c r="S538" s="19" t="n">
        <v>2015</v>
      </c>
      <c r="T538" s="19" t="n">
        <v>2016</v>
      </c>
      <c r="U538" s="19" t="n">
        <v>2017</v>
      </c>
      <c r="V538" s="19" t="n">
        <v>2018</v>
      </c>
      <c r="W538" s="19" t="n">
        <v>2019</v>
      </c>
      <c r="X538" s="19" t="n">
        <v>2020</v>
      </c>
    </row>
    <row r="539" customFormat="false" ht="12.75" hidden="false" customHeight="false" outlineLevel="0" collapsed="false">
      <c r="A539" s="14" t="s">
        <v>8</v>
      </c>
      <c r="B539" s="20" t="n">
        <f aca="false">NPV(0.1,D539:Y539)</f>
        <v>438470.79923256</v>
      </c>
      <c r="C539" s="20" t="n">
        <f aca="false">B539-B529</f>
        <v>-0.829598506621551</v>
      </c>
      <c r="D539" s="21" t="n">
        <v>34276.7559156798</v>
      </c>
      <c r="E539" s="22" t="n">
        <v>44576.6951919984</v>
      </c>
      <c r="F539" s="22" t="n">
        <v>44673.7783902459</v>
      </c>
      <c r="G539" s="22" t="n">
        <v>48914.5650844947</v>
      </c>
      <c r="H539" s="22" t="n">
        <v>52205.1741819083</v>
      </c>
      <c r="I539" s="22" t="n">
        <v>52672.4060151126</v>
      </c>
      <c r="J539" s="22" t="n">
        <v>53135.6961080684</v>
      </c>
      <c r="K539" s="22" t="n">
        <v>54233.6177926989</v>
      </c>
      <c r="L539" s="22" t="n">
        <v>54706.2215096</v>
      </c>
      <c r="M539" s="22" t="n">
        <v>55851.2589562764</v>
      </c>
      <c r="N539" s="23" t="n">
        <v>56332.3041409322</v>
      </c>
      <c r="O539" s="24" t="n">
        <v>57526.1240665486</v>
      </c>
      <c r="P539" s="24" t="n">
        <v>58014.8860923405</v>
      </c>
      <c r="Q539" s="24" t="n">
        <v>58496.0848039784</v>
      </c>
      <c r="R539" s="24" t="n">
        <v>58968.8265167899</v>
      </c>
      <c r="S539" s="24" t="n">
        <v>59432.1707320047</v>
      </c>
      <c r="T539" s="24" t="n">
        <v>59885.1281322257</v>
      </c>
      <c r="U539" s="24" t="n">
        <v>60326.6584987595</v>
      </c>
      <c r="V539" s="24" t="n">
        <v>60755.6685479247</v>
      </c>
      <c r="W539" s="24" t="n">
        <v>61171.0096833492</v>
      </c>
      <c r="X539" s="24" t="n">
        <v>36923.7125150433</v>
      </c>
    </row>
    <row r="540" customFormat="false" ht="12.75" hidden="false" customHeight="false" outlineLevel="0" collapsed="false">
      <c r="A540" s="25" t="s">
        <v>9</v>
      </c>
      <c r="B540" s="20" t="n">
        <f aca="false">NPV(0.1,D540:Y540)</f>
        <v>204275.991672381</v>
      </c>
      <c r="C540" s="20" t="n">
        <f aca="false">B540-B530</f>
        <v>-0.829598506563343</v>
      </c>
      <c r="D540" s="21" t="n">
        <v>21515.4950344445</v>
      </c>
      <c r="E540" s="22" t="n">
        <v>22544.8481460572</v>
      </c>
      <c r="F540" s="22" t="n">
        <v>22708.3056167165</v>
      </c>
      <c r="G540" s="22" t="n">
        <v>23001.0538845476</v>
      </c>
      <c r="H540" s="22" t="n">
        <v>23132.3250905078</v>
      </c>
      <c r="I540" s="22" t="n">
        <v>23323.0581295406</v>
      </c>
      <c r="J540" s="22" t="n">
        <v>23519.6263786632</v>
      </c>
      <c r="K540" s="22" t="n">
        <v>23722.3555112015</v>
      </c>
      <c r="L540" s="22" t="n">
        <v>23931.166517716</v>
      </c>
      <c r="M540" s="22" t="n">
        <v>24146.2418544258</v>
      </c>
      <c r="N540" s="23" t="n">
        <v>24367.769451237</v>
      </c>
      <c r="O540" s="24" t="n">
        <v>24595.9428759525</v>
      </c>
      <c r="P540" s="24" t="n">
        <v>24830.9615034095</v>
      </c>
      <c r="Q540" s="24" t="n">
        <v>25073.0306896902</v>
      </c>
      <c r="R540" s="24" t="n">
        <v>25322.3619515593</v>
      </c>
      <c r="S540" s="24" t="n">
        <v>25579.1731512845</v>
      </c>
      <c r="T540" s="24" t="n">
        <v>25843.6886870014</v>
      </c>
      <c r="U540" s="24" t="n">
        <v>26116.1396887899</v>
      </c>
      <c r="V540" s="24" t="n">
        <v>26396.764220632</v>
      </c>
      <c r="W540" s="24" t="n">
        <v>26685.8074884293</v>
      </c>
      <c r="X540" s="24" t="n">
        <v>24386.860248139</v>
      </c>
    </row>
    <row r="541" customFormat="false" ht="12.75" hidden="false" customHeight="false" outlineLevel="0" collapsed="false">
      <c r="A541" s="25" t="s">
        <v>10</v>
      </c>
      <c r="B541" s="20" t="n">
        <f aca="false">NPV(0.1,D541:Y541)</f>
        <v>81518.4387191559</v>
      </c>
      <c r="C541" s="20" t="n">
        <f aca="false">B541-B531</f>
        <v>274.862116308621</v>
      </c>
      <c r="D541" s="21" t="n">
        <v>166.78073892895</v>
      </c>
      <c r="E541" s="22" t="n">
        <v>4593.81945739627</v>
      </c>
      <c r="F541" s="22" t="n">
        <v>4750.2110403294</v>
      </c>
      <c r="G541" s="22" t="n">
        <v>7412.00136744085</v>
      </c>
      <c r="H541" s="22" t="n">
        <v>9678.92807574194</v>
      </c>
      <c r="I541" s="22" t="n">
        <v>10191.6801495822</v>
      </c>
      <c r="J541" s="22" t="n">
        <v>10664.5814347383</v>
      </c>
      <c r="K541" s="22" t="n">
        <v>11464.2162619772</v>
      </c>
      <c r="L541" s="22" t="n">
        <v>11882.5931201115</v>
      </c>
      <c r="M541" s="22" t="n">
        <v>12865.9771961124</v>
      </c>
      <c r="N541" s="23" t="n">
        <v>13558.0163548361</v>
      </c>
      <c r="O541" s="24" t="n">
        <v>14269.5512207245</v>
      </c>
      <c r="P541" s="24" t="n">
        <v>14583.3300689138</v>
      </c>
      <c r="Q541" s="24" t="n">
        <v>14888.2846267498</v>
      </c>
      <c r="R541" s="24" t="n">
        <v>15183.747540794</v>
      </c>
      <c r="S541" s="24" t="n">
        <v>15469.019358263</v>
      </c>
      <c r="T541" s="24" t="n">
        <v>15743.367201686</v>
      </c>
      <c r="U541" s="24" t="n">
        <v>16166.5844441978</v>
      </c>
      <c r="V541" s="24" t="n">
        <v>16641.5305477946</v>
      </c>
      <c r="W541" s="24" t="n">
        <v>17199.4761035383</v>
      </c>
      <c r="X541" s="24" t="n">
        <v>4518.40980592346</v>
      </c>
    </row>
    <row r="542" customFormat="false" ht="12.75" hidden="false" customHeight="false" outlineLevel="0" collapsed="false">
      <c r="A542" s="25" t="s">
        <v>11</v>
      </c>
      <c r="B542" s="20" t="n">
        <f aca="false">NPV(0.1,D542:Y542)</f>
        <v>92901.2909820616</v>
      </c>
      <c r="C542" s="20" t="n">
        <f aca="false">B542-B532</f>
        <v>-149.469945385557</v>
      </c>
      <c r="D542" s="26" t="n">
        <v>-1173.68740074926</v>
      </c>
      <c r="E542" s="27" t="n">
        <v>8306.54482151544</v>
      </c>
      <c r="F542" s="27" t="n">
        <v>6766.23180819853</v>
      </c>
      <c r="G542" s="27" t="n">
        <v>9426.96468744641</v>
      </c>
      <c r="H542" s="27" t="n">
        <v>15180.7137689236</v>
      </c>
      <c r="I542" s="27" t="n">
        <v>12783.3800597527</v>
      </c>
      <c r="J542" s="27" t="n">
        <v>12229.9093855828</v>
      </c>
      <c r="K542" s="27" t="n">
        <v>13036.3868075488</v>
      </c>
      <c r="L542" s="27" t="n">
        <v>9842.821070956</v>
      </c>
      <c r="M542" s="27" t="n">
        <v>8372.23774168398</v>
      </c>
      <c r="N542" s="28" t="n">
        <v>18070.1843056806</v>
      </c>
      <c r="O542" s="24" t="n">
        <v>18130.3017662961</v>
      </c>
      <c r="P542" s="24" t="n">
        <v>18437.2380197583</v>
      </c>
      <c r="Q542" s="24" t="n">
        <v>18749.0351723213</v>
      </c>
      <c r="R542" s="24" t="n">
        <v>19037.6554916385</v>
      </c>
      <c r="S542" s="24" t="n">
        <v>17304.3618646278</v>
      </c>
      <c r="T542" s="24" t="n">
        <v>12268.844263571</v>
      </c>
      <c r="U542" s="24" t="n">
        <v>11375.5415060828</v>
      </c>
      <c r="V542" s="24" t="n">
        <v>9875.70760967956</v>
      </c>
      <c r="W542" s="24" t="n">
        <v>9117.1331654233</v>
      </c>
      <c r="X542" s="24" t="n">
        <v>7582.73686780846</v>
      </c>
    </row>
    <row r="544" customFormat="false" ht="11.25" hidden="false" customHeight="false" outlineLevel="0" collapsed="false">
      <c r="A544" s="29" t="s">
        <v>65</v>
      </c>
    </row>
    <row r="545" customFormat="false" ht="11.25" hidden="false" customHeight="false" outlineLevel="0" collapsed="false">
      <c r="A545" s="36" t="n">
        <v>36367</v>
      </c>
    </row>
    <row r="546" customFormat="false" ht="12.75" hidden="false" customHeight="false" outlineLevel="0" collapsed="false">
      <c r="A546" s="10" t="s">
        <v>3</v>
      </c>
      <c r="B546" s="11" t="n">
        <v>35925.7178319783</v>
      </c>
      <c r="C546" s="7"/>
      <c r="D546" s="7"/>
      <c r="E546" s="7"/>
      <c r="F546" s="7"/>
      <c r="G546" s="7"/>
      <c r="H546" s="7"/>
      <c r="I546" s="7"/>
      <c r="J546" s="7"/>
      <c r="K546" s="7"/>
      <c r="L546" s="7"/>
      <c r="M546" s="7"/>
      <c r="N546" s="7"/>
      <c r="O546" s="7"/>
      <c r="P546" s="7"/>
      <c r="Q546" s="7"/>
      <c r="R546" s="7"/>
      <c r="S546" s="7"/>
      <c r="T546" s="7"/>
      <c r="U546" s="7"/>
      <c r="V546" s="7"/>
      <c r="W546" s="7"/>
      <c r="X546" s="7"/>
    </row>
    <row r="547" customFormat="false" ht="12.75" hidden="false" customHeight="false" outlineLevel="0" collapsed="false">
      <c r="A547" s="12" t="s">
        <v>4</v>
      </c>
      <c r="B547" s="13" t="n">
        <v>71109.531366369</v>
      </c>
      <c r="C547" s="7"/>
      <c r="D547" s="7"/>
      <c r="E547" s="7"/>
      <c r="F547" s="7"/>
      <c r="G547" s="7"/>
      <c r="H547" s="7"/>
      <c r="I547" s="7"/>
      <c r="J547" s="7"/>
      <c r="K547" s="7"/>
      <c r="L547" s="7"/>
      <c r="M547" s="7"/>
      <c r="N547" s="7"/>
      <c r="O547" s="7"/>
      <c r="P547" s="7"/>
      <c r="Q547" s="7"/>
      <c r="R547" s="7"/>
      <c r="S547" s="7"/>
      <c r="T547" s="7"/>
      <c r="U547" s="7"/>
      <c r="V547" s="7"/>
      <c r="W547" s="7"/>
      <c r="X547" s="7"/>
    </row>
    <row r="548" customFormat="false" ht="12.75" hidden="false" customHeight="false" outlineLevel="0" collapsed="false">
      <c r="A548" s="14" t="s">
        <v>5</v>
      </c>
      <c r="B548" s="15" t="s">
        <v>6</v>
      </c>
      <c r="C548" s="15" t="s">
        <v>7</v>
      </c>
      <c r="D548" s="16" t="n">
        <v>2000</v>
      </c>
      <c r="E548" s="17" t="n">
        <v>2001</v>
      </c>
      <c r="F548" s="17" t="n">
        <v>2002</v>
      </c>
      <c r="G548" s="17" t="n">
        <v>2003</v>
      </c>
      <c r="H548" s="17" t="n">
        <v>2004</v>
      </c>
      <c r="I548" s="17" t="n">
        <v>2005</v>
      </c>
      <c r="J548" s="17" t="n">
        <v>2006</v>
      </c>
      <c r="K548" s="17" t="n">
        <v>2007</v>
      </c>
      <c r="L548" s="17" t="n">
        <v>2008</v>
      </c>
      <c r="M548" s="17" t="n">
        <v>2009</v>
      </c>
      <c r="N548" s="18" t="n">
        <v>2010</v>
      </c>
      <c r="O548" s="19" t="n">
        <v>2011</v>
      </c>
      <c r="P548" s="19" t="n">
        <v>2012</v>
      </c>
      <c r="Q548" s="19" t="n">
        <v>2013</v>
      </c>
      <c r="R548" s="19" t="n">
        <v>2014</v>
      </c>
      <c r="S548" s="19" t="n">
        <v>2015</v>
      </c>
      <c r="T548" s="19" t="n">
        <v>2016</v>
      </c>
      <c r="U548" s="19" t="n">
        <v>2017</v>
      </c>
      <c r="V548" s="19" t="n">
        <v>2018</v>
      </c>
      <c r="W548" s="19" t="n">
        <v>2019</v>
      </c>
      <c r="X548" s="19" t="n">
        <v>2020</v>
      </c>
    </row>
    <row r="549" customFormat="false" ht="12.75" hidden="false" customHeight="false" outlineLevel="0" collapsed="false">
      <c r="A549" s="14" t="s">
        <v>8</v>
      </c>
      <c r="B549" s="20" t="n">
        <f aca="false">NPV(0.1,D549:Y549)</f>
        <v>452745.483602105</v>
      </c>
      <c r="C549" s="20" t="n">
        <f aca="false">B549-B539</f>
        <v>14274.6843695444</v>
      </c>
      <c r="D549" s="21" t="n">
        <v>34109.6158541298</v>
      </c>
      <c r="E549" s="22" t="n">
        <v>44409.5551304484</v>
      </c>
      <c r="F549" s="22" t="n">
        <v>44506.6383286959</v>
      </c>
      <c r="G549" s="22" t="n">
        <v>50218.1760635192</v>
      </c>
      <c r="H549" s="22" t="n">
        <v>54574.5407235675</v>
      </c>
      <c r="I549" s="22" t="n">
        <v>55063.6344405811</v>
      </c>
      <c r="J549" s="22" t="n">
        <v>55548.5457651775</v>
      </c>
      <c r="K549" s="22" t="n">
        <v>56699.5174498477</v>
      </c>
      <c r="L549" s="22" t="n">
        <v>57194.1080253345</v>
      </c>
      <c r="M549" s="22" t="n">
        <v>58394.4465778094</v>
      </c>
      <c r="N549" s="23" t="n">
        <v>58897.8085923179</v>
      </c>
      <c r="O549" s="24" t="n">
        <v>60149.2581618023</v>
      </c>
      <c r="P549" s="24" t="n">
        <v>60660.6256341331</v>
      </c>
      <c r="Q549" s="24" t="n">
        <v>61164.0053631066</v>
      </c>
      <c r="R549" s="24" t="n">
        <v>61658.4578533964</v>
      </c>
      <c r="S549" s="24" t="n">
        <v>62142.9944289253</v>
      </c>
      <c r="T549" s="24" t="n">
        <v>62616.5751275664</v>
      </c>
      <c r="U549" s="24" t="n">
        <v>63078.1065137885</v>
      </c>
      <c r="V549" s="24" t="n">
        <v>63526.4394062177</v>
      </c>
      <c r="W549" s="24" t="n">
        <v>63960.3665169788</v>
      </c>
      <c r="X549" s="24" t="n">
        <v>38508.3336902424</v>
      </c>
    </row>
    <row r="550" customFormat="false" ht="12.75" hidden="false" customHeight="false" outlineLevel="0" collapsed="false">
      <c r="A550" s="25" t="s">
        <v>9</v>
      </c>
      <c r="B550" s="20" t="n">
        <f aca="false">NPV(0.1,D550:Y550)</f>
        <v>208039.157135897</v>
      </c>
      <c r="C550" s="20" t="n">
        <f aca="false">B550-B540</f>
        <v>3763.16546351532</v>
      </c>
      <c r="D550" s="21" t="n">
        <v>21348.3549728945</v>
      </c>
      <c r="E550" s="22" t="n">
        <v>22377.7080845072</v>
      </c>
      <c r="F550" s="22" t="n">
        <v>22541.1655551665</v>
      </c>
      <c r="G550" s="22" t="n">
        <v>23347.1565579467</v>
      </c>
      <c r="H550" s="22" t="n">
        <v>23839.7812377014</v>
      </c>
      <c r="I550" s="22" t="n">
        <v>24032.4203231565</v>
      </c>
      <c r="J550" s="22" t="n">
        <v>24230.9518000941</v>
      </c>
      <c r="K550" s="22" t="n">
        <v>24435.7030572818</v>
      </c>
      <c r="L550" s="22" t="n">
        <v>24646.5968521852</v>
      </c>
      <c r="M550" s="22" t="n">
        <v>24863.8174609356</v>
      </c>
      <c r="N550" s="23" t="n">
        <v>25087.5546879486</v>
      </c>
      <c r="O550" s="24" t="n">
        <v>25318.004031772</v>
      </c>
      <c r="P550" s="24" t="n">
        <v>25555.36685591</v>
      </c>
      <c r="Q550" s="24" t="n">
        <v>25799.8505647722</v>
      </c>
      <c r="R550" s="24" t="n">
        <v>26051.6687849003</v>
      </c>
      <c r="S550" s="24" t="n">
        <v>26311.0415516322</v>
      </c>
      <c r="T550" s="24" t="n">
        <v>26578.1955013661</v>
      </c>
      <c r="U550" s="24" t="n">
        <v>26853.364069592</v>
      </c>
      <c r="V550" s="24" t="n">
        <v>27136.7876948646</v>
      </c>
      <c r="W550" s="24" t="n">
        <v>27428.7140288955</v>
      </c>
      <c r="X550" s="24" t="n">
        <v>25112.6196567892</v>
      </c>
    </row>
    <row r="551" customFormat="false" ht="12.75" hidden="false" customHeight="false" outlineLevel="0" collapsed="false">
      <c r="A551" s="25" t="s">
        <v>10</v>
      </c>
      <c r="B551" s="20" t="n">
        <f aca="false">NPV(0.1,D551:Y551)</f>
        <v>87865.6058953338</v>
      </c>
      <c r="C551" s="20" t="n">
        <f aca="false">B551-B541</f>
        <v>6347.16717617789</v>
      </c>
      <c r="D551" s="21" t="n">
        <v>166.780738928947</v>
      </c>
      <c r="E551" s="22" t="n">
        <v>4593.81945739627</v>
      </c>
      <c r="F551" s="22" t="n">
        <v>4750.2110403294</v>
      </c>
      <c r="G551" s="22" t="n">
        <v>7990.1733084053</v>
      </c>
      <c r="H551" s="22" t="n">
        <v>10682.4389098851</v>
      </c>
      <c r="I551" s="22" t="n">
        <v>11207.2409107785</v>
      </c>
      <c r="J551" s="22" t="n">
        <v>11692.0122822416</v>
      </c>
      <c r="K551" s="22" t="n">
        <v>12522.4592555312</v>
      </c>
      <c r="L551" s="22" t="n">
        <v>12952.8547821524</v>
      </c>
      <c r="M551" s="22" t="n">
        <v>13968.3359286402</v>
      </c>
      <c r="N551" s="23" t="n">
        <v>14672.5164114455</v>
      </c>
      <c r="O551" s="24" t="n">
        <v>15417.4754996578</v>
      </c>
      <c r="P551" s="24" t="n">
        <v>15743.4886920171</v>
      </c>
      <c r="Q551" s="24" t="n">
        <v>16060.3788462034</v>
      </c>
      <c r="R551" s="24" t="n">
        <v>16367.4496729994</v>
      </c>
      <c r="S551" s="24" t="n">
        <v>16663.9713165691</v>
      </c>
      <c r="T551" s="24" t="n">
        <v>16949.1789671209</v>
      </c>
      <c r="U551" s="24" t="n">
        <v>17382.8324718082</v>
      </c>
      <c r="V551" s="24" t="n">
        <v>17867.7561061032</v>
      </c>
      <c r="W551" s="24" t="n">
        <v>18435.1835445435</v>
      </c>
      <c r="X551" s="24" t="n">
        <v>5037.01603802441</v>
      </c>
    </row>
    <row r="552" customFormat="false" ht="12.75" hidden="false" customHeight="false" outlineLevel="0" collapsed="false">
      <c r="A552" s="25" t="s">
        <v>11</v>
      </c>
      <c r="B552" s="20" t="n">
        <f aca="false">NPV(0.1,D552:Y552)</f>
        <v>99272.7551336374</v>
      </c>
      <c r="C552" s="20" t="n">
        <f aca="false">B552-B542</f>
        <v>6371.46415157581</v>
      </c>
      <c r="D552" s="26" t="n">
        <v>-1173.68740074927</v>
      </c>
      <c r="E552" s="27" t="n">
        <v>8306.54482151545</v>
      </c>
      <c r="F552" s="27" t="n">
        <v>6766.23180819854</v>
      </c>
      <c r="G552" s="27" t="n">
        <v>10396.4418468921</v>
      </c>
      <c r="H552" s="27" t="n">
        <v>15792.9193845855</v>
      </c>
      <c r="I552" s="27" t="n">
        <v>13798.940820949</v>
      </c>
      <c r="J552" s="27" t="n">
        <v>13257.3402330861</v>
      </c>
      <c r="K552" s="27" t="n">
        <v>14094.6298011027</v>
      </c>
      <c r="L552" s="27" t="n">
        <v>10913.0827329969</v>
      </c>
      <c r="M552" s="27" t="n">
        <v>9474.59647421172</v>
      </c>
      <c r="N552" s="28" t="n">
        <v>19184.68436229</v>
      </c>
      <c r="O552" s="24" t="n">
        <v>19278.2260452294</v>
      </c>
      <c r="P552" s="24" t="n">
        <v>19597.3966428616</v>
      </c>
      <c r="Q552" s="24" t="n">
        <v>19921.1293917749</v>
      </c>
      <c r="R552" s="24" t="n">
        <v>20221.3576238439</v>
      </c>
      <c r="S552" s="24" t="n">
        <v>18499.3138229339</v>
      </c>
      <c r="T552" s="24" t="n">
        <v>13474.6560290059</v>
      </c>
      <c r="U552" s="24" t="n">
        <v>12591.7895336932</v>
      </c>
      <c r="V552" s="24" t="n">
        <v>11101.9331679882</v>
      </c>
      <c r="W552" s="24" t="n">
        <v>10352.8406064285</v>
      </c>
      <c r="X552" s="24" t="n">
        <v>8101.34309990941</v>
      </c>
    </row>
    <row r="554" customFormat="false" ht="11.25" hidden="false" customHeight="false" outlineLevel="0" collapsed="false">
      <c r="A554" s="29" t="s">
        <v>66</v>
      </c>
    </row>
    <row r="555" customFormat="false" ht="11.25" hidden="false" customHeight="false" outlineLevel="0" collapsed="false">
      <c r="A555" s="36" t="n">
        <v>36374</v>
      </c>
    </row>
    <row r="556" customFormat="false" ht="12.75" hidden="false" customHeight="false" outlineLevel="0" collapsed="false">
      <c r="A556" s="10" t="s">
        <v>3</v>
      </c>
      <c r="B556" s="11" t="n">
        <v>34674.3888486443</v>
      </c>
      <c r="C556" s="7"/>
      <c r="D556" s="7"/>
      <c r="E556" s="7"/>
      <c r="F556" s="7"/>
      <c r="G556" s="7"/>
      <c r="H556" s="7"/>
      <c r="I556" s="7"/>
      <c r="J556" s="7"/>
      <c r="K556" s="7"/>
      <c r="L556" s="7"/>
      <c r="M556" s="7"/>
      <c r="N556" s="7"/>
      <c r="O556" s="7"/>
      <c r="P556" s="7"/>
      <c r="Q556" s="7"/>
      <c r="R556" s="7"/>
      <c r="S556" s="7"/>
      <c r="T556" s="7"/>
      <c r="U556" s="7"/>
      <c r="V556" s="7"/>
      <c r="W556" s="7"/>
      <c r="X556" s="7"/>
    </row>
    <row r="557" customFormat="false" ht="12.75" hidden="false" customHeight="false" outlineLevel="0" collapsed="false">
      <c r="A557" s="12" t="s">
        <v>4</v>
      </c>
      <c r="B557" s="13" t="n">
        <v>69589.5522413598</v>
      </c>
      <c r="C557" s="7"/>
      <c r="D557" s="7"/>
      <c r="E557" s="7"/>
      <c r="F557" s="7"/>
      <c r="G557" s="7"/>
      <c r="H557" s="7"/>
      <c r="I557" s="7"/>
      <c r="J557" s="7"/>
      <c r="K557" s="7"/>
      <c r="L557" s="7"/>
      <c r="M557" s="7"/>
      <c r="N557" s="7"/>
      <c r="O557" s="7"/>
      <c r="P557" s="7"/>
      <c r="Q557" s="7"/>
      <c r="R557" s="7"/>
      <c r="S557" s="7"/>
      <c r="T557" s="7"/>
      <c r="U557" s="7"/>
      <c r="V557" s="7"/>
      <c r="W557" s="7"/>
      <c r="X557" s="7"/>
    </row>
    <row r="558" customFormat="false" ht="12.75" hidden="false" customHeight="false" outlineLevel="0" collapsed="false">
      <c r="A558" s="14" t="s">
        <v>5</v>
      </c>
      <c r="B558" s="15" t="s">
        <v>6</v>
      </c>
      <c r="C558" s="15" t="s">
        <v>7</v>
      </c>
      <c r="D558" s="16" t="n">
        <v>2000</v>
      </c>
      <c r="E558" s="17" t="n">
        <v>2001</v>
      </c>
      <c r="F558" s="17" t="n">
        <v>2002</v>
      </c>
      <c r="G558" s="17" t="n">
        <v>2003</v>
      </c>
      <c r="H558" s="17" t="n">
        <v>2004</v>
      </c>
      <c r="I558" s="17" t="n">
        <v>2005</v>
      </c>
      <c r="J558" s="17" t="n">
        <v>2006</v>
      </c>
      <c r="K558" s="17" t="n">
        <v>2007</v>
      </c>
      <c r="L558" s="17" t="n">
        <v>2008</v>
      </c>
      <c r="M558" s="17" t="n">
        <v>2009</v>
      </c>
      <c r="N558" s="18" t="n">
        <v>2010</v>
      </c>
      <c r="O558" s="19" t="n">
        <v>2011</v>
      </c>
      <c r="P558" s="19" t="n">
        <v>2012</v>
      </c>
      <c r="Q558" s="19" t="n">
        <v>2013</v>
      </c>
      <c r="R558" s="19" t="n">
        <v>2014</v>
      </c>
      <c r="S558" s="19" t="n">
        <v>2015</v>
      </c>
      <c r="T558" s="19" t="n">
        <v>2016</v>
      </c>
      <c r="U558" s="19" t="n">
        <v>2017</v>
      </c>
      <c r="V558" s="19" t="n">
        <v>2018</v>
      </c>
      <c r="W558" s="19" t="n">
        <v>2019</v>
      </c>
      <c r="X558" s="19" t="n">
        <v>2020</v>
      </c>
    </row>
    <row r="559" customFormat="false" ht="12.75" hidden="false" customHeight="false" outlineLevel="0" collapsed="false">
      <c r="A559" s="14" t="s">
        <v>8</v>
      </c>
      <c r="B559" s="20" t="n">
        <f aca="false">NPV(0.1,D559:Y559)</f>
        <v>452746.212335607</v>
      </c>
      <c r="C559" s="20" t="n">
        <f aca="false">B559-B549</f>
        <v>0.728733502095565</v>
      </c>
      <c r="D559" s="21" t="n">
        <v>34109.6719250484</v>
      </c>
      <c r="E559" s="22" t="n">
        <v>44409.6484939095</v>
      </c>
      <c r="F559" s="22" t="n">
        <v>44506.731692157</v>
      </c>
      <c r="G559" s="22" t="n">
        <v>50218.2694269803</v>
      </c>
      <c r="H559" s="22" t="n">
        <v>54574.6340870286</v>
      </c>
      <c r="I559" s="22" t="n">
        <v>55063.7221462222</v>
      </c>
      <c r="J559" s="22" t="n">
        <v>55548.6294295186</v>
      </c>
      <c r="K559" s="22" t="n">
        <v>56699.6011141888</v>
      </c>
      <c r="L559" s="22" t="n">
        <v>57194.1916896756</v>
      </c>
      <c r="M559" s="22" t="n">
        <v>58394.5302421505</v>
      </c>
      <c r="N559" s="23" t="n">
        <v>58897.892256659</v>
      </c>
      <c r="O559" s="24" t="n">
        <v>60149.3418261434</v>
      </c>
      <c r="P559" s="24" t="n">
        <v>60660.7092984742</v>
      </c>
      <c r="Q559" s="24" t="n">
        <v>61164.0890274477</v>
      </c>
      <c r="R559" s="24" t="n">
        <v>61658.5415177375</v>
      </c>
      <c r="S559" s="24" t="n">
        <v>62143.0780932664</v>
      </c>
      <c r="T559" s="24" t="n">
        <v>62616.6587919075</v>
      </c>
      <c r="U559" s="24" t="n">
        <v>63078.1901781296</v>
      </c>
      <c r="V559" s="24" t="n">
        <v>63526.5230705588</v>
      </c>
      <c r="W559" s="24" t="n">
        <v>63960.4501813199</v>
      </c>
      <c r="X559" s="24" t="n">
        <v>38508.4173545835</v>
      </c>
    </row>
    <row r="560" customFormat="false" ht="12.75" hidden="false" customHeight="false" outlineLevel="0" collapsed="false">
      <c r="A560" s="25" t="s">
        <v>9</v>
      </c>
      <c r="B560" s="20" t="n">
        <f aca="false">NPV(0.1,D560:Y560)</f>
        <v>208058.439044067</v>
      </c>
      <c r="C560" s="20" t="n">
        <f aca="false">B560-B550</f>
        <v>19.2819081701164</v>
      </c>
      <c r="D560" s="21" t="n">
        <v>21350.5562433131</v>
      </c>
      <c r="E560" s="22" t="n">
        <v>22379.9466474683</v>
      </c>
      <c r="F560" s="22" t="n">
        <v>22543.4041181276</v>
      </c>
      <c r="G560" s="22" t="n">
        <v>23349.3951209078</v>
      </c>
      <c r="H560" s="22" t="n">
        <v>23842.0198006625</v>
      </c>
      <c r="I560" s="22" t="n">
        <v>24034.6532282976</v>
      </c>
      <c r="J560" s="22" t="n">
        <v>24233.1806639352</v>
      </c>
      <c r="K560" s="22" t="n">
        <v>24437.9319211229</v>
      </c>
      <c r="L560" s="22" t="n">
        <v>24648.8257160263</v>
      </c>
      <c r="M560" s="22" t="n">
        <v>24866.0463247767</v>
      </c>
      <c r="N560" s="23" t="n">
        <v>25089.7835517897</v>
      </c>
      <c r="O560" s="24" t="n">
        <v>25320.2328956131</v>
      </c>
      <c r="P560" s="24" t="n">
        <v>25557.5957197511</v>
      </c>
      <c r="Q560" s="24" t="n">
        <v>25802.0794286133</v>
      </c>
      <c r="R560" s="24" t="n">
        <v>26053.8976487414</v>
      </c>
      <c r="S560" s="24" t="n">
        <v>26313.2704154733</v>
      </c>
      <c r="T560" s="24" t="n">
        <v>26580.4243652072</v>
      </c>
      <c r="U560" s="24" t="n">
        <v>26855.5929334331</v>
      </c>
      <c r="V560" s="24" t="n">
        <v>27139.0165587057</v>
      </c>
      <c r="W560" s="24" t="n">
        <v>27430.9428927366</v>
      </c>
      <c r="X560" s="24" t="n">
        <v>25114.8485206303</v>
      </c>
    </row>
    <row r="561" customFormat="false" ht="12.75" hidden="false" customHeight="false" outlineLevel="0" collapsed="false">
      <c r="A561" s="25" t="s">
        <v>10</v>
      </c>
      <c r="B561" s="20" t="n">
        <f aca="false">NPV(0.1,D561:Y561)</f>
        <v>87624.0240081484</v>
      </c>
      <c r="C561" s="20" t="n">
        <f aca="false">B561-B551</f>
        <v>-241.581887185326</v>
      </c>
      <c r="D561" s="21" t="n">
        <v>148.187361537011</v>
      </c>
      <c r="E561" s="22" t="n">
        <v>4562.87033554131</v>
      </c>
      <c r="F561" s="22" t="n">
        <v>4719.26191847444</v>
      </c>
      <c r="G561" s="22" t="n">
        <v>7959.22418655034</v>
      </c>
      <c r="H561" s="22" t="n">
        <v>10651.4897880301</v>
      </c>
      <c r="I561" s="22" t="n">
        <v>11178.1663347027</v>
      </c>
      <c r="J561" s="22" t="n">
        <v>11664.2766674366</v>
      </c>
      <c r="K561" s="22" t="n">
        <v>12494.7236407262</v>
      </c>
      <c r="L561" s="22" t="n">
        <v>12925.1191673474</v>
      </c>
      <c r="M561" s="22" t="n">
        <v>13940.6003138352</v>
      </c>
      <c r="N561" s="23" t="n">
        <v>14644.7807966405</v>
      </c>
      <c r="O561" s="24" t="n">
        <v>15389.7398848529</v>
      </c>
      <c r="P561" s="24" t="n">
        <v>15715.7530772121</v>
      </c>
      <c r="Q561" s="24" t="n">
        <v>16032.6432313984</v>
      </c>
      <c r="R561" s="24" t="n">
        <v>16339.7140581944</v>
      </c>
      <c r="S561" s="24" t="n">
        <v>16636.2357017641</v>
      </c>
      <c r="T561" s="24" t="n">
        <v>16921.443352316</v>
      </c>
      <c r="U561" s="24" t="n">
        <v>17355.0968570032</v>
      </c>
      <c r="V561" s="24" t="n">
        <v>17840.0204912982</v>
      </c>
      <c r="W561" s="24" t="n">
        <v>18407.4479297385</v>
      </c>
      <c r="X561" s="24" t="n">
        <v>5009.28042321945</v>
      </c>
    </row>
    <row r="562" customFormat="false" ht="12.75" hidden="false" customHeight="false" outlineLevel="0" collapsed="false">
      <c r="A562" s="25" t="s">
        <v>11</v>
      </c>
      <c r="B562" s="20" t="n">
        <f aca="false">NPV(0.1,D562:Y562)</f>
        <v>99548.4560873437</v>
      </c>
      <c r="C562" s="20" t="n">
        <f aca="false">B562-B552</f>
        <v>275.700953706328</v>
      </c>
      <c r="D562" s="26" t="n">
        <v>-1173.71421574301</v>
      </c>
      <c r="E562" s="27" t="n">
        <v>8304.3728070217</v>
      </c>
      <c r="F562" s="27" t="n">
        <v>6764.05979370479</v>
      </c>
      <c r="G562" s="27" t="n">
        <v>10394.2698323984</v>
      </c>
      <c r="H562" s="27" t="n">
        <v>16029.8565880508</v>
      </c>
      <c r="I562" s="27" t="n">
        <v>13835.7130396713</v>
      </c>
      <c r="J562" s="27" t="n">
        <v>13291.2378282752</v>
      </c>
      <c r="K562" s="27" t="n">
        <v>14128.5870453264</v>
      </c>
      <c r="L562" s="27" t="n">
        <v>10946.980328186</v>
      </c>
      <c r="M562" s="27" t="n">
        <v>9508.55371843535</v>
      </c>
      <c r="N562" s="28" t="n">
        <v>19218.5819574791</v>
      </c>
      <c r="O562" s="24" t="n">
        <v>19312.183289453</v>
      </c>
      <c r="P562" s="24" t="n">
        <v>19631.2942380507</v>
      </c>
      <c r="Q562" s="24" t="n">
        <v>19955.0866359986</v>
      </c>
      <c r="R562" s="24" t="n">
        <v>20255.2552190331</v>
      </c>
      <c r="S562" s="24" t="n">
        <v>18515.6149529566</v>
      </c>
      <c r="T562" s="24" t="n">
        <v>13473.3606938622</v>
      </c>
      <c r="U562" s="24" t="n">
        <v>12590.4941985495</v>
      </c>
      <c r="V562" s="24" t="n">
        <v>11100.6378328445</v>
      </c>
      <c r="W562" s="24" t="n">
        <v>10351.5452712848</v>
      </c>
      <c r="X562" s="24" t="n">
        <v>8100.0477647657</v>
      </c>
    </row>
    <row r="564" customFormat="false" ht="11.25" hidden="false" customHeight="false" outlineLevel="0" collapsed="false">
      <c r="A564" s="29" t="s">
        <v>67</v>
      </c>
    </row>
    <row r="565" customFormat="false" ht="11.25" hidden="false" customHeight="false" outlineLevel="0" collapsed="false">
      <c r="A565" s="36" t="n">
        <v>36385</v>
      </c>
    </row>
    <row r="566" customFormat="false" ht="12.75" hidden="false" customHeight="false" outlineLevel="0" collapsed="false">
      <c r="A566" s="10" t="s">
        <v>3</v>
      </c>
      <c r="B566" s="11" t="n">
        <v>34646.8112295121</v>
      </c>
      <c r="C566" s="7"/>
      <c r="D566" s="7"/>
      <c r="E566" s="7"/>
      <c r="F566" s="7"/>
      <c r="G566" s="7"/>
      <c r="H566" s="7"/>
      <c r="I566" s="7"/>
      <c r="J566" s="7"/>
      <c r="K566" s="7"/>
      <c r="L566" s="7"/>
      <c r="M566" s="7"/>
      <c r="N566" s="7"/>
      <c r="O566" s="7"/>
      <c r="P566" s="7"/>
      <c r="Q566" s="7"/>
      <c r="R566" s="7"/>
      <c r="S566" s="7"/>
      <c r="T566" s="7"/>
      <c r="U566" s="7"/>
      <c r="V566" s="7"/>
      <c r="W566" s="7"/>
      <c r="X566" s="7"/>
    </row>
    <row r="567" customFormat="false" ht="12.75" hidden="false" customHeight="false" outlineLevel="0" collapsed="false">
      <c r="A567" s="12" t="s">
        <v>4</v>
      </c>
      <c r="B567" s="13" t="n">
        <v>69553.8282413598</v>
      </c>
      <c r="C567" s="7"/>
      <c r="D567" s="7"/>
      <c r="E567" s="7"/>
      <c r="F567" s="7"/>
      <c r="G567" s="7"/>
      <c r="H567" s="7"/>
      <c r="I567" s="7"/>
      <c r="J567" s="7"/>
      <c r="K567" s="7"/>
      <c r="L567" s="7"/>
      <c r="M567" s="7"/>
      <c r="N567" s="7"/>
      <c r="O567" s="7"/>
      <c r="P567" s="7"/>
      <c r="Q567" s="7"/>
      <c r="R567" s="7"/>
      <c r="S567" s="7"/>
      <c r="T567" s="7"/>
      <c r="U567" s="7"/>
      <c r="V567" s="7"/>
      <c r="W567" s="7"/>
      <c r="X567" s="7"/>
    </row>
    <row r="568" customFormat="false" ht="12.75" hidden="false" customHeight="false" outlineLevel="0" collapsed="false">
      <c r="A568" s="14" t="s">
        <v>5</v>
      </c>
      <c r="B568" s="15" t="s">
        <v>6</v>
      </c>
      <c r="C568" s="15" t="s">
        <v>7</v>
      </c>
      <c r="D568" s="16" t="n">
        <v>2000</v>
      </c>
      <c r="E568" s="17" t="n">
        <v>2001</v>
      </c>
      <c r="F568" s="17" t="n">
        <v>2002</v>
      </c>
      <c r="G568" s="17" t="n">
        <v>2003</v>
      </c>
      <c r="H568" s="17" t="n">
        <v>2004</v>
      </c>
      <c r="I568" s="17" t="n">
        <v>2005</v>
      </c>
      <c r="J568" s="17" t="n">
        <v>2006</v>
      </c>
      <c r="K568" s="17" t="n">
        <v>2007</v>
      </c>
      <c r="L568" s="17" t="n">
        <v>2008</v>
      </c>
      <c r="M568" s="17" t="n">
        <v>2009</v>
      </c>
      <c r="N568" s="18" t="n">
        <v>2010</v>
      </c>
      <c r="O568" s="19" t="n">
        <v>2011</v>
      </c>
      <c r="P568" s="19" t="n">
        <v>2012</v>
      </c>
      <c r="Q568" s="19" t="n">
        <v>2013</v>
      </c>
      <c r="R568" s="19" t="n">
        <v>2014</v>
      </c>
      <c r="S568" s="19" t="n">
        <v>2015</v>
      </c>
      <c r="T568" s="19" t="n">
        <v>2016</v>
      </c>
      <c r="U568" s="19" t="n">
        <v>2017</v>
      </c>
      <c r="V568" s="19" t="n">
        <v>2018</v>
      </c>
      <c r="W568" s="19" t="n">
        <v>2019</v>
      </c>
      <c r="X568" s="19" t="n">
        <v>2020</v>
      </c>
    </row>
    <row r="569" customFormat="false" ht="12.75" hidden="false" customHeight="false" outlineLevel="0" collapsed="false">
      <c r="A569" s="14" t="s">
        <v>8</v>
      </c>
      <c r="B569" s="20" t="n">
        <f aca="false">NPV(0.1,D569:Y569)</f>
        <v>452746.254529317</v>
      </c>
      <c r="C569" s="20" t="n">
        <f aca="false">B569-B559</f>
        <v>0.0421937106293626</v>
      </c>
      <c r="D569" s="21" t="n">
        <v>34109.6784564054</v>
      </c>
      <c r="E569" s="22" t="n">
        <v>44409.6596905215</v>
      </c>
      <c r="F569" s="22" t="n">
        <v>44506.742888769</v>
      </c>
      <c r="G569" s="22" t="n">
        <v>50218.2806235923</v>
      </c>
      <c r="H569" s="22" t="n">
        <v>54574.6452836406</v>
      </c>
      <c r="I569" s="22" t="n">
        <v>55063.7269827742</v>
      </c>
      <c r="J569" s="22" t="n">
        <v>55548.6297231706</v>
      </c>
      <c r="K569" s="22" t="n">
        <v>56699.6014078408</v>
      </c>
      <c r="L569" s="22" t="n">
        <v>57194.1919833276</v>
      </c>
      <c r="M569" s="22" t="n">
        <v>58394.5305358025</v>
      </c>
      <c r="N569" s="23" t="n">
        <v>58897.892550311</v>
      </c>
      <c r="O569" s="24" t="n">
        <v>60149.3421197954</v>
      </c>
      <c r="P569" s="24" t="n">
        <v>60660.7095921262</v>
      </c>
      <c r="Q569" s="24" t="n">
        <v>61164.0893210997</v>
      </c>
      <c r="R569" s="24" t="n">
        <v>61658.5418113895</v>
      </c>
      <c r="S569" s="24" t="n">
        <v>62143.0783869184</v>
      </c>
      <c r="T569" s="24" t="n">
        <v>62616.6590855595</v>
      </c>
      <c r="U569" s="24" t="n">
        <v>63078.1904717816</v>
      </c>
      <c r="V569" s="24" t="n">
        <v>63526.5233642108</v>
      </c>
      <c r="W569" s="24" t="n">
        <v>63960.4504749719</v>
      </c>
      <c r="X569" s="24" t="n">
        <v>38508.4176482355</v>
      </c>
    </row>
    <row r="570" customFormat="false" ht="12.75" hidden="false" customHeight="false" outlineLevel="0" collapsed="false">
      <c r="A570" s="25" t="s">
        <v>9</v>
      </c>
      <c r="B570" s="20" t="n">
        <f aca="false">NPV(0.1,D570:Y570)</f>
        <v>208058.481237777</v>
      </c>
      <c r="C570" s="20" t="n">
        <f aca="false">B570-B560</f>
        <v>0.0421937106293626</v>
      </c>
      <c r="D570" s="21" t="n">
        <v>21350.5627746701</v>
      </c>
      <c r="E570" s="22" t="n">
        <v>22379.9578440803</v>
      </c>
      <c r="F570" s="22" t="n">
        <v>22543.4153147396</v>
      </c>
      <c r="G570" s="22" t="n">
        <v>23349.4063175198</v>
      </c>
      <c r="H570" s="22" t="n">
        <v>23842.0309972745</v>
      </c>
      <c r="I570" s="22" t="n">
        <v>24034.6580648496</v>
      </c>
      <c r="J570" s="22" t="n">
        <v>24233.1809575872</v>
      </c>
      <c r="K570" s="22" t="n">
        <v>24437.9322147749</v>
      </c>
      <c r="L570" s="22" t="n">
        <v>24648.8260096783</v>
      </c>
      <c r="M570" s="22" t="n">
        <v>24866.0466184287</v>
      </c>
      <c r="N570" s="23" t="n">
        <v>25089.7838454417</v>
      </c>
      <c r="O570" s="24" t="n">
        <v>25320.2331892651</v>
      </c>
      <c r="P570" s="24" t="n">
        <v>25557.5960134031</v>
      </c>
      <c r="Q570" s="24" t="n">
        <v>25802.0797222653</v>
      </c>
      <c r="R570" s="24" t="n">
        <v>26053.8979423934</v>
      </c>
      <c r="S570" s="24" t="n">
        <v>26313.2707091253</v>
      </c>
      <c r="T570" s="24" t="n">
        <v>26580.4246588592</v>
      </c>
      <c r="U570" s="24" t="n">
        <v>26855.5932270851</v>
      </c>
      <c r="V570" s="24" t="n">
        <v>27139.0168523577</v>
      </c>
      <c r="W570" s="24" t="n">
        <v>27430.9431863886</v>
      </c>
      <c r="X570" s="24" t="n">
        <v>25114.8488142823</v>
      </c>
    </row>
    <row r="571" customFormat="false" ht="12.75" hidden="false" customHeight="false" outlineLevel="0" collapsed="false">
      <c r="A571" s="25" t="s">
        <v>10</v>
      </c>
      <c r="B571" s="20" t="n">
        <f aca="false">NPV(0.1,D571:Y571)</f>
        <v>87610.0444113937</v>
      </c>
      <c r="C571" s="20" t="n">
        <f aca="false">B571-B561</f>
        <v>-13.9795967546961</v>
      </c>
      <c r="D571" s="21" t="n">
        <v>146.023395964302</v>
      </c>
      <c r="E571" s="22" t="n">
        <v>4559.16068027382</v>
      </c>
      <c r="F571" s="22" t="n">
        <v>4715.55226320694</v>
      </c>
      <c r="G571" s="22" t="n">
        <v>7955.51453128284</v>
      </c>
      <c r="H571" s="22" t="n">
        <v>10647.7801327626</v>
      </c>
      <c r="I571" s="22" t="n">
        <v>11176.5638909811</v>
      </c>
      <c r="J571" s="22" t="n">
        <v>11664.1793748191</v>
      </c>
      <c r="K571" s="22" t="n">
        <v>12494.6263481087</v>
      </c>
      <c r="L571" s="22" t="n">
        <v>12925.0218747299</v>
      </c>
      <c r="M571" s="22" t="n">
        <v>13940.5030212177</v>
      </c>
      <c r="N571" s="23" t="n">
        <v>14644.683504023</v>
      </c>
      <c r="O571" s="24" t="n">
        <v>15389.6425922354</v>
      </c>
      <c r="P571" s="24" t="n">
        <v>15715.6557845946</v>
      </c>
      <c r="Q571" s="24" t="n">
        <v>16032.5459387809</v>
      </c>
      <c r="R571" s="24" t="n">
        <v>16339.6167655769</v>
      </c>
      <c r="S571" s="24" t="n">
        <v>16636.1384091466</v>
      </c>
      <c r="T571" s="24" t="n">
        <v>16921.3460596985</v>
      </c>
      <c r="U571" s="24" t="n">
        <v>17354.9995643857</v>
      </c>
      <c r="V571" s="24" t="n">
        <v>17839.9231986807</v>
      </c>
      <c r="W571" s="24" t="n">
        <v>18407.350637121</v>
      </c>
      <c r="X571" s="24" t="n">
        <v>5009.18313060195</v>
      </c>
    </row>
    <row r="572" customFormat="false" ht="12.75" hidden="false" customHeight="false" outlineLevel="0" collapsed="false">
      <c r="A572" s="25" t="s">
        <v>11</v>
      </c>
      <c r="B572" s="20" t="n">
        <f aca="false">NPV(0.1,D572:Y572)</f>
        <v>99557.0149469824</v>
      </c>
      <c r="C572" s="20" t="n">
        <f aca="false">B572-B562</f>
        <v>8.5588596387388</v>
      </c>
      <c r="D572" s="26" t="n">
        <v>-1173.71421574301</v>
      </c>
      <c r="E572" s="27" t="n">
        <v>8304.3728070217</v>
      </c>
      <c r="F572" s="27" t="n">
        <v>6764.05979370479</v>
      </c>
      <c r="G572" s="27" t="n">
        <v>10394.2698323984</v>
      </c>
      <c r="H572" s="27" t="n">
        <v>16041.8891356958</v>
      </c>
      <c r="I572" s="27" t="n">
        <v>13836.8684649648</v>
      </c>
      <c r="J572" s="27" t="n">
        <v>13291.3673281275</v>
      </c>
      <c r="K572" s="27" t="n">
        <v>14128.7167646699</v>
      </c>
      <c r="L572" s="27" t="n">
        <v>10947.1098280383</v>
      </c>
      <c r="M572" s="27" t="n">
        <v>9508.68343777888</v>
      </c>
      <c r="N572" s="28" t="n">
        <v>19218.7114573314</v>
      </c>
      <c r="O572" s="24" t="n">
        <v>19312.3130087965</v>
      </c>
      <c r="P572" s="24" t="n">
        <v>19631.423737903</v>
      </c>
      <c r="Q572" s="24" t="n">
        <v>19955.2163553421</v>
      </c>
      <c r="R572" s="24" t="n">
        <v>20255.3847188853</v>
      </c>
      <c r="S572" s="24" t="n">
        <v>18515.6797028827</v>
      </c>
      <c r="T572" s="24" t="n">
        <v>13473.3606938622</v>
      </c>
      <c r="U572" s="24" t="n">
        <v>12590.4941985495</v>
      </c>
      <c r="V572" s="24" t="n">
        <v>11100.6378328445</v>
      </c>
      <c r="W572" s="24" t="n">
        <v>10351.5452712848</v>
      </c>
      <c r="X572" s="24" t="n">
        <v>8100.04776476569</v>
      </c>
    </row>
    <row r="574" customFormat="false" ht="11.25" hidden="false" customHeight="false" outlineLevel="0" collapsed="false">
      <c r="A574" s="29" t="s">
        <v>68</v>
      </c>
    </row>
    <row r="575" customFormat="false" ht="11.25" hidden="false" customHeight="false" outlineLevel="0" collapsed="false">
      <c r="A575" s="36" t="n">
        <v>36388</v>
      </c>
    </row>
    <row r="576" customFormat="false" ht="12.75" hidden="false" customHeight="false" outlineLevel="0" collapsed="false">
      <c r="A576" s="10" t="s">
        <v>3</v>
      </c>
      <c r="B576" s="11" t="n">
        <v>37941.1007578237</v>
      </c>
      <c r="C576" s="7"/>
      <c r="D576" s="7"/>
      <c r="E576" s="7"/>
      <c r="F576" s="7"/>
      <c r="G576" s="7"/>
      <c r="H576" s="7"/>
      <c r="I576" s="7"/>
      <c r="J576" s="7"/>
      <c r="K576" s="7"/>
      <c r="L576" s="7"/>
      <c r="M576" s="7"/>
      <c r="N576" s="7"/>
      <c r="O576" s="7"/>
      <c r="P576" s="7"/>
      <c r="Q576" s="7"/>
      <c r="R576" s="7"/>
      <c r="S576" s="7"/>
      <c r="T576" s="7"/>
      <c r="U576" s="7"/>
      <c r="V576" s="7"/>
      <c r="W576" s="7"/>
      <c r="X576" s="7"/>
    </row>
    <row r="577" customFormat="false" ht="12.75" hidden="false" customHeight="false" outlineLevel="0" collapsed="false">
      <c r="A577" s="12" t="s">
        <v>4</v>
      </c>
      <c r="B577" s="13" t="n">
        <v>71327.5664796846</v>
      </c>
      <c r="C577" s="7"/>
      <c r="D577" s="7"/>
      <c r="E577" s="7"/>
      <c r="F577" s="7"/>
      <c r="G577" s="7"/>
      <c r="H577" s="7"/>
      <c r="I577" s="7"/>
      <c r="J577" s="7"/>
      <c r="K577" s="7"/>
      <c r="L577" s="7"/>
      <c r="M577" s="7"/>
      <c r="N577" s="7"/>
      <c r="O577" s="7"/>
      <c r="P577" s="7"/>
      <c r="Q577" s="7"/>
      <c r="R577" s="7"/>
      <c r="S577" s="7"/>
      <c r="T577" s="7"/>
      <c r="U577" s="7"/>
      <c r="V577" s="7"/>
      <c r="W577" s="7"/>
      <c r="X577" s="7"/>
    </row>
    <row r="578" customFormat="false" ht="12.75" hidden="false" customHeight="false" outlineLevel="0" collapsed="false">
      <c r="A578" s="14" t="s">
        <v>5</v>
      </c>
      <c r="B578" s="15" t="s">
        <v>6</v>
      </c>
      <c r="C578" s="15" t="s">
        <v>7</v>
      </c>
      <c r="D578" s="16" t="n">
        <v>2000</v>
      </c>
      <c r="E578" s="17" t="n">
        <v>2001</v>
      </c>
      <c r="F578" s="17" t="n">
        <v>2002</v>
      </c>
      <c r="G578" s="17" t="n">
        <v>2003</v>
      </c>
      <c r="H578" s="17" t="n">
        <v>2004</v>
      </c>
      <c r="I578" s="17" t="n">
        <v>2005</v>
      </c>
      <c r="J578" s="17" t="n">
        <v>2006</v>
      </c>
      <c r="K578" s="17" t="n">
        <v>2007</v>
      </c>
      <c r="L578" s="17" t="n">
        <v>2008</v>
      </c>
      <c r="M578" s="17" t="n">
        <v>2009</v>
      </c>
      <c r="N578" s="18" t="n">
        <v>2010</v>
      </c>
      <c r="O578" s="19" t="n">
        <v>2011</v>
      </c>
      <c r="P578" s="19" t="n">
        <v>2012</v>
      </c>
      <c r="Q578" s="19" t="n">
        <v>2013</v>
      </c>
      <c r="R578" s="19" t="n">
        <v>2014</v>
      </c>
      <c r="S578" s="19" t="n">
        <v>2015</v>
      </c>
      <c r="T578" s="19" t="n">
        <v>2016</v>
      </c>
      <c r="U578" s="19" t="n">
        <v>2017</v>
      </c>
      <c r="V578" s="19" t="n">
        <v>2018</v>
      </c>
      <c r="W578" s="19" t="n">
        <v>2019</v>
      </c>
      <c r="X578" s="19" t="n">
        <v>2020</v>
      </c>
    </row>
    <row r="579" customFormat="false" ht="12.75" hidden="false" customHeight="false" outlineLevel="0" collapsed="false">
      <c r="A579" s="14" t="s">
        <v>8</v>
      </c>
      <c r="B579" s="20" t="n">
        <f aca="false">NPV(0.1,D579:Y579)</f>
        <v>452746.254529317</v>
      </c>
      <c r="C579" s="20" t="n">
        <f aca="false">B579-B569</f>
        <v>0</v>
      </c>
      <c r="D579" s="21" t="n">
        <v>34109.6784564054</v>
      </c>
      <c r="E579" s="22" t="n">
        <v>44409.6596905215</v>
      </c>
      <c r="F579" s="22" t="n">
        <v>44506.742888769</v>
      </c>
      <c r="G579" s="22" t="n">
        <v>50218.2806235923</v>
      </c>
      <c r="H579" s="22" t="n">
        <v>54574.6452836406</v>
      </c>
      <c r="I579" s="22" t="n">
        <v>55063.7269827742</v>
      </c>
      <c r="J579" s="22" t="n">
        <v>55548.6297231706</v>
      </c>
      <c r="K579" s="22" t="n">
        <v>56699.6014078408</v>
      </c>
      <c r="L579" s="22" t="n">
        <v>57194.1919833276</v>
      </c>
      <c r="M579" s="22" t="n">
        <v>58394.5305358025</v>
      </c>
      <c r="N579" s="23" t="n">
        <v>58897.892550311</v>
      </c>
      <c r="O579" s="24" t="n">
        <v>60149.3421197954</v>
      </c>
      <c r="P579" s="24" t="n">
        <v>60660.7095921262</v>
      </c>
      <c r="Q579" s="24" t="n">
        <v>61164.0893210997</v>
      </c>
      <c r="R579" s="24" t="n">
        <v>61658.5418113895</v>
      </c>
      <c r="S579" s="24" t="n">
        <v>62143.0783869184</v>
      </c>
      <c r="T579" s="24" t="n">
        <v>62616.6590855595</v>
      </c>
      <c r="U579" s="24" t="n">
        <v>63078.1904717816</v>
      </c>
      <c r="V579" s="24" t="n">
        <v>63526.5233642108</v>
      </c>
      <c r="W579" s="24" t="n">
        <v>63960.4504749719</v>
      </c>
      <c r="X579" s="24" t="n">
        <v>38508.4176482355</v>
      </c>
    </row>
    <row r="580" customFormat="false" ht="12.75" hidden="false" customHeight="false" outlineLevel="0" collapsed="false">
      <c r="A580" s="25" t="s">
        <v>9</v>
      </c>
      <c r="B580" s="20" t="n">
        <f aca="false">NPV(0.1,D580:Y580)</f>
        <v>208058.481237777</v>
      </c>
      <c r="C580" s="20" t="n">
        <f aca="false">B580-B570</f>
        <v>0</v>
      </c>
      <c r="D580" s="21" t="n">
        <v>21350.5627746701</v>
      </c>
      <c r="E580" s="22" t="n">
        <v>22379.9578440803</v>
      </c>
      <c r="F580" s="22" t="n">
        <v>22543.4153147396</v>
      </c>
      <c r="G580" s="22" t="n">
        <v>23349.4063175198</v>
      </c>
      <c r="H580" s="22" t="n">
        <v>23842.0309972745</v>
      </c>
      <c r="I580" s="22" t="n">
        <v>24034.6580648496</v>
      </c>
      <c r="J580" s="22" t="n">
        <v>24233.1809575872</v>
      </c>
      <c r="K580" s="22" t="n">
        <v>24437.9322147749</v>
      </c>
      <c r="L580" s="22" t="n">
        <v>24648.8260096783</v>
      </c>
      <c r="M580" s="22" t="n">
        <v>24866.0466184287</v>
      </c>
      <c r="N580" s="23" t="n">
        <v>25089.7838454417</v>
      </c>
      <c r="O580" s="24" t="n">
        <v>25320.2331892651</v>
      </c>
      <c r="P580" s="24" t="n">
        <v>25557.5960134031</v>
      </c>
      <c r="Q580" s="24" t="n">
        <v>25802.0797222653</v>
      </c>
      <c r="R580" s="24" t="n">
        <v>26053.8979423934</v>
      </c>
      <c r="S580" s="24" t="n">
        <v>26313.2707091253</v>
      </c>
      <c r="T580" s="24" t="n">
        <v>26580.4246588592</v>
      </c>
      <c r="U580" s="24" t="n">
        <v>26855.5932270851</v>
      </c>
      <c r="V580" s="24" t="n">
        <v>27139.0168523577</v>
      </c>
      <c r="W580" s="24" t="n">
        <v>27430.9431863886</v>
      </c>
      <c r="X580" s="24" t="n">
        <v>25114.8488142823</v>
      </c>
    </row>
    <row r="581" customFormat="false" ht="12.75" hidden="false" customHeight="false" outlineLevel="0" collapsed="false">
      <c r="A581" s="25" t="s">
        <v>10</v>
      </c>
      <c r="B581" s="20" t="n">
        <f aca="false">NPV(0.1,D581:Y581)</f>
        <v>84869.2657994686</v>
      </c>
      <c r="C581" s="20" t="n">
        <f aca="false">B581-B571</f>
        <v>-2740.77861192517</v>
      </c>
      <c r="D581" s="21" t="n">
        <v>-313.144028297761</v>
      </c>
      <c r="E581" s="22" t="n">
        <v>4114.3039116661</v>
      </c>
      <c r="F581" s="22" t="n">
        <v>4285.00615025357</v>
      </c>
      <c r="G581" s="22" t="n">
        <v>7546.87654934177</v>
      </c>
      <c r="H581" s="22" t="n">
        <v>10268.6477571918</v>
      </c>
      <c r="I581" s="22" t="n">
        <v>10817.6259720158</v>
      </c>
      <c r="J581" s="22" t="n">
        <v>11325.4359124595</v>
      </c>
      <c r="K581" s="22" t="n">
        <v>12178.5770952996</v>
      </c>
      <c r="L581" s="22" t="n">
        <v>12631.6668314712</v>
      </c>
      <c r="M581" s="22" t="n">
        <v>13685.0371382254</v>
      </c>
      <c r="N581" s="23" t="n">
        <v>14437.2040095999</v>
      </c>
      <c r="O581" s="24" t="n">
        <v>15192.1621095917</v>
      </c>
      <c r="P581" s="24" t="n">
        <v>15530.6740666752</v>
      </c>
      <c r="Q581" s="24" t="n">
        <v>15860.0629855858</v>
      </c>
      <c r="R581" s="24" t="n">
        <v>16179.6325771061</v>
      </c>
      <c r="S581" s="24" t="n">
        <v>16488.6529854001</v>
      </c>
      <c r="T581" s="24" t="n">
        <v>16786.3594006762</v>
      </c>
      <c r="U581" s="24" t="n">
        <v>17245.010434812</v>
      </c>
      <c r="V581" s="24" t="n">
        <v>17759.9311044453</v>
      </c>
      <c r="W581" s="24" t="n">
        <v>18364.8548370584</v>
      </c>
      <c r="X581" s="24" t="n">
        <v>5009.18313060195</v>
      </c>
    </row>
    <row r="582" customFormat="false" ht="12.75" hidden="false" customHeight="false" outlineLevel="0" collapsed="false">
      <c r="A582" s="25" t="s">
        <v>11</v>
      </c>
      <c r="B582" s="20" t="n">
        <f aca="false">NPV(0.1,D582:Y582)</f>
        <v>92487.9522710046</v>
      </c>
      <c r="C582" s="20" t="n">
        <f aca="false">B582-B572</f>
        <v>-7069.06267597785</v>
      </c>
      <c r="D582" s="26" t="n">
        <v>-2300.46379085651</v>
      </c>
      <c r="E582" s="27" t="n">
        <v>7201.6193009157</v>
      </c>
      <c r="F582" s="27" t="n">
        <v>5517.01403035629</v>
      </c>
      <c r="G582" s="27" t="n">
        <v>9015.67123810451</v>
      </c>
      <c r="H582" s="27" t="n">
        <v>16403.4952050726</v>
      </c>
      <c r="I582" s="27" t="n">
        <v>13038.8702985995</v>
      </c>
      <c r="J582" s="27" t="n">
        <v>12462.3218209179</v>
      </c>
      <c r="K582" s="27" t="n">
        <v>13322.3654670107</v>
      </c>
      <c r="L582" s="27" t="n">
        <v>9826.87608742962</v>
      </c>
      <c r="M582" s="27" t="n">
        <v>8206.80873373657</v>
      </c>
      <c r="N582" s="28" t="n">
        <v>18806.2647731082</v>
      </c>
      <c r="O582" s="24" t="n">
        <v>18858.6235389028</v>
      </c>
      <c r="P582" s="24" t="n">
        <v>19190.2330327336</v>
      </c>
      <c r="Q582" s="24" t="n">
        <v>19526.5244148969</v>
      </c>
      <c r="R582" s="24" t="n">
        <v>19839.1915431645</v>
      </c>
      <c r="S582" s="24" t="n">
        <v>18111.9852918861</v>
      </c>
      <c r="T582" s="24" t="n">
        <v>12825.9560603399</v>
      </c>
      <c r="U582" s="24" t="n">
        <v>11865.6034995758</v>
      </c>
      <c r="V582" s="24" t="n">
        <v>10252.018776859</v>
      </c>
      <c r="W582" s="24" t="n">
        <v>9437.93891457218</v>
      </c>
      <c r="X582" s="24" t="n">
        <v>8100.0477647657</v>
      </c>
    </row>
    <row r="584" customFormat="false" ht="11.25" hidden="false" customHeight="false" outlineLevel="0" collapsed="false">
      <c r="A584" s="29" t="s">
        <v>69</v>
      </c>
    </row>
    <row r="585" customFormat="false" ht="11.25" hidden="false" customHeight="false" outlineLevel="0" collapsed="false">
      <c r="A585" s="36" t="n">
        <v>36388</v>
      </c>
    </row>
    <row r="586" customFormat="false" ht="12.75" hidden="false" customHeight="false" outlineLevel="0" collapsed="false">
      <c r="A586" s="10" t="s">
        <v>3</v>
      </c>
      <c r="B586" s="11" t="n">
        <v>37518.8207559782</v>
      </c>
      <c r="C586" s="7"/>
      <c r="D586" s="7"/>
      <c r="E586" s="7"/>
      <c r="F586" s="7"/>
      <c r="G586" s="7"/>
      <c r="H586" s="7"/>
      <c r="I586" s="7"/>
      <c r="J586" s="7"/>
      <c r="K586" s="7"/>
      <c r="L586" s="7"/>
      <c r="M586" s="7"/>
      <c r="N586" s="7"/>
      <c r="O586" s="7"/>
      <c r="P586" s="7"/>
      <c r="Q586" s="7"/>
      <c r="R586" s="7"/>
      <c r="S586" s="7"/>
      <c r="T586" s="7"/>
      <c r="U586" s="7"/>
      <c r="V586" s="7"/>
      <c r="W586" s="7"/>
      <c r="X586" s="7"/>
    </row>
    <row r="587" customFormat="false" ht="12.75" hidden="false" customHeight="false" outlineLevel="0" collapsed="false">
      <c r="A587" s="12" t="s">
        <v>4</v>
      </c>
      <c r="B587" s="13" t="n">
        <v>70759.6565719392</v>
      </c>
      <c r="C587" s="7"/>
      <c r="D587" s="7"/>
      <c r="E587" s="7"/>
      <c r="F587" s="7"/>
      <c r="G587" s="7"/>
      <c r="H587" s="7"/>
      <c r="I587" s="7"/>
      <c r="J587" s="7"/>
      <c r="K587" s="7"/>
      <c r="L587" s="7"/>
      <c r="M587" s="7"/>
      <c r="N587" s="7"/>
      <c r="O587" s="7"/>
      <c r="P587" s="7"/>
      <c r="Q587" s="7"/>
      <c r="R587" s="7"/>
      <c r="S587" s="7"/>
      <c r="T587" s="7"/>
      <c r="U587" s="7"/>
      <c r="V587" s="7"/>
      <c r="W587" s="7"/>
      <c r="X587" s="7"/>
    </row>
    <row r="588" customFormat="false" ht="12.75" hidden="false" customHeight="false" outlineLevel="0" collapsed="false">
      <c r="A588" s="14" t="s">
        <v>5</v>
      </c>
      <c r="B588" s="15" t="s">
        <v>6</v>
      </c>
      <c r="C588" s="15" t="s">
        <v>7</v>
      </c>
      <c r="D588" s="16" t="n">
        <v>2000</v>
      </c>
      <c r="E588" s="17" t="n">
        <v>2001</v>
      </c>
      <c r="F588" s="17" t="n">
        <v>2002</v>
      </c>
      <c r="G588" s="17" t="n">
        <v>2003</v>
      </c>
      <c r="H588" s="17" t="n">
        <v>2004</v>
      </c>
      <c r="I588" s="17" t="n">
        <v>2005</v>
      </c>
      <c r="J588" s="17" t="n">
        <v>2006</v>
      </c>
      <c r="K588" s="17" t="n">
        <v>2007</v>
      </c>
      <c r="L588" s="17" t="n">
        <v>2008</v>
      </c>
      <c r="M588" s="17" t="n">
        <v>2009</v>
      </c>
      <c r="N588" s="18" t="n">
        <v>2010</v>
      </c>
      <c r="O588" s="19" t="n">
        <v>2011</v>
      </c>
      <c r="P588" s="19" t="n">
        <v>2012</v>
      </c>
      <c r="Q588" s="19" t="n">
        <v>2013</v>
      </c>
      <c r="R588" s="19" t="n">
        <v>2014</v>
      </c>
      <c r="S588" s="19" t="n">
        <v>2015</v>
      </c>
      <c r="T588" s="19" t="n">
        <v>2016</v>
      </c>
      <c r="U588" s="19" t="n">
        <v>2017</v>
      </c>
      <c r="V588" s="19" t="n">
        <v>2018</v>
      </c>
      <c r="W588" s="19" t="n">
        <v>2019</v>
      </c>
      <c r="X588" s="19" t="n">
        <v>2020</v>
      </c>
    </row>
    <row r="589" customFormat="false" ht="12.75" hidden="false" customHeight="false" outlineLevel="0" collapsed="false">
      <c r="A589" s="14" t="s">
        <v>8</v>
      </c>
      <c r="B589" s="20" t="n">
        <f aca="false">NPV(0.1,D589:Y589)</f>
        <v>452746.254529317</v>
      </c>
      <c r="C589" s="20" t="n">
        <f aca="false">B589-B579</f>
        <v>0</v>
      </c>
      <c r="D589" s="21" t="n">
        <v>34109.6784564054</v>
      </c>
      <c r="E589" s="22" t="n">
        <v>44409.6596905215</v>
      </c>
      <c r="F589" s="22" t="n">
        <v>44506.742888769</v>
      </c>
      <c r="G589" s="22" t="n">
        <v>50218.2806235923</v>
      </c>
      <c r="H589" s="22" t="n">
        <v>54574.6452836406</v>
      </c>
      <c r="I589" s="22" t="n">
        <v>55063.7269827742</v>
      </c>
      <c r="J589" s="22" t="n">
        <v>55548.6297231706</v>
      </c>
      <c r="K589" s="22" t="n">
        <v>56699.6014078408</v>
      </c>
      <c r="L589" s="22" t="n">
        <v>57194.1919833276</v>
      </c>
      <c r="M589" s="22" t="n">
        <v>58394.5305358025</v>
      </c>
      <c r="N589" s="23" t="n">
        <v>58897.892550311</v>
      </c>
      <c r="O589" s="24" t="n">
        <v>60149.3421197954</v>
      </c>
      <c r="P589" s="24" t="n">
        <v>60660.7095921262</v>
      </c>
      <c r="Q589" s="24" t="n">
        <v>61164.0893210997</v>
      </c>
      <c r="R589" s="24" t="n">
        <v>61658.5418113895</v>
      </c>
      <c r="S589" s="24" t="n">
        <v>62143.0783869184</v>
      </c>
      <c r="T589" s="24" t="n">
        <v>62616.6590855595</v>
      </c>
      <c r="U589" s="24" t="n">
        <v>63078.1904717816</v>
      </c>
      <c r="V589" s="24" t="n">
        <v>63526.5233642108</v>
      </c>
      <c r="W589" s="24" t="n">
        <v>63960.4504749719</v>
      </c>
      <c r="X589" s="24" t="n">
        <v>38508.4176482355</v>
      </c>
    </row>
    <row r="590" customFormat="false" ht="12.75" hidden="false" customHeight="false" outlineLevel="0" collapsed="false">
      <c r="A590" s="25" t="s">
        <v>9</v>
      </c>
      <c r="B590" s="20" t="n">
        <f aca="false">NPV(0.1,D590:Y590)</f>
        <v>208058.481237777</v>
      </c>
      <c r="C590" s="20" t="n">
        <f aca="false">B590-B580</f>
        <v>0</v>
      </c>
      <c r="D590" s="21" t="n">
        <v>21350.5627746701</v>
      </c>
      <c r="E590" s="22" t="n">
        <v>22379.9578440803</v>
      </c>
      <c r="F590" s="22" t="n">
        <v>22543.4153147396</v>
      </c>
      <c r="G590" s="22" t="n">
        <v>23349.4063175198</v>
      </c>
      <c r="H590" s="22" t="n">
        <v>23842.0309972745</v>
      </c>
      <c r="I590" s="22" t="n">
        <v>24034.6580648496</v>
      </c>
      <c r="J590" s="22" t="n">
        <v>24233.1809575872</v>
      </c>
      <c r="K590" s="22" t="n">
        <v>24437.9322147749</v>
      </c>
      <c r="L590" s="22" t="n">
        <v>24648.8260096783</v>
      </c>
      <c r="M590" s="22" t="n">
        <v>24866.0466184287</v>
      </c>
      <c r="N590" s="23" t="n">
        <v>25089.7838454417</v>
      </c>
      <c r="O590" s="24" t="n">
        <v>25320.2331892651</v>
      </c>
      <c r="P590" s="24" t="n">
        <v>25557.5960134031</v>
      </c>
      <c r="Q590" s="24" t="n">
        <v>25802.0797222653</v>
      </c>
      <c r="R590" s="24" t="n">
        <v>26053.8979423934</v>
      </c>
      <c r="S590" s="24" t="n">
        <v>26313.2707091253</v>
      </c>
      <c r="T590" s="24" t="n">
        <v>26580.4246588592</v>
      </c>
      <c r="U590" s="24" t="n">
        <v>26855.5932270851</v>
      </c>
      <c r="V590" s="24" t="n">
        <v>27139.0168523577</v>
      </c>
      <c r="W590" s="24" t="n">
        <v>27430.9431863886</v>
      </c>
      <c r="X590" s="24" t="n">
        <v>25114.8488142823</v>
      </c>
    </row>
    <row r="591" customFormat="false" ht="12.75" hidden="false" customHeight="false" outlineLevel="0" collapsed="false">
      <c r="A591" s="25" t="s">
        <v>10</v>
      </c>
      <c r="B591" s="20" t="n">
        <f aca="false">NPV(0.1,D591:Y591)</f>
        <v>84540.3172769686</v>
      </c>
      <c r="C591" s="20" t="n">
        <f aca="false">B591-B581</f>
        <v>-328.948522499995</v>
      </c>
      <c r="D591" s="21" t="n">
        <v>-674.987403047761</v>
      </c>
      <c r="E591" s="22" t="n">
        <v>4114.3039116661</v>
      </c>
      <c r="F591" s="22" t="n">
        <v>4285.00615025357</v>
      </c>
      <c r="G591" s="22" t="n">
        <v>7546.87654934177</v>
      </c>
      <c r="H591" s="22" t="n">
        <v>10268.6477571918</v>
      </c>
      <c r="I591" s="22" t="n">
        <v>10817.6259720158</v>
      </c>
      <c r="J591" s="22" t="n">
        <v>11325.4359124595</v>
      </c>
      <c r="K591" s="22" t="n">
        <v>12178.5770952996</v>
      </c>
      <c r="L591" s="22" t="n">
        <v>12631.6668314712</v>
      </c>
      <c r="M591" s="22" t="n">
        <v>13685.0371382254</v>
      </c>
      <c r="N591" s="23" t="n">
        <v>14437.2040095999</v>
      </c>
      <c r="O591" s="24" t="n">
        <v>15192.1621095917</v>
      </c>
      <c r="P591" s="24" t="n">
        <v>15530.6740666752</v>
      </c>
      <c r="Q591" s="24" t="n">
        <v>15860.0629855858</v>
      </c>
      <c r="R591" s="24" t="n">
        <v>16179.6325771061</v>
      </c>
      <c r="S591" s="24" t="n">
        <v>16488.6529854001</v>
      </c>
      <c r="T591" s="24" t="n">
        <v>16786.3594006762</v>
      </c>
      <c r="U591" s="24" t="n">
        <v>17245.010434812</v>
      </c>
      <c r="V591" s="24" t="n">
        <v>17759.9311044453</v>
      </c>
      <c r="W591" s="24" t="n">
        <v>18364.8548370584</v>
      </c>
      <c r="X591" s="24" t="n">
        <v>5009.18313060195</v>
      </c>
    </row>
    <row r="592" customFormat="false" ht="12.75" hidden="false" customHeight="false" outlineLevel="0" collapsed="false">
      <c r="A592" s="25" t="s">
        <v>11</v>
      </c>
      <c r="B592" s="20" t="n">
        <f aca="false">NPV(0.1,D592:Y592)</f>
        <v>92088.4325657249</v>
      </c>
      <c r="C592" s="20" t="n">
        <f aca="false">B592-B582</f>
        <v>-399.519705279701</v>
      </c>
      <c r="D592" s="26" t="n">
        <v>-2907.20179085651</v>
      </c>
      <c r="E592" s="27" t="n">
        <v>7201.6193009157</v>
      </c>
      <c r="F592" s="27" t="n">
        <v>5517.01403035629</v>
      </c>
      <c r="G592" s="27" t="n">
        <v>9015.67123810451</v>
      </c>
      <c r="H592" s="27" t="n">
        <v>16648.3898303226</v>
      </c>
      <c r="I592" s="27" t="n">
        <v>13038.8702985995</v>
      </c>
      <c r="J592" s="27" t="n">
        <v>12462.3218209179</v>
      </c>
      <c r="K592" s="27" t="n">
        <v>13322.3654670107</v>
      </c>
      <c r="L592" s="27" t="n">
        <v>9826.87608742962</v>
      </c>
      <c r="M592" s="27" t="n">
        <v>8206.80873373657</v>
      </c>
      <c r="N592" s="28" t="n">
        <v>18806.2647731082</v>
      </c>
      <c r="O592" s="24" t="n">
        <v>18858.6235389028</v>
      </c>
      <c r="P592" s="24" t="n">
        <v>19190.2330327336</v>
      </c>
      <c r="Q592" s="24" t="n">
        <v>19526.5244148969</v>
      </c>
      <c r="R592" s="24" t="n">
        <v>19839.1915431645</v>
      </c>
      <c r="S592" s="24" t="n">
        <v>18111.9852918861</v>
      </c>
      <c r="T592" s="24" t="n">
        <v>12825.9560603399</v>
      </c>
      <c r="U592" s="24" t="n">
        <v>11865.6034995758</v>
      </c>
      <c r="V592" s="24" t="n">
        <v>10252.018776859</v>
      </c>
      <c r="W592" s="24" t="n">
        <v>9437.93891457218</v>
      </c>
      <c r="X592" s="24" t="n">
        <v>8100.0477647657</v>
      </c>
    </row>
    <row r="595" customFormat="false" ht="11.25" hidden="false" customHeight="false" outlineLevel="0" collapsed="false">
      <c r="A595" s="41" t="n">
        <v>59</v>
      </c>
    </row>
    <row r="596" customFormat="false" ht="11.25" hidden="false" customHeight="false" outlineLevel="0" collapsed="false">
      <c r="A596" s="36" t="n">
        <v>36391</v>
      </c>
    </row>
    <row r="597" customFormat="false" ht="12.75" hidden="false" customHeight="false" outlineLevel="0" collapsed="false">
      <c r="A597" s="10" t="s">
        <v>3</v>
      </c>
      <c r="B597" s="11" t="n">
        <v>37527.0800559095</v>
      </c>
      <c r="C597" s="7"/>
      <c r="D597" s="7"/>
      <c r="E597" s="7"/>
      <c r="F597" s="7"/>
      <c r="G597" s="7"/>
      <c r="H597" s="7"/>
      <c r="I597" s="7"/>
      <c r="J597" s="7"/>
      <c r="K597" s="7"/>
      <c r="L597" s="7"/>
      <c r="M597" s="7"/>
      <c r="N597" s="7"/>
      <c r="O597" s="7"/>
      <c r="P597" s="7"/>
      <c r="Q597" s="7"/>
      <c r="R597" s="7"/>
      <c r="S597" s="7"/>
      <c r="T597" s="7"/>
      <c r="U597" s="7"/>
      <c r="V597" s="7"/>
      <c r="W597" s="7"/>
      <c r="X597" s="7"/>
    </row>
    <row r="598" customFormat="false" ht="12.75" hidden="false" customHeight="false" outlineLevel="0" collapsed="false">
      <c r="A598" s="12" t="s">
        <v>4</v>
      </c>
      <c r="B598" s="13" t="n">
        <v>70763.6948156536</v>
      </c>
      <c r="C598" s="7"/>
      <c r="D598" s="7"/>
      <c r="E598" s="7"/>
      <c r="F598" s="7"/>
      <c r="G598" s="7"/>
      <c r="H598" s="7"/>
      <c r="I598" s="7"/>
      <c r="J598" s="7"/>
      <c r="K598" s="7"/>
      <c r="L598" s="7"/>
      <c r="M598" s="7"/>
      <c r="N598" s="7"/>
      <c r="O598" s="7"/>
      <c r="P598" s="7"/>
      <c r="Q598" s="7"/>
      <c r="R598" s="7"/>
      <c r="S598" s="7"/>
      <c r="T598" s="7"/>
      <c r="U598" s="7"/>
      <c r="V598" s="7"/>
      <c r="W598" s="7"/>
      <c r="X598" s="7"/>
    </row>
    <row r="599" customFormat="false" ht="12.75" hidden="false" customHeight="false" outlineLevel="0" collapsed="false">
      <c r="A599" s="14" t="s">
        <v>5</v>
      </c>
      <c r="B599" s="15" t="s">
        <v>6</v>
      </c>
      <c r="C599" s="15" t="s">
        <v>7</v>
      </c>
      <c r="D599" s="16" t="n">
        <v>2000</v>
      </c>
      <c r="E599" s="17" t="n">
        <v>2001</v>
      </c>
      <c r="F599" s="17" t="n">
        <v>2002</v>
      </c>
      <c r="G599" s="17" t="n">
        <v>2003</v>
      </c>
      <c r="H599" s="17" t="n">
        <v>2004</v>
      </c>
      <c r="I599" s="17" t="n">
        <v>2005</v>
      </c>
      <c r="J599" s="17" t="n">
        <v>2006</v>
      </c>
      <c r="K599" s="17" t="n">
        <v>2007</v>
      </c>
      <c r="L599" s="17" t="n">
        <v>2008</v>
      </c>
      <c r="M599" s="17" t="n">
        <v>2009</v>
      </c>
      <c r="N599" s="18" t="n">
        <v>2010</v>
      </c>
      <c r="O599" s="19" t="n">
        <v>2011</v>
      </c>
      <c r="P599" s="19" t="n">
        <v>2012</v>
      </c>
      <c r="Q599" s="19" t="n">
        <v>2013</v>
      </c>
      <c r="R599" s="19" t="n">
        <v>2014</v>
      </c>
      <c r="S599" s="19" t="n">
        <v>2015</v>
      </c>
      <c r="T599" s="19" t="n">
        <v>2016</v>
      </c>
      <c r="U599" s="19" t="n">
        <v>2017</v>
      </c>
      <c r="V599" s="19" t="n">
        <v>2018</v>
      </c>
      <c r="W599" s="19" t="n">
        <v>2019</v>
      </c>
      <c r="X599" s="19" t="n">
        <v>2020</v>
      </c>
    </row>
    <row r="600" customFormat="false" ht="12.75" hidden="false" customHeight="false" outlineLevel="0" collapsed="false">
      <c r="A600" s="14" t="s">
        <v>8</v>
      </c>
      <c r="B600" s="20" t="n">
        <f aca="false">NPV(0.1,D600:Y600)</f>
        <v>452746.273795718</v>
      </c>
      <c r="C600" s="20" t="n">
        <f aca="false">B600-B589</f>
        <v>0.0192664006026462</v>
      </c>
      <c r="D600" s="21" t="n">
        <v>34109.6798328861</v>
      </c>
      <c r="E600" s="22" t="n">
        <v>44409.6620181672</v>
      </c>
      <c r="F600" s="22" t="n">
        <v>44506.7452164147</v>
      </c>
      <c r="G600" s="22" t="n">
        <v>50218.282951238</v>
      </c>
      <c r="H600" s="22" t="n">
        <v>54574.6476112863</v>
      </c>
      <c r="I600" s="22" t="n">
        <v>55063.7293104199</v>
      </c>
      <c r="J600" s="22" t="n">
        <v>55548.6320508163</v>
      </c>
      <c r="K600" s="22" t="n">
        <v>56699.6037354865</v>
      </c>
      <c r="L600" s="22" t="n">
        <v>57194.1943109733</v>
      </c>
      <c r="M600" s="22" t="n">
        <v>58394.5328634482</v>
      </c>
      <c r="N600" s="23" t="n">
        <v>58897.8948779567</v>
      </c>
      <c r="O600" s="24" t="n">
        <v>60149.3444474411</v>
      </c>
      <c r="P600" s="24" t="n">
        <v>60660.7119197719</v>
      </c>
      <c r="Q600" s="24" t="n">
        <v>61164.0916487454</v>
      </c>
      <c r="R600" s="24" t="n">
        <v>61658.5441390352</v>
      </c>
      <c r="S600" s="24" t="n">
        <v>62143.0807145641</v>
      </c>
      <c r="T600" s="24" t="n">
        <v>62616.6614132052</v>
      </c>
      <c r="U600" s="24" t="n">
        <v>63078.1927994273</v>
      </c>
      <c r="V600" s="24" t="n">
        <v>63526.5256918565</v>
      </c>
      <c r="W600" s="24" t="n">
        <v>63960.4528026176</v>
      </c>
      <c r="X600" s="24" t="n">
        <v>38508.4199758812</v>
      </c>
    </row>
    <row r="601" customFormat="false" ht="12.75" hidden="false" customHeight="false" outlineLevel="0" collapsed="false">
      <c r="A601" s="25" t="s">
        <v>9</v>
      </c>
      <c r="B601" s="20" t="n">
        <f aca="false">NPV(0.1,D601:Y601)</f>
        <v>208058.715999369</v>
      </c>
      <c r="C601" s="20" t="n">
        <f aca="false">B601-B590</f>
        <v>0.234761591942515</v>
      </c>
      <c r="D601" s="21" t="n">
        <v>21350.5890676508</v>
      </c>
      <c r="E601" s="22" t="n">
        <v>22379.985088226</v>
      </c>
      <c r="F601" s="22" t="n">
        <v>22543.4425588853</v>
      </c>
      <c r="G601" s="22" t="n">
        <v>23349.4335616655</v>
      </c>
      <c r="H601" s="22" t="n">
        <v>23842.0582414202</v>
      </c>
      <c r="I601" s="22" t="n">
        <v>24034.6853089953</v>
      </c>
      <c r="J601" s="22" t="n">
        <v>24233.2082017329</v>
      </c>
      <c r="K601" s="22" t="n">
        <v>24437.9594589206</v>
      </c>
      <c r="L601" s="22" t="n">
        <v>24648.853253824</v>
      </c>
      <c r="M601" s="22" t="n">
        <v>24866.0738625744</v>
      </c>
      <c r="N601" s="23" t="n">
        <v>25089.8110895874</v>
      </c>
      <c r="O601" s="24" t="n">
        <v>25320.2604334108</v>
      </c>
      <c r="P601" s="24" t="n">
        <v>25557.6232575488</v>
      </c>
      <c r="Q601" s="24" t="n">
        <v>25802.106966411</v>
      </c>
      <c r="R601" s="24" t="n">
        <v>26053.9251865391</v>
      </c>
      <c r="S601" s="24" t="n">
        <v>26313.297953271</v>
      </c>
      <c r="T601" s="24" t="n">
        <v>26580.4519030049</v>
      </c>
      <c r="U601" s="24" t="n">
        <v>26855.6204712308</v>
      </c>
      <c r="V601" s="24" t="n">
        <v>27139.0440965034</v>
      </c>
      <c r="W601" s="24" t="n">
        <v>27430.9704305343</v>
      </c>
      <c r="X601" s="24" t="n">
        <v>25114.876058428</v>
      </c>
    </row>
    <row r="602" customFormat="false" ht="12.75" hidden="false" customHeight="false" outlineLevel="0" collapsed="false">
      <c r="A602" s="25" t="s">
        <v>10</v>
      </c>
      <c r="B602" s="20" t="n">
        <f aca="false">NPV(0.1,D602:Y602)</f>
        <v>84542.1351400754</v>
      </c>
      <c r="C602" s="20" t="n">
        <f aca="false">B602-B591</f>
        <v>1.81786310678581</v>
      </c>
      <c r="D602" s="21" t="n">
        <v>-662.612830703004</v>
      </c>
      <c r="E602" s="22" t="n">
        <v>4112.87487908728</v>
      </c>
      <c r="F602" s="22" t="n">
        <v>4283.60072058554</v>
      </c>
      <c r="G602" s="22" t="n">
        <v>7545.50468582068</v>
      </c>
      <c r="H602" s="22" t="n">
        <v>10267.3194230538</v>
      </c>
      <c r="I602" s="22" t="n">
        <v>10816.3253159321</v>
      </c>
      <c r="J602" s="22" t="n">
        <v>11324.16293443</v>
      </c>
      <c r="K602" s="22" t="n">
        <v>12177.3356711153</v>
      </c>
      <c r="L602" s="22" t="n">
        <v>12630.4569611322</v>
      </c>
      <c r="M602" s="22" t="n">
        <v>13683.8787482039</v>
      </c>
      <c r="N602" s="23" t="n">
        <v>14436.110938923</v>
      </c>
      <c r="O602" s="24" t="n">
        <v>15191.0845420787</v>
      </c>
      <c r="P602" s="24" t="n">
        <v>15529.6158781172</v>
      </c>
      <c r="Q602" s="24" t="n">
        <v>15859.0241759827</v>
      </c>
      <c r="R602" s="24" t="n">
        <v>16178.613146458</v>
      </c>
      <c r="S602" s="24" t="n">
        <v>16487.6529337069</v>
      </c>
      <c r="T602" s="24" t="n">
        <v>16785.3787279379</v>
      </c>
      <c r="U602" s="24" t="n">
        <v>17244.0685199837</v>
      </c>
      <c r="V602" s="24" t="n">
        <v>17759.0356991088</v>
      </c>
      <c r="W602" s="24" t="n">
        <v>18364.0175685867</v>
      </c>
      <c r="X602" s="24" t="n">
        <v>5008.41175057703</v>
      </c>
    </row>
    <row r="603" customFormat="false" ht="12.75" hidden="false" customHeight="false" outlineLevel="0" collapsed="false">
      <c r="A603" s="25" t="s">
        <v>11</v>
      </c>
      <c r="B603" s="20" t="n">
        <f aca="false">NPV(0.1,D603:Y603)</f>
        <v>92100.7302721228</v>
      </c>
      <c r="C603" s="20" t="n">
        <f aca="false">B603-B592</f>
        <v>12.2977063978615</v>
      </c>
      <c r="D603" s="26" t="n">
        <v>-2886.27593964827</v>
      </c>
      <c r="E603" s="27" t="n">
        <v>7199.90281292144</v>
      </c>
      <c r="F603" s="27" t="n">
        <v>5515.11642840953</v>
      </c>
      <c r="G603" s="27" t="n">
        <v>9013.60922853289</v>
      </c>
      <c r="H603" s="27" t="n">
        <v>16646.2843270055</v>
      </c>
      <c r="I603" s="27" t="n">
        <v>13038.7887121528</v>
      </c>
      <c r="J603" s="27" t="n">
        <v>12462.1321562926</v>
      </c>
      <c r="K603" s="27" t="n">
        <v>13322.209062515</v>
      </c>
      <c r="L603" s="27" t="n">
        <v>9826.30814799482</v>
      </c>
      <c r="M603" s="27" t="n">
        <v>8205.9938408036</v>
      </c>
      <c r="N603" s="28" t="n">
        <v>18806.6169494856</v>
      </c>
      <c r="O603" s="24" t="n">
        <v>18858.9134758785</v>
      </c>
      <c r="P603" s="24" t="n">
        <v>19190.5406423798</v>
      </c>
      <c r="Q603" s="24" t="n">
        <v>19526.8531097824</v>
      </c>
      <c r="R603" s="24" t="n">
        <v>19839.5379107206</v>
      </c>
      <c r="S603" s="24" t="n">
        <v>18111.8476845213</v>
      </c>
      <c r="T603" s="24" t="n">
        <v>12824.9372338042</v>
      </c>
      <c r="U603" s="24" t="n">
        <v>11864.4645332499</v>
      </c>
      <c r="V603" s="24" t="n">
        <v>10250.687973475</v>
      </c>
      <c r="W603" s="24" t="n">
        <v>9436.50735035298</v>
      </c>
      <c r="X603" s="24" t="n">
        <v>8100.03271944328</v>
      </c>
    </row>
    <row r="606" customFormat="false" ht="11.25" hidden="false" customHeight="false" outlineLevel="0" collapsed="false">
      <c r="A606" s="41" t="s">
        <v>70</v>
      </c>
    </row>
    <row r="607" customFormat="false" ht="11.25" hidden="false" customHeight="false" outlineLevel="0" collapsed="false">
      <c r="A607" s="36" t="n">
        <v>36396</v>
      </c>
    </row>
    <row r="608" customFormat="false" ht="12.75" hidden="false" customHeight="false" outlineLevel="0" collapsed="false">
      <c r="A608" s="10" t="s">
        <v>3</v>
      </c>
      <c r="B608" s="11" t="n">
        <v>37537.5590216431</v>
      </c>
      <c r="C608" s="7"/>
      <c r="D608" s="7"/>
      <c r="E608" s="7"/>
      <c r="F608" s="7"/>
      <c r="G608" s="7"/>
      <c r="H608" s="7"/>
      <c r="I608" s="7"/>
      <c r="J608" s="7"/>
      <c r="K608" s="7"/>
      <c r="L608" s="7"/>
      <c r="M608" s="7"/>
      <c r="N608" s="7"/>
      <c r="O608" s="7"/>
      <c r="P608" s="7"/>
      <c r="Q608" s="7"/>
      <c r="R608" s="7"/>
      <c r="S608" s="7"/>
      <c r="T608" s="7"/>
      <c r="U608" s="7"/>
      <c r="V608" s="7"/>
      <c r="W608" s="7"/>
      <c r="X608" s="7"/>
    </row>
    <row r="609" customFormat="false" ht="12.75" hidden="false" customHeight="false" outlineLevel="0" collapsed="false">
      <c r="A609" s="12" t="s">
        <v>4</v>
      </c>
      <c r="B609" s="13" t="n">
        <v>70778.6376179272</v>
      </c>
      <c r="C609" s="7"/>
      <c r="D609" s="7"/>
      <c r="E609" s="7"/>
      <c r="F609" s="7"/>
      <c r="G609" s="7"/>
      <c r="H609" s="7"/>
      <c r="I609" s="7"/>
      <c r="J609" s="7"/>
      <c r="K609" s="7"/>
      <c r="L609" s="7"/>
      <c r="M609" s="7"/>
      <c r="N609" s="7"/>
      <c r="O609" s="7"/>
      <c r="P609" s="7"/>
      <c r="Q609" s="7"/>
      <c r="R609" s="7"/>
      <c r="S609" s="7"/>
      <c r="T609" s="7"/>
      <c r="U609" s="7"/>
      <c r="V609" s="7"/>
      <c r="W609" s="7"/>
      <c r="X609" s="7"/>
    </row>
    <row r="610" customFormat="false" ht="12.75" hidden="false" customHeight="false" outlineLevel="0" collapsed="false">
      <c r="A610" s="14" t="s">
        <v>5</v>
      </c>
      <c r="B610" s="15" t="s">
        <v>6</v>
      </c>
      <c r="C610" s="15" t="s">
        <v>7</v>
      </c>
      <c r="D610" s="16" t="n">
        <v>2000</v>
      </c>
      <c r="E610" s="17" t="n">
        <v>2001</v>
      </c>
      <c r="F610" s="17" t="n">
        <v>2002</v>
      </c>
      <c r="G610" s="17" t="n">
        <v>2003</v>
      </c>
      <c r="H610" s="17" t="n">
        <v>2004</v>
      </c>
      <c r="I610" s="17" t="n">
        <v>2005</v>
      </c>
      <c r="J610" s="17" t="n">
        <v>2006</v>
      </c>
      <c r="K610" s="17" t="n">
        <v>2007</v>
      </c>
      <c r="L610" s="17" t="n">
        <v>2008</v>
      </c>
      <c r="M610" s="17" t="n">
        <v>2009</v>
      </c>
      <c r="N610" s="18" t="n">
        <v>2010</v>
      </c>
      <c r="O610" s="19" t="n">
        <v>2011</v>
      </c>
      <c r="P610" s="19" t="n">
        <v>2012</v>
      </c>
      <c r="Q610" s="19" t="n">
        <v>2013</v>
      </c>
      <c r="R610" s="19" t="n">
        <v>2014</v>
      </c>
      <c r="S610" s="19" t="n">
        <v>2015</v>
      </c>
      <c r="T610" s="19" t="n">
        <v>2016</v>
      </c>
      <c r="U610" s="19" t="n">
        <v>2017</v>
      </c>
      <c r="V610" s="19" t="n">
        <v>2018</v>
      </c>
      <c r="W610" s="19" t="n">
        <v>2019</v>
      </c>
      <c r="X610" s="19" t="n">
        <v>2020</v>
      </c>
    </row>
    <row r="611" customFormat="false" ht="12.75" hidden="false" customHeight="false" outlineLevel="0" collapsed="false">
      <c r="A611" s="14" t="s">
        <v>8</v>
      </c>
      <c r="B611" s="20" t="n">
        <f aca="false">NPV(0.1,D611:Y611)</f>
        <v>452746.272996321</v>
      </c>
      <c r="C611" s="20" t="n">
        <f aca="false">B611-B600</f>
        <v>-0.000799397355876863</v>
      </c>
      <c r="D611" s="21" t="n">
        <v>34109.6807119461</v>
      </c>
      <c r="E611" s="22" t="n">
        <v>44409.6635251272</v>
      </c>
      <c r="F611" s="22" t="n">
        <v>44506.7467233747</v>
      </c>
      <c r="G611" s="22" t="n">
        <v>50218.284458198</v>
      </c>
      <c r="H611" s="22" t="n">
        <v>54574.6491182463</v>
      </c>
      <c r="I611" s="22" t="n">
        <v>55063.7291438899</v>
      </c>
      <c r="J611" s="22" t="n">
        <v>55548.6306889363</v>
      </c>
      <c r="K611" s="22" t="n">
        <v>56699.6023736065</v>
      </c>
      <c r="L611" s="22" t="n">
        <v>57194.1929490933</v>
      </c>
      <c r="M611" s="22" t="n">
        <v>58394.5315015682</v>
      </c>
      <c r="N611" s="23" t="n">
        <v>58897.8935160767</v>
      </c>
      <c r="O611" s="24" t="n">
        <v>60149.3430855611</v>
      </c>
      <c r="P611" s="24" t="n">
        <v>60660.7105578919</v>
      </c>
      <c r="Q611" s="24" t="n">
        <v>61164.0902868654</v>
      </c>
      <c r="R611" s="24" t="n">
        <v>61658.5427771552</v>
      </c>
      <c r="S611" s="24" t="n">
        <v>62143.0793526841</v>
      </c>
      <c r="T611" s="24" t="n">
        <v>62616.6600513252</v>
      </c>
      <c r="U611" s="24" t="n">
        <v>63078.1914375473</v>
      </c>
      <c r="V611" s="24" t="n">
        <v>63526.5243299765</v>
      </c>
      <c r="W611" s="24" t="n">
        <v>63960.4514407376</v>
      </c>
      <c r="X611" s="24" t="n">
        <v>38508.4186140012</v>
      </c>
    </row>
    <row r="612" customFormat="false" ht="12.75" hidden="false" customHeight="false" outlineLevel="0" collapsed="false">
      <c r="A612" s="25" t="s">
        <v>9</v>
      </c>
      <c r="B612" s="20" t="n">
        <f aca="false">NPV(0.1,D612:Y612)</f>
        <v>208058.715199972</v>
      </c>
      <c r="C612" s="20" t="n">
        <f aca="false">B612-B601</f>
        <v>-0.000799397355876863</v>
      </c>
      <c r="D612" s="21" t="n">
        <v>21350.5899467108</v>
      </c>
      <c r="E612" s="22" t="n">
        <v>22379.986595186</v>
      </c>
      <c r="F612" s="22" t="n">
        <v>22543.4440658453</v>
      </c>
      <c r="G612" s="22" t="n">
        <v>23349.4350686255</v>
      </c>
      <c r="H612" s="22" t="n">
        <v>23842.0597483802</v>
      </c>
      <c r="I612" s="22" t="n">
        <v>24034.6851424653</v>
      </c>
      <c r="J612" s="22" t="n">
        <v>24233.2068398529</v>
      </c>
      <c r="K612" s="22" t="n">
        <v>24437.9580970406</v>
      </c>
      <c r="L612" s="22" t="n">
        <v>24648.851891944</v>
      </c>
      <c r="M612" s="22" t="n">
        <v>24866.0725006944</v>
      </c>
      <c r="N612" s="23" t="n">
        <v>25089.8097277074</v>
      </c>
      <c r="O612" s="24" t="n">
        <v>25320.2590715308</v>
      </c>
      <c r="P612" s="24" t="n">
        <v>25557.6218956688</v>
      </c>
      <c r="Q612" s="24" t="n">
        <v>25802.105604531</v>
      </c>
      <c r="R612" s="24" t="n">
        <v>26053.9238246591</v>
      </c>
      <c r="S612" s="24" t="n">
        <v>26313.296591391</v>
      </c>
      <c r="T612" s="24" t="n">
        <v>26580.4505411249</v>
      </c>
      <c r="U612" s="24" t="n">
        <v>26855.6191093508</v>
      </c>
      <c r="V612" s="24" t="n">
        <v>27139.0427346234</v>
      </c>
      <c r="W612" s="24" t="n">
        <v>27430.9690686543</v>
      </c>
      <c r="X612" s="24" t="n">
        <v>25114.874696548</v>
      </c>
    </row>
    <row r="613" customFormat="false" ht="12.75" hidden="false" customHeight="false" outlineLevel="0" collapsed="false">
      <c r="A613" s="25" t="s">
        <v>10</v>
      </c>
      <c r="B613" s="20" t="n">
        <f aca="false">NPV(0.1,D613:Y613)</f>
        <v>84545.988696253</v>
      </c>
      <c r="C613" s="20" t="n">
        <f aca="false">B613-B602</f>
        <v>3.85355617768073</v>
      </c>
      <c r="D613" s="21" t="n">
        <v>-662.304990909514</v>
      </c>
      <c r="E613" s="22" t="n">
        <v>4112.95392723021</v>
      </c>
      <c r="F613" s="22" t="n">
        <v>4283.6590125571</v>
      </c>
      <c r="G613" s="22" t="n">
        <v>7545.53346004737</v>
      </c>
      <c r="H613" s="22" t="n">
        <v>10267.3099179622</v>
      </c>
      <c r="I613" s="22" t="n">
        <v>10816.8459308044</v>
      </c>
      <c r="J613" s="22" t="n">
        <v>11325.0552521871</v>
      </c>
      <c r="K613" s="22" t="n">
        <v>12178.2002407262</v>
      </c>
      <c r="L613" s="22" t="n">
        <v>12631.2937825969</v>
      </c>
      <c r="M613" s="22" t="n">
        <v>13684.6702983755</v>
      </c>
      <c r="N613" s="23" t="n">
        <v>14436.8450478949</v>
      </c>
      <c r="O613" s="24" t="n">
        <v>15191.8050177182</v>
      </c>
      <c r="P613" s="24" t="n">
        <v>15530.3193120912</v>
      </c>
      <c r="Q613" s="24" t="n">
        <v>15859.7105682913</v>
      </c>
      <c r="R613" s="24" t="n">
        <v>16179.2824971011</v>
      </c>
      <c r="S613" s="24" t="n">
        <v>16488.3052426845</v>
      </c>
      <c r="T613" s="24" t="n">
        <v>16786.0139952501</v>
      </c>
      <c r="U613" s="24" t="n">
        <v>17244.6697039648</v>
      </c>
      <c r="V613" s="24" t="n">
        <v>17759.5959830928</v>
      </c>
      <c r="W613" s="24" t="n">
        <v>18364.5267275743</v>
      </c>
      <c r="X613" s="24" t="n">
        <v>5008.86296790203</v>
      </c>
    </row>
    <row r="614" customFormat="false" ht="12.75" hidden="false" customHeight="false" outlineLevel="0" collapsed="false">
      <c r="A614" s="25" t="s">
        <v>11</v>
      </c>
      <c r="B614" s="20" t="n">
        <f aca="false">NPV(0.1,D614:Y614)</f>
        <v>92107.172675547</v>
      </c>
      <c r="C614" s="20" t="n">
        <f aca="false">B614-B603</f>
        <v>6.44240342424018</v>
      </c>
      <c r="D614" s="26" t="n">
        <v>-2884.75385804177</v>
      </c>
      <c r="E614" s="27" t="n">
        <v>7201.39009063544</v>
      </c>
      <c r="F614" s="27" t="n">
        <v>5516.76297598103</v>
      </c>
      <c r="G614" s="27" t="n">
        <v>9015.40035457901</v>
      </c>
      <c r="H614" s="27" t="n">
        <v>16644.8831958229</v>
      </c>
      <c r="I614" s="27" t="n">
        <v>13039.4158956117</v>
      </c>
      <c r="J614" s="27" t="n">
        <v>12462.5704179472</v>
      </c>
      <c r="K614" s="27" t="n">
        <v>13322.6185580812</v>
      </c>
      <c r="L614" s="27" t="n">
        <v>9827.07906085706</v>
      </c>
      <c r="M614" s="27" t="n">
        <v>8206.98240473045</v>
      </c>
      <c r="N614" s="28" t="n">
        <v>18806.578721405</v>
      </c>
      <c r="O614" s="24" t="n">
        <v>18858.9304630732</v>
      </c>
      <c r="P614" s="24" t="n">
        <v>19190.5416058513</v>
      </c>
      <c r="Q614" s="24" t="n">
        <v>19526.8360136463</v>
      </c>
      <c r="R614" s="24" t="n">
        <v>19839.5047908612</v>
      </c>
      <c r="S614" s="24" t="n">
        <v>18112.0978159602</v>
      </c>
      <c r="T614" s="24" t="n">
        <v>12825.8199492913</v>
      </c>
      <c r="U614" s="24" t="n">
        <v>11865.4528985061</v>
      </c>
      <c r="V614" s="24" t="n">
        <v>10251.8450383841</v>
      </c>
      <c r="W614" s="24" t="n">
        <v>9437.75302336559</v>
      </c>
      <c r="X614" s="24" t="n">
        <v>8100.03271944329</v>
      </c>
    </row>
    <row r="617" customFormat="false" ht="11.25" hidden="false" customHeight="false" outlineLevel="0" collapsed="false">
      <c r="A617" s="41" t="s">
        <v>71</v>
      </c>
    </row>
    <row r="618" customFormat="false" ht="11.25" hidden="false" customHeight="false" outlineLevel="0" collapsed="false">
      <c r="A618" s="36" t="n">
        <v>36403</v>
      </c>
    </row>
    <row r="619" customFormat="false" ht="12.75" hidden="false" customHeight="false" outlineLevel="0" collapsed="false">
      <c r="A619" s="10" t="s">
        <v>3</v>
      </c>
      <c r="B619" s="11" t="n">
        <v>37537.5590216431</v>
      </c>
      <c r="C619" s="7"/>
      <c r="D619" s="7"/>
      <c r="E619" s="7"/>
      <c r="F619" s="7"/>
      <c r="G619" s="7"/>
      <c r="H619" s="7"/>
      <c r="I619" s="7"/>
      <c r="J619" s="7"/>
      <c r="K619" s="7"/>
      <c r="L619" s="7"/>
      <c r="M619" s="7"/>
      <c r="N619" s="7"/>
      <c r="O619" s="7"/>
      <c r="P619" s="7"/>
      <c r="Q619" s="7"/>
      <c r="R619" s="7"/>
      <c r="S619" s="7"/>
      <c r="T619" s="7"/>
      <c r="U619" s="7"/>
      <c r="V619" s="7"/>
      <c r="W619" s="7"/>
      <c r="X619" s="7"/>
    </row>
    <row r="620" customFormat="false" ht="12.75" hidden="false" customHeight="false" outlineLevel="0" collapsed="false">
      <c r="A620" s="12" t="s">
        <v>4</v>
      </c>
      <c r="B620" s="13" t="n">
        <v>70778.6376179272</v>
      </c>
      <c r="C620" s="7"/>
      <c r="D620" s="7"/>
      <c r="E620" s="7"/>
      <c r="F620" s="7"/>
      <c r="G620" s="7"/>
      <c r="H620" s="7"/>
      <c r="I620" s="7"/>
      <c r="J620" s="7"/>
      <c r="K620" s="7"/>
      <c r="L620" s="7"/>
      <c r="M620" s="7"/>
      <c r="N620" s="7"/>
      <c r="O620" s="7"/>
      <c r="P620" s="7"/>
      <c r="Q620" s="7"/>
      <c r="R620" s="7"/>
      <c r="S620" s="7"/>
      <c r="T620" s="7"/>
      <c r="U620" s="7"/>
      <c r="V620" s="7"/>
      <c r="W620" s="7"/>
      <c r="X620" s="7"/>
    </row>
    <row r="621" customFormat="false" ht="12.75" hidden="false" customHeight="false" outlineLevel="0" collapsed="false">
      <c r="A621" s="14" t="s">
        <v>5</v>
      </c>
      <c r="B621" s="15" t="s">
        <v>6</v>
      </c>
      <c r="C621" s="15" t="s">
        <v>7</v>
      </c>
      <c r="D621" s="16" t="n">
        <v>2000</v>
      </c>
      <c r="E621" s="17" t="n">
        <v>2001</v>
      </c>
      <c r="F621" s="17" t="n">
        <v>2002</v>
      </c>
      <c r="G621" s="17" t="n">
        <v>2003</v>
      </c>
      <c r="H621" s="17" t="n">
        <v>2004</v>
      </c>
      <c r="I621" s="17" t="n">
        <v>2005</v>
      </c>
      <c r="J621" s="17" t="n">
        <v>2006</v>
      </c>
      <c r="K621" s="17" t="n">
        <v>2007</v>
      </c>
      <c r="L621" s="17" t="n">
        <v>2008</v>
      </c>
      <c r="M621" s="17" t="n">
        <v>2009</v>
      </c>
      <c r="N621" s="18" t="n">
        <v>2010</v>
      </c>
      <c r="O621" s="19" t="n">
        <v>2011</v>
      </c>
      <c r="P621" s="19" t="n">
        <v>2012</v>
      </c>
      <c r="Q621" s="19" t="n">
        <v>2013</v>
      </c>
      <c r="R621" s="19" t="n">
        <v>2014</v>
      </c>
      <c r="S621" s="19" t="n">
        <v>2015</v>
      </c>
      <c r="T621" s="19" t="n">
        <v>2016</v>
      </c>
      <c r="U621" s="19" t="n">
        <v>2017</v>
      </c>
      <c r="V621" s="19" t="n">
        <v>2018</v>
      </c>
      <c r="W621" s="19" t="n">
        <v>2019</v>
      </c>
      <c r="X621" s="19" t="n">
        <v>2020</v>
      </c>
    </row>
    <row r="622" customFormat="false" ht="12.75" hidden="false" customHeight="false" outlineLevel="0" collapsed="false">
      <c r="A622" s="14" t="s">
        <v>8</v>
      </c>
      <c r="B622" s="20" t="n">
        <f aca="false">NPV(0.1,D622:Y622)</f>
        <v>452746.272996321</v>
      </c>
      <c r="C622" s="20" t="n">
        <f aca="false">B622-B611</f>
        <v>0</v>
      </c>
      <c r="D622" s="21" t="n">
        <v>34109.6807119461</v>
      </c>
      <c r="E622" s="22" t="n">
        <v>44409.6635251272</v>
      </c>
      <c r="F622" s="22" t="n">
        <v>44506.7467233747</v>
      </c>
      <c r="G622" s="22" t="n">
        <v>50218.284458198</v>
      </c>
      <c r="H622" s="22" t="n">
        <v>54574.6491182463</v>
      </c>
      <c r="I622" s="22" t="n">
        <v>55063.7291438899</v>
      </c>
      <c r="J622" s="22" t="n">
        <v>55548.6306889363</v>
      </c>
      <c r="K622" s="22" t="n">
        <v>56699.6023736065</v>
      </c>
      <c r="L622" s="22" t="n">
        <v>57194.1929490933</v>
      </c>
      <c r="M622" s="22" t="n">
        <v>58394.5315015682</v>
      </c>
      <c r="N622" s="23" t="n">
        <v>58897.8935160767</v>
      </c>
      <c r="O622" s="24" t="n">
        <v>60149.3430855611</v>
      </c>
      <c r="P622" s="24" t="n">
        <v>60660.7105578919</v>
      </c>
      <c r="Q622" s="24" t="n">
        <v>61164.0902868654</v>
      </c>
      <c r="R622" s="24" t="n">
        <v>61658.5427771552</v>
      </c>
      <c r="S622" s="24" t="n">
        <v>62143.0793526841</v>
      </c>
      <c r="T622" s="24" t="n">
        <v>62616.6600513252</v>
      </c>
      <c r="U622" s="24" t="n">
        <v>63078.1914375473</v>
      </c>
      <c r="V622" s="24" t="n">
        <v>63526.5243299765</v>
      </c>
      <c r="W622" s="24" t="n">
        <v>63960.4514407376</v>
      </c>
      <c r="X622" s="24" t="n">
        <v>38508.4186140012</v>
      </c>
    </row>
    <row r="623" customFormat="false" ht="12.75" hidden="false" customHeight="false" outlineLevel="0" collapsed="false">
      <c r="A623" s="25" t="s">
        <v>9</v>
      </c>
      <c r="B623" s="20" t="n">
        <f aca="false">NPV(0.1,D623:Y623)</f>
        <v>208058.715199972</v>
      </c>
      <c r="C623" s="20" t="n">
        <f aca="false">B623-B612</f>
        <v>0</v>
      </c>
      <c r="D623" s="21" t="n">
        <v>21350.5899467108</v>
      </c>
      <c r="E623" s="22" t="n">
        <v>22379.986595186</v>
      </c>
      <c r="F623" s="22" t="n">
        <v>22543.4440658453</v>
      </c>
      <c r="G623" s="22" t="n">
        <v>23349.4350686255</v>
      </c>
      <c r="H623" s="22" t="n">
        <v>23842.0597483802</v>
      </c>
      <c r="I623" s="22" t="n">
        <v>24034.6851424653</v>
      </c>
      <c r="J623" s="22" t="n">
        <v>24233.2068398529</v>
      </c>
      <c r="K623" s="22" t="n">
        <v>24437.9580970406</v>
      </c>
      <c r="L623" s="22" t="n">
        <v>24648.851891944</v>
      </c>
      <c r="M623" s="22" t="n">
        <v>24866.0725006944</v>
      </c>
      <c r="N623" s="23" t="n">
        <v>25089.8097277074</v>
      </c>
      <c r="O623" s="24" t="n">
        <v>25320.2590715308</v>
      </c>
      <c r="P623" s="24" t="n">
        <v>25557.6218956688</v>
      </c>
      <c r="Q623" s="24" t="n">
        <v>25802.105604531</v>
      </c>
      <c r="R623" s="24" t="n">
        <v>26053.9238246591</v>
      </c>
      <c r="S623" s="24" t="n">
        <v>26313.296591391</v>
      </c>
      <c r="T623" s="24" t="n">
        <v>26580.4505411249</v>
      </c>
      <c r="U623" s="24" t="n">
        <v>26855.6191093508</v>
      </c>
      <c r="V623" s="24" t="n">
        <v>27139.0427346234</v>
      </c>
      <c r="W623" s="24" t="n">
        <v>27430.9690686543</v>
      </c>
      <c r="X623" s="24" t="n">
        <v>25114.874696548</v>
      </c>
    </row>
    <row r="624" customFormat="false" ht="12.75" hidden="false" customHeight="false" outlineLevel="0" collapsed="false">
      <c r="A624" s="25" t="s">
        <v>10</v>
      </c>
      <c r="B624" s="20" t="n">
        <f aca="false">NPV(0.1,D624:Y624)</f>
        <v>84545.988696253</v>
      </c>
      <c r="C624" s="20" t="n">
        <f aca="false">B624-B613</f>
        <v>0</v>
      </c>
      <c r="D624" s="21" t="n">
        <v>-662.304990909514</v>
      </c>
      <c r="E624" s="22" t="n">
        <v>4112.95392723021</v>
      </c>
      <c r="F624" s="22" t="n">
        <v>4283.6590125571</v>
      </c>
      <c r="G624" s="22" t="n">
        <v>7545.53346004737</v>
      </c>
      <c r="H624" s="22" t="n">
        <v>10267.3099179622</v>
      </c>
      <c r="I624" s="22" t="n">
        <v>10816.8459308044</v>
      </c>
      <c r="J624" s="22" t="n">
        <v>11325.0552521871</v>
      </c>
      <c r="K624" s="22" t="n">
        <v>12178.2002407262</v>
      </c>
      <c r="L624" s="22" t="n">
        <v>12631.2937825969</v>
      </c>
      <c r="M624" s="22" t="n">
        <v>13684.6702983755</v>
      </c>
      <c r="N624" s="23" t="n">
        <v>14436.8450478949</v>
      </c>
      <c r="O624" s="24" t="n">
        <v>15191.8050177182</v>
      </c>
      <c r="P624" s="24" t="n">
        <v>15530.3193120912</v>
      </c>
      <c r="Q624" s="24" t="n">
        <v>15859.7105682913</v>
      </c>
      <c r="R624" s="24" t="n">
        <v>16179.2824971011</v>
      </c>
      <c r="S624" s="24" t="n">
        <v>16488.3052426845</v>
      </c>
      <c r="T624" s="24" t="n">
        <v>16786.0139952501</v>
      </c>
      <c r="U624" s="24" t="n">
        <v>17244.6697039648</v>
      </c>
      <c r="V624" s="24" t="n">
        <v>17759.5959830928</v>
      </c>
      <c r="W624" s="24" t="n">
        <v>18364.5267275743</v>
      </c>
      <c r="X624" s="24" t="n">
        <v>5008.86296790203</v>
      </c>
    </row>
    <row r="625" customFormat="false" ht="12.75" hidden="false" customHeight="false" outlineLevel="0" collapsed="false">
      <c r="A625" s="25" t="s">
        <v>11</v>
      </c>
      <c r="B625" s="20" t="n">
        <f aca="false">NPV(0.1,D625:Y625)</f>
        <v>92107.172675547</v>
      </c>
      <c r="C625" s="20" t="n">
        <f aca="false">B625-B614</f>
        <v>0</v>
      </c>
      <c r="D625" s="26" t="n">
        <v>-2884.75385804177</v>
      </c>
      <c r="E625" s="27" t="n">
        <v>7201.39009063544</v>
      </c>
      <c r="F625" s="27" t="n">
        <v>5516.76297598103</v>
      </c>
      <c r="G625" s="27" t="n">
        <v>9015.40035457901</v>
      </c>
      <c r="H625" s="27" t="n">
        <v>16644.8831958229</v>
      </c>
      <c r="I625" s="27" t="n">
        <v>13039.4158956117</v>
      </c>
      <c r="J625" s="27" t="n">
        <v>12462.5704179472</v>
      </c>
      <c r="K625" s="27" t="n">
        <v>13322.6185580812</v>
      </c>
      <c r="L625" s="27" t="n">
        <v>9827.07906085706</v>
      </c>
      <c r="M625" s="27" t="n">
        <v>8206.98240473045</v>
      </c>
      <c r="N625" s="28" t="n">
        <v>18806.578721405</v>
      </c>
      <c r="O625" s="24" t="n">
        <v>18858.9304630732</v>
      </c>
      <c r="P625" s="24" t="n">
        <v>19190.5416058513</v>
      </c>
      <c r="Q625" s="24" t="n">
        <v>19526.8360136463</v>
      </c>
      <c r="R625" s="24" t="n">
        <v>19839.5047908612</v>
      </c>
      <c r="S625" s="24" t="n">
        <v>18112.0978159602</v>
      </c>
      <c r="T625" s="24" t="n">
        <v>12825.8199492913</v>
      </c>
      <c r="U625" s="24" t="n">
        <v>11865.4528985061</v>
      </c>
      <c r="V625" s="24" t="n">
        <v>10251.8450383841</v>
      </c>
      <c r="W625" s="24" t="n">
        <v>9437.75302336559</v>
      </c>
      <c r="X625" s="24" t="n">
        <v>8100.03271944329</v>
      </c>
    </row>
    <row r="628" customFormat="false" ht="11.25" hidden="false" customHeight="false" outlineLevel="0" collapsed="false">
      <c r="A628" s="41" t="s">
        <v>72</v>
      </c>
    </row>
    <row r="629" customFormat="false" ht="11.25" hidden="false" customHeight="false" outlineLevel="0" collapsed="false">
      <c r="A629" s="36" t="n">
        <v>36412</v>
      </c>
    </row>
    <row r="630" customFormat="false" ht="12.75" hidden="false" customHeight="false" outlineLevel="0" collapsed="false">
      <c r="A630" s="10" t="s">
        <v>3</v>
      </c>
      <c r="B630" s="11" t="n">
        <v>37547.7757593057</v>
      </c>
      <c r="C630" s="7"/>
      <c r="D630" s="7"/>
      <c r="E630" s="7"/>
      <c r="F630" s="7"/>
      <c r="G630" s="7"/>
      <c r="H630" s="7"/>
      <c r="I630" s="7"/>
      <c r="J630" s="7"/>
      <c r="K630" s="7"/>
      <c r="L630" s="7"/>
      <c r="M630" s="7"/>
      <c r="N630" s="7"/>
      <c r="O630" s="7"/>
      <c r="P630" s="7"/>
      <c r="Q630" s="7"/>
      <c r="R630" s="7"/>
      <c r="S630" s="7"/>
      <c r="T630" s="7"/>
      <c r="U630" s="7"/>
      <c r="V630" s="7"/>
      <c r="W630" s="7"/>
      <c r="X630" s="7"/>
    </row>
    <row r="631" customFormat="false" ht="12.75" hidden="false" customHeight="false" outlineLevel="0" collapsed="false">
      <c r="A631" s="12" t="s">
        <v>4</v>
      </c>
      <c r="B631" s="13" t="n">
        <v>70793.9598154473</v>
      </c>
      <c r="C631" s="7"/>
      <c r="D631" s="7"/>
      <c r="E631" s="7"/>
      <c r="F631" s="7"/>
      <c r="G631" s="7"/>
      <c r="H631" s="7"/>
      <c r="I631" s="7"/>
      <c r="J631" s="7"/>
      <c r="K631" s="7"/>
      <c r="L631" s="7"/>
      <c r="M631" s="7"/>
      <c r="N631" s="7"/>
      <c r="O631" s="7"/>
      <c r="P631" s="7"/>
      <c r="Q631" s="7"/>
      <c r="R631" s="7"/>
      <c r="S631" s="7"/>
      <c r="T631" s="7"/>
      <c r="U631" s="7"/>
      <c r="V631" s="7"/>
      <c r="W631" s="7"/>
      <c r="X631" s="7"/>
    </row>
    <row r="632" customFormat="false" ht="12.75" hidden="false" customHeight="false" outlineLevel="0" collapsed="false">
      <c r="A632" s="14" t="s">
        <v>5</v>
      </c>
      <c r="B632" s="15" t="s">
        <v>6</v>
      </c>
      <c r="C632" s="15" t="s">
        <v>7</v>
      </c>
      <c r="D632" s="16" t="n">
        <v>2000</v>
      </c>
      <c r="E632" s="17" t="n">
        <v>2001</v>
      </c>
      <c r="F632" s="17" t="n">
        <v>2002</v>
      </c>
      <c r="G632" s="17" t="n">
        <v>2003</v>
      </c>
      <c r="H632" s="17" t="n">
        <v>2004</v>
      </c>
      <c r="I632" s="17" t="n">
        <v>2005</v>
      </c>
      <c r="J632" s="17" t="n">
        <v>2006</v>
      </c>
      <c r="K632" s="17" t="n">
        <v>2007</v>
      </c>
      <c r="L632" s="17" t="n">
        <v>2008</v>
      </c>
      <c r="M632" s="17" t="n">
        <v>2009</v>
      </c>
      <c r="N632" s="18" t="n">
        <v>2010</v>
      </c>
      <c r="O632" s="19" t="n">
        <v>2011</v>
      </c>
      <c r="P632" s="19" t="n">
        <v>2012</v>
      </c>
      <c r="Q632" s="19" t="n">
        <v>2013</v>
      </c>
      <c r="R632" s="19" t="n">
        <v>2014</v>
      </c>
      <c r="S632" s="19" t="n">
        <v>2015</v>
      </c>
      <c r="T632" s="19" t="n">
        <v>2016</v>
      </c>
      <c r="U632" s="19" t="n">
        <v>2017</v>
      </c>
      <c r="V632" s="19" t="n">
        <v>2018</v>
      </c>
      <c r="W632" s="19" t="n">
        <v>2019</v>
      </c>
      <c r="X632" s="19" t="n">
        <v>2020</v>
      </c>
    </row>
    <row r="633" customFormat="false" ht="12.75" hidden="false" customHeight="false" outlineLevel="0" collapsed="false">
      <c r="A633" s="14" t="s">
        <v>8</v>
      </c>
      <c r="B633" s="20" t="n">
        <f aca="false">NPV(0.1,D633:Y633)</f>
        <v>452746.265096856</v>
      </c>
      <c r="C633" s="20" t="n">
        <f aca="false">B633-B622</f>
        <v>-0.00789946422446519</v>
      </c>
      <c r="D633" s="21" t="n">
        <v>34109.6801547426</v>
      </c>
      <c r="E633" s="22" t="n">
        <v>44409.6625699212</v>
      </c>
      <c r="F633" s="22" t="n">
        <v>44506.7457681687</v>
      </c>
      <c r="G633" s="22" t="n">
        <v>50218.283502992</v>
      </c>
      <c r="H633" s="22" t="n">
        <v>54574.6481630403</v>
      </c>
      <c r="I633" s="22" t="n">
        <v>55063.7281886839</v>
      </c>
      <c r="J633" s="22" t="n">
        <v>55548.6297337303</v>
      </c>
      <c r="K633" s="22" t="n">
        <v>56699.6014184005</v>
      </c>
      <c r="L633" s="22" t="n">
        <v>57194.1919938873</v>
      </c>
      <c r="M633" s="22" t="n">
        <v>58394.5305463622</v>
      </c>
      <c r="N633" s="23" t="n">
        <v>58897.8925608707</v>
      </c>
      <c r="O633" s="24" t="n">
        <v>60149.3421303551</v>
      </c>
      <c r="P633" s="24" t="n">
        <v>60660.7096026859</v>
      </c>
      <c r="Q633" s="24" t="n">
        <v>61164.0893316594</v>
      </c>
      <c r="R633" s="24" t="n">
        <v>61658.5418219492</v>
      </c>
      <c r="S633" s="24" t="n">
        <v>62143.0783974781</v>
      </c>
      <c r="T633" s="24" t="n">
        <v>62616.6590961192</v>
      </c>
      <c r="U633" s="24" t="n">
        <v>63078.1904823413</v>
      </c>
      <c r="V633" s="24" t="n">
        <v>63526.5233747705</v>
      </c>
      <c r="W633" s="24" t="n">
        <v>63960.4504855316</v>
      </c>
      <c r="X633" s="24" t="n">
        <v>38508.4176587952</v>
      </c>
    </row>
    <row r="634" customFormat="false" ht="12.75" hidden="false" customHeight="false" outlineLevel="0" collapsed="false">
      <c r="A634" s="25" t="s">
        <v>9</v>
      </c>
      <c r="B634" s="20" t="n">
        <f aca="false">NPV(0.1,D634:Y634)</f>
        <v>208058.707300508</v>
      </c>
      <c r="C634" s="20" t="n">
        <f aca="false">B634-B623</f>
        <v>-0.00789946422446519</v>
      </c>
      <c r="D634" s="21" t="n">
        <v>21350.5893895073</v>
      </c>
      <c r="E634" s="22" t="n">
        <v>22379.98563998</v>
      </c>
      <c r="F634" s="22" t="n">
        <v>22543.4431106393</v>
      </c>
      <c r="G634" s="22" t="n">
        <v>23349.4341134195</v>
      </c>
      <c r="H634" s="22" t="n">
        <v>23842.0587931742</v>
      </c>
      <c r="I634" s="22" t="n">
        <v>24034.6841872593</v>
      </c>
      <c r="J634" s="22" t="n">
        <v>24233.2058846469</v>
      </c>
      <c r="K634" s="22" t="n">
        <v>24437.9571418346</v>
      </c>
      <c r="L634" s="22" t="n">
        <v>24648.850936738</v>
      </c>
      <c r="M634" s="22" t="n">
        <v>24866.0715454884</v>
      </c>
      <c r="N634" s="23" t="n">
        <v>25089.8087725014</v>
      </c>
      <c r="O634" s="24" t="n">
        <v>25320.2581163248</v>
      </c>
      <c r="P634" s="24" t="n">
        <v>25557.6209404628</v>
      </c>
      <c r="Q634" s="24" t="n">
        <v>25802.104649325</v>
      </c>
      <c r="R634" s="24" t="n">
        <v>26053.9228694531</v>
      </c>
      <c r="S634" s="24" t="n">
        <v>26313.295636185</v>
      </c>
      <c r="T634" s="24" t="n">
        <v>26580.4495859189</v>
      </c>
      <c r="U634" s="24" t="n">
        <v>26855.6181541448</v>
      </c>
      <c r="V634" s="24" t="n">
        <v>27139.0417794174</v>
      </c>
      <c r="W634" s="24" t="n">
        <v>27430.9681134483</v>
      </c>
      <c r="X634" s="24" t="n">
        <v>25114.873741342</v>
      </c>
    </row>
    <row r="635" customFormat="false" ht="12.75" hidden="false" customHeight="false" outlineLevel="0" collapsed="false">
      <c r="A635" s="25" t="s">
        <v>10</v>
      </c>
      <c r="B635" s="20" t="n">
        <f aca="false">NPV(0.1,D635:Y635)</f>
        <v>84552.2857591475</v>
      </c>
      <c r="C635" s="20" t="n">
        <f aca="false">B635-B624</f>
        <v>6.29706289440219</v>
      </c>
      <c r="D635" s="21" t="n">
        <v>-661.506078309989</v>
      </c>
      <c r="E635" s="22" t="n">
        <v>4113.86342262982</v>
      </c>
      <c r="F635" s="22" t="n">
        <v>4284.5472247896</v>
      </c>
      <c r="G635" s="22" t="n">
        <v>7546.39140508443</v>
      </c>
      <c r="H635" s="22" t="n">
        <v>10268.1286117754</v>
      </c>
      <c r="I635" s="22" t="n">
        <v>10817.6396668208</v>
      </c>
      <c r="J635" s="22" t="n">
        <v>11325.8240304066</v>
      </c>
      <c r="K635" s="22" t="n">
        <v>12178.9405662787</v>
      </c>
      <c r="L635" s="22" t="n">
        <v>12632.0056554824</v>
      </c>
      <c r="M635" s="22" t="n">
        <v>13685.3357505373</v>
      </c>
      <c r="N635" s="23" t="n">
        <v>14437.4516004346</v>
      </c>
      <c r="O635" s="24" t="n">
        <v>15192.3975907775</v>
      </c>
      <c r="P635" s="24" t="n">
        <v>15530.8944108</v>
      </c>
      <c r="Q635" s="24" t="n">
        <v>15860.2681926495</v>
      </c>
      <c r="R635" s="24" t="n">
        <v>16179.8226471088</v>
      </c>
      <c r="S635" s="24" t="n">
        <v>16488.8279183417</v>
      </c>
      <c r="T635" s="24" t="n">
        <v>16786.5191965568</v>
      </c>
      <c r="U635" s="24" t="n">
        <v>17245.1399565706</v>
      </c>
      <c r="V635" s="24" t="n">
        <v>17760.0242972573</v>
      </c>
      <c r="W635" s="24" t="n">
        <v>18364.9026186873</v>
      </c>
      <c r="X635" s="24" t="n">
        <v>5009.17944622329</v>
      </c>
    </row>
    <row r="636" customFormat="false" ht="12.75" hidden="false" customHeight="false" outlineLevel="0" collapsed="false">
      <c r="A636" s="25" t="s">
        <v>11</v>
      </c>
      <c r="B636" s="20" t="n">
        <f aca="false">NPV(0.1,D636:Y636)</f>
        <v>92113.2881302207</v>
      </c>
      <c r="C636" s="20" t="n">
        <f aca="false">B636-B625</f>
        <v>6.11545467366523</v>
      </c>
      <c r="D636" s="26" t="n">
        <v>-2883.19313103827</v>
      </c>
      <c r="E636" s="27" t="n">
        <v>7202.91513008144</v>
      </c>
      <c r="F636" s="27" t="n">
        <v>5518.45132911953</v>
      </c>
      <c r="G636" s="27" t="n">
        <v>9017.2369570154</v>
      </c>
      <c r="H636" s="27" t="n">
        <v>16641.6659269063</v>
      </c>
      <c r="I636" s="27" t="n">
        <v>13039.9896319873</v>
      </c>
      <c r="J636" s="27" t="n">
        <v>12463.2143980606</v>
      </c>
      <c r="K636" s="27" t="n">
        <v>13323.2333715553</v>
      </c>
      <c r="L636" s="27" t="n">
        <v>9828.06413813643</v>
      </c>
      <c r="M636" s="27" t="n">
        <v>8208.19098901388</v>
      </c>
      <c r="N636" s="28" t="n">
        <v>18806.7341137886</v>
      </c>
      <c r="O636" s="24" t="n">
        <v>18859.1428024541</v>
      </c>
      <c r="P636" s="24" t="n">
        <v>19190.737184854</v>
      </c>
      <c r="Q636" s="24" t="n">
        <v>19527.0134043261</v>
      </c>
      <c r="R636" s="24" t="n">
        <v>19839.6654211628</v>
      </c>
      <c r="S636" s="24" t="n">
        <v>18112.4515937287</v>
      </c>
      <c r="T636" s="24" t="n">
        <v>12826.7250767768</v>
      </c>
      <c r="U636" s="24" t="n">
        <v>11866.4663581906</v>
      </c>
      <c r="V636" s="24" t="n">
        <v>10253.0314809773</v>
      </c>
      <c r="W636" s="24" t="n">
        <v>9439.03032380732</v>
      </c>
      <c r="X636" s="24" t="n">
        <v>8100.03271944329</v>
      </c>
    </row>
    <row r="639" customFormat="false" ht="11.25" hidden="false" customHeight="false" outlineLevel="0" collapsed="false">
      <c r="A639" s="41" t="s">
        <v>73</v>
      </c>
    </row>
    <row r="640" customFormat="false" ht="11.25" hidden="false" customHeight="false" outlineLevel="0" collapsed="false">
      <c r="A640" s="36" t="n">
        <v>36419</v>
      </c>
    </row>
    <row r="641" customFormat="false" ht="12.75" hidden="false" customHeight="false" outlineLevel="0" collapsed="false">
      <c r="A641" s="10" t="s">
        <v>3</v>
      </c>
      <c r="B641" s="11" t="n">
        <v>39176.9969692229</v>
      </c>
      <c r="C641" s="7"/>
      <c r="D641" s="7"/>
      <c r="E641" s="7"/>
      <c r="F641" s="7"/>
      <c r="G641" s="7"/>
      <c r="H641" s="7"/>
      <c r="I641" s="7"/>
      <c r="J641" s="7"/>
      <c r="K641" s="7"/>
      <c r="L641" s="7"/>
      <c r="M641" s="7"/>
      <c r="N641" s="7"/>
      <c r="O641" s="7"/>
      <c r="P641" s="7"/>
      <c r="Q641" s="7"/>
      <c r="R641" s="7"/>
      <c r="S641" s="7"/>
      <c r="T641" s="7"/>
      <c r="U641" s="7"/>
      <c r="V641" s="7"/>
      <c r="W641" s="7"/>
      <c r="X641" s="7"/>
    </row>
    <row r="642" customFormat="false" ht="12.75" hidden="false" customHeight="false" outlineLevel="0" collapsed="false">
      <c r="A642" s="12" t="s">
        <v>4</v>
      </c>
      <c r="B642" s="13" t="n">
        <v>72959.9101551908</v>
      </c>
      <c r="C642" s="7"/>
      <c r="D642" s="7"/>
      <c r="E642" s="7"/>
      <c r="F642" s="7"/>
      <c r="G642" s="7"/>
      <c r="H642" s="7"/>
      <c r="I642" s="7"/>
      <c r="J642" s="7"/>
      <c r="K642" s="7"/>
      <c r="L642" s="7"/>
      <c r="M642" s="7"/>
      <c r="N642" s="7"/>
      <c r="O642" s="7"/>
      <c r="P642" s="7"/>
      <c r="Q642" s="7"/>
      <c r="R642" s="7"/>
      <c r="S642" s="7"/>
      <c r="T642" s="7"/>
      <c r="U642" s="7"/>
      <c r="V642" s="7"/>
      <c r="W642" s="7"/>
      <c r="X642" s="7"/>
    </row>
    <row r="643" customFormat="false" ht="12.75" hidden="false" customHeight="false" outlineLevel="0" collapsed="false">
      <c r="A643" s="14" t="s">
        <v>5</v>
      </c>
      <c r="B643" s="15" t="s">
        <v>6</v>
      </c>
      <c r="C643" s="15" t="s">
        <v>7</v>
      </c>
      <c r="D643" s="16" t="n">
        <v>2000</v>
      </c>
      <c r="E643" s="17" t="n">
        <v>2001</v>
      </c>
      <c r="F643" s="17" t="n">
        <v>2002</v>
      </c>
      <c r="G643" s="17" t="n">
        <v>2003</v>
      </c>
      <c r="H643" s="17" t="n">
        <v>2004</v>
      </c>
      <c r="I643" s="17" t="n">
        <v>2005</v>
      </c>
      <c r="J643" s="17" t="n">
        <v>2006</v>
      </c>
      <c r="K643" s="17" t="n">
        <v>2007</v>
      </c>
      <c r="L643" s="17" t="n">
        <v>2008</v>
      </c>
      <c r="M643" s="17" t="n">
        <v>2009</v>
      </c>
      <c r="N643" s="18" t="n">
        <v>2010</v>
      </c>
      <c r="O643" s="19" t="n">
        <v>2011</v>
      </c>
      <c r="P643" s="19" t="n">
        <v>2012</v>
      </c>
      <c r="Q643" s="19" t="n">
        <v>2013</v>
      </c>
      <c r="R643" s="19" t="n">
        <v>2014</v>
      </c>
      <c r="S643" s="19" t="n">
        <v>2015</v>
      </c>
      <c r="T643" s="19" t="n">
        <v>2016</v>
      </c>
      <c r="U643" s="19" t="n">
        <v>2017</v>
      </c>
      <c r="V643" s="19" t="n">
        <v>2018</v>
      </c>
      <c r="W643" s="19" t="n">
        <v>2019</v>
      </c>
      <c r="X643" s="19" t="n">
        <v>2020</v>
      </c>
    </row>
    <row r="644" customFormat="false" ht="12.75" hidden="false" customHeight="false" outlineLevel="0" collapsed="false">
      <c r="A644" s="14" t="s">
        <v>8</v>
      </c>
      <c r="B644" s="20" t="n">
        <f aca="false">NPV(0.1,D644:Y644)</f>
        <v>452746.265096856</v>
      </c>
      <c r="C644" s="20" t="n">
        <f aca="false">B644-B633</f>
        <v>0</v>
      </c>
      <c r="D644" s="21" t="n">
        <v>34109.6801547426</v>
      </c>
      <c r="E644" s="22" t="n">
        <v>44409.6625699212</v>
      </c>
      <c r="F644" s="22" t="n">
        <v>44506.7457681687</v>
      </c>
      <c r="G644" s="22" t="n">
        <v>50218.283502992</v>
      </c>
      <c r="H644" s="22" t="n">
        <v>54574.6481630403</v>
      </c>
      <c r="I644" s="22" t="n">
        <v>55063.7281886839</v>
      </c>
      <c r="J644" s="22" t="n">
        <v>55548.6297337303</v>
      </c>
      <c r="K644" s="22" t="n">
        <v>56699.6014184005</v>
      </c>
      <c r="L644" s="22" t="n">
        <v>57194.1919938873</v>
      </c>
      <c r="M644" s="22" t="n">
        <v>58394.5305463622</v>
      </c>
      <c r="N644" s="23" t="n">
        <v>58897.8925608707</v>
      </c>
      <c r="O644" s="24" t="n">
        <v>60149.3421303551</v>
      </c>
      <c r="P644" s="24" t="n">
        <v>60660.7096026859</v>
      </c>
      <c r="Q644" s="24" t="n">
        <v>61164.0893316594</v>
      </c>
      <c r="R644" s="24" t="n">
        <v>61658.5418219492</v>
      </c>
      <c r="S644" s="24" t="n">
        <v>62143.0783974781</v>
      </c>
      <c r="T644" s="24" t="n">
        <v>62616.6590961192</v>
      </c>
      <c r="U644" s="24" t="n">
        <v>63078.1904823413</v>
      </c>
      <c r="V644" s="24" t="n">
        <v>63526.5233747705</v>
      </c>
      <c r="W644" s="24" t="n">
        <v>63960.4504855316</v>
      </c>
      <c r="X644" s="24" t="n">
        <v>38508.4176587952</v>
      </c>
    </row>
    <row r="645" customFormat="false" ht="12.75" hidden="false" customHeight="false" outlineLevel="0" collapsed="false">
      <c r="A645" s="25" t="s">
        <v>9</v>
      </c>
      <c r="B645" s="20" t="n">
        <f aca="false">NPV(0.1,D645:Y645)</f>
        <v>208058.707300508</v>
      </c>
      <c r="C645" s="20" t="n">
        <f aca="false">B645-B634</f>
        <v>0</v>
      </c>
      <c r="D645" s="21" t="n">
        <v>21350.5893895073</v>
      </c>
      <c r="E645" s="22" t="n">
        <v>22379.98563998</v>
      </c>
      <c r="F645" s="22" t="n">
        <v>22543.4431106393</v>
      </c>
      <c r="G645" s="22" t="n">
        <v>23349.4341134195</v>
      </c>
      <c r="H645" s="22" t="n">
        <v>23842.0587931742</v>
      </c>
      <c r="I645" s="22" t="n">
        <v>24034.6841872593</v>
      </c>
      <c r="J645" s="22" t="n">
        <v>24233.2058846469</v>
      </c>
      <c r="K645" s="22" t="n">
        <v>24437.9571418346</v>
      </c>
      <c r="L645" s="22" t="n">
        <v>24648.850936738</v>
      </c>
      <c r="M645" s="22" t="n">
        <v>24866.0715454884</v>
      </c>
      <c r="N645" s="23" t="n">
        <v>25089.8087725014</v>
      </c>
      <c r="O645" s="24" t="n">
        <v>25320.2581163248</v>
      </c>
      <c r="P645" s="24" t="n">
        <v>25557.6209404628</v>
      </c>
      <c r="Q645" s="24" t="n">
        <v>25802.104649325</v>
      </c>
      <c r="R645" s="24" t="n">
        <v>26053.9228694531</v>
      </c>
      <c r="S645" s="24" t="n">
        <v>26313.295636185</v>
      </c>
      <c r="T645" s="24" t="n">
        <v>26580.4495859189</v>
      </c>
      <c r="U645" s="24" t="n">
        <v>26855.6181541448</v>
      </c>
      <c r="V645" s="24" t="n">
        <v>27139.0417794174</v>
      </c>
      <c r="W645" s="24" t="n">
        <v>27430.9681134483</v>
      </c>
      <c r="X645" s="24" t="n">
        <v>25114.873741342</v>
      </c>
    </row>
    <row r="646" customFormat="false" ht="12.75" hidden="false" customHeight="false" outlineLevel="0" collapsed="false">
      <c r="A646" s="25" t="s">
        <v>10</v>
      </c>
      <c r="B646" s="20" t="n">
        <f aca="false">NPV(0.1,D646:Y646)</f>
        <v>84552.2857591475</v>
      </c>
      <c r="C646" s="20" t="n">
        <f aca="false">B646-B635</f>
        <v>0</v>
      </c>
      <c r="D646" s="21" t="n">
        <v>-661.506078309989</v>
      </c>
      <c r="E646" s="22" t="n">
        <v>4113.86342262982</v>
      </c>
      <c r="F646" s="22" t="n">
        <v>4284.5472247896</v>
      </c>
      <c r="G646" s="22" t="n">
        <v>7546.39140508443</v>
      </c>
      <c r="H646" s="22" t="n">
        <v>10268.1286117754</v>
      </c>
      <c r="I646" s="22" t="n">
        <v>10817.6396668208</v>
      </c>
      <c r="J646" s="22" t="n">
        <v>11325.8240304066</v>
      </c>
      <c r="K646" s="22" t="n">
        <v>12178.9405662787</v>
      </c>
      <c r="L646" s="22" t="n">
        <v>12632.0056554824</v>
      </c>
      <c r="M646" s="22" t="n">
        <v>13685.3357505373</v>
      </c>
      <c r="N646" s="23" t="n">
        <v>14437.4516004346</v>
      </c>
      <c r="O646" s="24" t="n">
        <v>15192.3975907775</v>
      </c>
      <c r="P646" s="24" t="n">
        <v>15530.8944108</v>
      </c>
      <c r="Q646" s="24" t="n">
        <v>15860.2681926495</v>
      </c>
      <c r="R646" s="24" t="n">
        <v>16179.8226471088</v>
      </c>
      <c r="S646" s="24" t="n">
        <v>16488.8279183417</v>
      </c>
      <c r="T646" s="24" t="n">
        <v>16786.5191965568</v>
      </c>
      <c r="U646" s="24" t="n">
        <v>17245.1399565706</v>
      </c>
      <c r="V646" s="24" t="n">
        <v>17760.0242972573</v>
      </c>
      <c r="W646" s="24" t="n">
        <v>18364.9026186873</v>
      </c>
      <c r="X646" s="24" t="n">
        <v>5009.17944622329</v>
      </c>
    </row>
    <row r="647" customFormat="false" ht="12.75" hidden="false" customHeight="false" outlineLevel="0" collapsed="false">
      <c r="A647" s="25" t="s">
        <v>11</v>
      </c>
      <c r="B647" s="20" t="n">
        <f aca="false">NPV(0.1,D647:Y647)</f>
        <v>92113.2881302207</v>
      </c>
      <c r="C647" s="20" t="n">
        <f aca="false">B647-B636</f>
        <v>0</v>
      </c>
      <c r="D647" s="26" t="n">
        <v>-2883.19313103827</v>
      </c>
      <c r="E647" s="27" t="n">
        <v>7202.91513008144</v>
      </c>
      <c r="F647" s="27" t="n">
        <v>5518.45132911953</v>
      </c>
      <c r="G647" s="27" t="n">
        <v>9017.2369570154</v>
      </c>
      <c r="H647" s="27" t="n">
        <v>16641.6659269063</v>
      </c>
      <c r="I647" s="27" t="n">
        <v>13039.9896319873</v>
      </c>
      <c r="J647" s="27" t="n">
        <v>12463.2143980606</v>
      </c>
      <c r="K647" s="27" t="n">
        <v>13323.2333715553</v>
      </c>
      <c r="L647" s="27" t="n">
        <v>9828.06413813643</v>
      </c>
      <c r="M647" s="27" t="n">
        <v>8208.19098901388</v>
      </c>
      <c r="N647" s="28" t="n">
        <v>18806.7341137886</v>
      </c>
      <c r="O647" s="24" t="n">
        <v>18859.1428024541</v>
      </c>
      <c r="P647" s="24" t="n">
        <v>19190.737184854</v>
      </c>
      <c r="Q647" s="24" t="n">
        <v>19527.0134043261</v>
      </c>
      <c r="R647" s="24" t="n">
        <v>19839.6654211628</v>
      </c>
      <c r="S647" s="24" t="n">
        <v>18112.4515937287</v>
      </c>
      <c r="T647" s="24" t="n">
        <v>12826.7250767768</v>
      </c>
      <c r="U647" s="24" t="n">
        <v>11866.4663581906</v>
      </c>
      <c r="V647" s="24" t="n">
        <v>10253.0314809773</v>
      </c>
      <c r="W647" s="24" t="n">
        <v>9439.03032380732</v>
      </c>
      <c r="X647" s="24" t="n">
        <v>8100.03271944329</v>
      </c>
    </row>
    <row r="650" customFormat="false" ht="11.25" hidden="false" customHeight="false" outlineLevel="0" collapsed="false">
      <c r="A650" s="41" t="s">
        <v>74</v>
      </c>
    </row>
    <row r="651" customFormat="false" ht="11.25" hidden="false" customHeight="false" outlineLevel="0" collapsed="false">
      <c r="A651" s="36" t="n">
        <v>36452</v>
      </c>
    </row>
    <row r="652" customFormat="false" ht="12.75" hidden="false" customHeight="false" outlineLevel="0" collapsed="false">
      <c r="A652" s="10" t="s">
        <v>3</v>
      </c>
      <c r="B652" s="11" t="n">
        <v>39176.9969692229</v>
      </c>
      <c r="C652" s="7"/>
      <c r="D652" s="7"/>
      <c r="E652" s="7"/>
      <c r="F652" s="7"/>
      <c r="G652" s="7"/>
      <c r="H652" s="7"/>
      <c r="I652" s="7"/>
      <c r="J652" s="7"/>
      <c r="K652" s="7"/>
      <c r="L652" s="7"/>
      <c r="M652" s="7"/>
      <c r="N652" s="7"/>
      <c r="O652" s="7"/>
      <c r="P652" s="7"/>
      <c r="Q652" s="7"/>
      <c r="R652" s="7"/>
      <c r="S652" s="7"/>
      <c r="T652" s="7"/>
      <c r="U652" s="7"/>
      <c r="V652" s="7"/>
      <c r="W652" s="7"/>
      <c r="X652" s="7"/>
    </row>
    <row r="653" customFormat="false" ht="12.75" hidden="false" customHeight="false" outlineLevel="0" collapsed="false">
      <c r="A653" s="12" t="s">
        <v>4</v>
      </c>
      <c r="B653" s="13" t="n">
        <v>72959.9101551908</v>
      </c>
      <c r="C653" s="7"/>
      <c r="D653" s="7"/>
      <c r="E653" s="7"/>
      <c r="F653" s="7"/>
      <c r="G653" s="7"/>
      <c r="H653" s="7"/>
      <c r="I653" s="7"/>
      <c r="J653" s="7"/>
      <c r="K653" s="7"/>
      <c r="L653" s="7"/>
      <c r="M653" s="7"/>
      <c r="N653" s="7"/>
      <c r="O653" s="7"/>
      <c r="P653" s="7"/>
      <c r="Q653" s="7"/>
      <c r="R653" s="7"/>
      <c r="S653" s="7"/>
      <c r="T653" s="7"/>
      <c r="U653" s="7"/>
      <c r="V653" s="7"/>
      <c r="W653" s="7"/>
      <c r="X653" s="7"/>
    </row>
    <row r="654" customFormat="false" ht="12.75" hidden="false" customHeight="false" outlineLevel="0" collapsed="false">
      <c r="A654" s="14" t="s">
        <v>5</v>
      </c>
      <c r="B654" s="15" t="s">
        <v>6</v>
      </c>
      <c r="C654" s="15" t="s">
        <v>7</v>
      </c>
      <c r="D654" s="16" t="n">
        <v>2000</v>
      </c>
      <c r="E654" s="17" t="n">
        <v>2001</v>
      </c>
      <c r="F654" s="17" t="n">
        <v>2002</v>
      </c>
      <c r="G654" s="17" t="n">
        <v>2003</v>
      </c>
      <c r="H654" s="17" t="n">
        <v>2004</v>
      </c>
      <c r="I654" s="17" t="n">
        <v>2005</v>
      </c>
      <c r="J654" s="17" t="n">
        <v>2006</v>
      </c>
      <c r="K654" s="17" t="n">
        <v>2007</v>
      </c>
      <c r="L654" s="17" t="n">
        <v>2008</v>
      </c>
      <c r="M654" s="17" t="n">
        <v>2009</v>
      </c>
      <c r="N654" s="18" t="n">
        <v>2010</v>
      </c>
      <c r="O654" s="19" t="n">
        <v>2011</v>
      </c>
      <c r="P654" s="19" t="n">
        <v>2012</v>
      </c>
      <c r="Q654" s="19" t="n">
        <v>2013</v>
      </c>
      <c r="R654" s="19" t="n">
        <v>2014</v>
      </c>
      <c r="S654" s="19" t="n">
        <v>2015</v>
      </c>
      <c r="T654" s="19" t="n">
        <v>2016</v>
      </c>
      <c r="U654" s="19" t="n">
        <v>2017</v>
      </c>
      <c r="V654" s="19" t="n">
        <v>2018</v>
      </c>
      <c r="W654" s="19" t="n">
        <v>2019</v>
      </c>
      <c r="X654" s="19" t="n">
        <v>2020</v>
      </c>
    </row>
    <row r="655" customFormat="false" ht="12.75" hidden="false" customHeight="false" outlineLevel="0" collapsed="false">
      <c r="A655" s="14" t="s">
        <v>8</v>
      </c>
      <c r="B655" s="20" t="n">
        <f aca="false">NPV(0.1,D655:Y655)</f>
        <v>415853.810338584</v>
      </c>
      <c r="C655" s="20" t="n">
        <f aca="false">B655-B644</f>
        <v>-36892.4547582727</v>
      </c>
      <c r="D655" s="21" t="n">
        <v>29930.9422632068</v>
      </c>
      <c r="E655" s="22" t="n">
        <v>40230.6434684249</v>
      </c>
      <c r="F655" s="22" t="n">
        <v>40327.4827518647</v>
      </c>
      <c r="G655" s="22" t="n">
        <v>45947.0356206196</v>
      </c>
      <c r="H655" s="22" t="n">
        <v>50272.123615779</v>
      </c>
      <c r="I655" s="22" t="n">
        <v>50760.9133744918</v>
      </c>
      <c r="J655" s="22" t="n">
        <v>51245.5210300085</v>
      </c>
      <c r="K655" s="22" t="n">
        <v>52396.2018590765</v>
      </c>
      <c r="L655" s="22" t="n">
        <v>52890.4928532931</v>
      </c>
      <c r="M655" s="22" t="n">
        <v>54090.5228370597</v>
      </c>
      <c r="N655" s="23" t="n">
        <v>54593.5670257986</v>
      </c>
      <c r="O655" s="24" t="n">
        <v>55844.6892347404</v>
      </c>
      <c r="P655" s="24" t="n">
        <v>56355.7195257122</v>
      </c>
      <c r="Q655" s="24" t="n">
        <v>56858.751957886</v>
      </c>
      <c r="R655" s="24" t="n">
        <v>57352.8467324721</v>
      </c>
      <c r="S655" s="24" t="n">
        <v>57837.0148608262</v>
      </c>
      <c r="T655" s="24" t="n">
        <v>58310.2160588772</v>
      </c>
      <c r="U655" s="24" t="n">
        <v>58771.3565594916</v>
      </c>
      <c r="V655" s="24" t="n">
        <v>59219.2868397448</v>
      </c>
      <c r="W655" s="24" t="n">
        <v>59652.7992599646</v>
      </c>
      <c r="X655" s="24" t="n">
        <v>34202.2541309707</v>
      </c>
    </row>
    <row r="656" customFormat="false" ht="12.75" hidden="false" customHeight="false" outlineLevel="0" collapsed="false">
      <c r="A656" s="25" t="s">
        <v>9</v>
      </c>
      <c r="B656" s="20" t="n">
        <f aca="false">NPV(0.1,D656:Y656)</f>
        <v>171174.134967341</v>
      </c>
      <c r="C656" s="20" t="n">
        <f aca="false">B656-B645</f>
        <v>-36884.5723331665</v>
      </c>
      <c r="D656" s="21" t="n">
        <v>17170.7130639516</v>
      </c>
      <c r="E656" s="22" t="n">
        <v>18199.8281044638</v>
      </c>
      <c r="F656" s="22" t="n">
        <v>18363.0416603153</v>
      </c>
      <c r="G656" s="22" t="n">
        <v>19078.1188431104</v>
      </c>
      <c r="H656" s="22" t="n">
        <v>19541.5433758929</v>
      </c>
      <c r="I656" s="22" t="n">
        <v>19733.8785030473</v>
      </c>
      <c r="J656" s="22" t="n">
        <v>19932.1063109051</v>
      </c>
      <c r="K656" s="22" t="n">
        <v>20136.5667124907</v>
      </c>
      <c r="L656" s="22" t="n">
        <v>20347.1609261238</v>
      </c>
      <c r="M656" s="22" t="n">
        <v>20564.0729661659</v>
      </c>
      <c r="N656" s="23" t="n">
        <v>20787.4923674093</v>
      </c>
      <c r="O656" s="24" t="n">
        <v>21017.61435069</v>
      </c>
      <c r="P656" s="24" t="n">
        <v>21254.6399934691</v>
      </c>
      <c r="Q656" s="24" t="n">
        <v>21498.7764055316</v>
      </c>
      <c r="R656" s="24" t="n">
        <v>21750.236909956</v>
      </c>
      <c r="S656" s="24" t="n">
        <v>22009.2412295131</v>
      </c>
      <c r="T656" s="24" t="n">
        <v>22276.0156786569</v>
      </c>
      <c r="U656" s="24" t="n">
        <v>22550.793361275</v>
      </c>
      <c r="V656" s="24" t="n">
        <v>22833.8143743717</v>
      </c>
      <c r="W656" s="24" t="n">
        <v>23125.3260178613</v>
      </c>
      <c r="X656" s="24" t="n">
        <v>20808.8832644975</v>
      </c>
    </row>
    <row r="657" customFormat="false" ht="12.75" hidden="false" customHeight="false" outlineLevel="0" collapsed="false">
      <c r="A657" s="25" t="s">
        <v>10</v>
      </c>
      <c r="B657" s="20" t="n">
        <f aca="false">NPV(0.1,D657:Y657)</f>
        <v>85578.4481109686</v>
      </c>
      <c r="C657" s="20" t="n">
        <f aca="false">B657-B646</f>
        <v>1026.16235182111</v>
      </c>
      <c r="D657" s="21" t="n">
        <v>-239.314763932461</v>
      </c>
      <c r="E657" s="22" t="n">
        <v>4213.6388643953</v>
      </c>
      <c r="F657" s="22" t="n">
        <v>4382.0335162873</v>
      </c>
      <c r="G657" s="22" t="n">
        <v>7639.9755231643</v>
      </c>
      <c r="H657" s="22" t="n">
        <v>10356.2371289662</v>
      </c>
      <c r="I657" s="22" t="n">
        <v>10908.4005731867</v>
      </c>
      <c r="J657" s="22" t="n">
        <v>11417.7125342267</v>
      </c>
      <c r="K657" s="22" t="n">
        <v>12267.7687910554</v>
      </c>
      <c r="L657" s="22" t="n">
        <v>12717.7736012156</v>
      </c>
      <c r="M657" s="22" t="n">
        <v>13766.1108297704</v>
      </c>
      <c r="N657" s="23" t="n">
        <v>14511.8916222438</v>
      </c>
      <c r="O657" s="24" t="n">
        <v>15265.3340238042</v>
      </c>
      <c r="P657" s="24" t="n">
        <v>15601.9513578484</v>
      </c>
      <c r="Q657" s="24" t="n">
        <v>15929.4456537197</v>
      </c>
      <c r="R657" s="24" t="n">
        <v>16247.1206222008</v>
      </c>
      <c r="S657" s="24" t="n">
        <v>16554.2464074555</v>
      </c>
      <c r="T657" s="24" t="n">
        <v>16850.0581996923</v>
      </c>
      <c r="U657" s="24" t="n">
        <v>17304.9199877497</v>
      </c>
      <c r="V657" s="24" t="n">
        <v>17815.2935620887</v>
      </c>
      <c r="W657" s="24" t="n">
        <v>18414.5334255841</v>
      </c>
      <c r="X657" s="24" t="n">
        <v>5027.43727355286</v>
      </c>
    </row>
    <row r="658" customFormat="false" ht="12.75" hidden="false" customHeight="false" outlineLevel="0" collapsed="false">
      <c r="A658" s="25" t="s">
        <v>11</v>
      </c>
      <c r="B658" s="20" t="n">
        <f aca="false">NPV(0.1,D658:Y658)</f>
        <v>93285.3945209775</v>
      </c>
      <c r="C658" s="20" t="n">
        <f aca="false">B658-B647</f>
        <v>1172.10639075689</v>
      </c>
      <c r="D658" s="26" t="n">
        <v>-2153.85803096352</v>
      </c>
      <c r="E658" s="27" t="n">
        <v>7368.09622314869</v>
      </c>
      <c r="F658" s="27" t="n">
        <v>5701.19792740928</v>
      </c>
      <c r="G658" s="27" t="n">
        <v>9214.84434763715</v>
      </c>
      <c r="H658" s="27" t="n">
        <v>16247.6936090399</v>
      </c>
      <c r="I658" s="27" t="n">
        <v>13121.0212486308</v>
      </c>
      <c r="J658" s="27" t="n">
        <v>12546.6666878329</v>
      </c>
      <c r="K658" s="27" t="n">
        <v>13403.6260013238</v>
      </c>
      <c r="L658" s="27" t="n">
        <v>9948.20376232174</v>
      </c>
      <c r="M658" s="27" t="n">
        <v>8352.44773263882</v>
      </c>
      <c r="N658" s="28" t="n">
        <v>18837.6354496999</v>
      </c>
      <c r="O658" s="24" t="n">
        <v>18896.2465892725</v>
      </c>
      <c r="P658" s="24" t="n">
        <v>19225.9608666545</v>
      </c>
      <c r="Q658" s="24" t="n">
        <v>19560.3582191881</v>
      </c>
      <c r="R658" s="24" t="n">
        <v>19871.1301310069</v>
      </c>
      <c r="S658" s="24" t="n">
        <v>18141.8542008942</v>
      </c>
      <c r="T658" s="24" t="n">
        <v>12892.5926845136</v>
      </c>
      <c r="U658" s="24" t="n">
        <v>11943.9858352709</v>
      </c>
      <c r="V658" s="24" t="n">
        <v>10349.15645366</v>
      </c>
      <c r="W658" s="24" t="n">
        <v>9544.9276798553</v>
      </c>
      <c r="X658" s="24" t="n">
        <v>8087.31494487411</v>
      </c>
    </row>
    <row r="661" customFormat="false" ht="11.25" hidden="false" customHeight="false" outlineLevel="0" collapsed="false">
      <c r="A661" s="41" t="s">
        <v>74</v>
      </c>
    </row>
    <row r="662" customFormat="false" ht="11.25" hidden="false" customHeight="false" outlineLevel="0" collapsed="false">
      <c r="A662" s="36" t="n">
        <v>36465</v>
      </c>
    </row>
    <row r="663" customFormat="false" ht="12.75" hidden="false" customHeight="false" outlineLevel="0" collapsed="false">
      <c r="A663" s="10" t="s">
        <v>3</v>
      </c>
      <c r="B663" s="11" t="n">
        <v>39167.9148033013</v>
      </c>
      <c r="C663" s="7"/>
      <c r="D663" s="7"/>
      <c r="E663" s="7"/>
      <c r="F663" s="7"/>
      <c r="G663" s="7"/>
      <c r="H663" s="7"/>
      <c r="I663" s="7"/>
      <c r="J663" s="7"/>
      <c r="K663" s="7"/>
      <c r="L663" s="7"/>
      <c r="M663" s="7"/>
      <c r="N663" s="7"/>
      <c r="O663" s="7"/>
      <c r="P663" s="7"/>
      <c r="Q663" s="7"/>
      <c r="R663" s="7"/>
      <c r="S663" s="7"/>
      <c r="T663" s="7"/>
      <c r="U663" s="7"/>
      <c r="V663" s="7"/>
      <c r="W663" s="7"/>
      <c r="X663" s="7"/>
    </row>
    <row r="664" customFormat="false" ht="12.75" hidden="false" customHeight="false" outlineLevel="0" collapsed="false">
      <c r="A664" s="12" t="s">
        <v>4</v>
      </c>
      <c r="B664" s="13" t="n">
        <v>72944.4472150623</v>
      </c>
      <c r="C664" s="7"/>
      <c r="D664" s="7"/>
      <c r="E664" s="7"/>
      <c r="F664" s="7"/>
      <c r="G664" s="7"/>
      <c r="H664" s="7"/>
      <c r="I664" s="7"/>
      <c r="J664" s="7"/>
      <c r="K664" s="7"/>
      <c r="L664" s="7"/>
      <c r="M664" s="7"/>
      <c r="N664" s="7"/>
      <c r="O664" s="7"/>
      <c r="P664" s="7"/>
      <c r="Q664" s="7"/>
      <c r="R664" s="7"/>
      <c r="S664" s="7"/>
      <c r="T664" s="7"/>
      <c r="U664" s="7"/>
      <c r="V664" s="7"/>
      <c r="W664" s="7"/>
      <c r="X664" s="7"/>
    </row>
    <row r="665" customFormat="false" ht="12.75" hidden="false" customHeight="false" outlineLevel="0" collapsed="false">
      <c r="A665" s="14" t="s">
        <v>5</v>
      </c>
      <c r="B665" s="15" t="s">
        <v>6</v>
      </c>
      <c r="C665" s="15" t="s">
        <v>7</v>
      </c>
      <c r="D665" s="16" t="n">
        <v>2000</v>
      </c>
      <c r="E665" s="17" t="n">
        <v>2001</v>
      </c>
      <c r="F665" s="17" t="n">
        <v>2002</v>
      </c>
      <c r="G665" s="17" t="n">
        <v>2003</v>
      </c>
      <c r="H665" s="17" t="n">
        <v>2004</v>
      </c>
      <c r="I665" s="17" t="n">
        <v>2005</v>
      </c>
      <c r="J665" s="17" t="n">
        <v>2006</v>
      </c>
      <c r="K665" s="17" t="n">
        <v>2007</v>
      </c>
      <c r="L665" s="17" t="n">
        <v>2008</v>
      </c>
      <c r="M665" s="17" t="n">
        <v>2009</v>
      </c>
      <c r="N665" s="18" t="n">
        <v>2010</v>
      </c>
      <c r="O665" s="19" t="n">
        <v>2011</v>
      </c>
      <c r="P665" s="19" t="n">
        <v>2012</v>
      </c>
      <c r="Q665" s="19" t="n">
        <v>2013</v>
      </c>
      <c r="R665" s="19" t="n">
        <v>2014</v>
      </c>
      <c r="S665" s="19" t="n">
        <v>2015</v>
      </c>
      <c r="T665" s="19" t="n">
        <v>2016</v>
      </c>
      <c r="U665" s="19" t="n">
        <v>2017</v>
      </c>
      <c r="V665" s="19" t="n">
        <v>2018</v>
      </c>
      <c r="W665" s="19" t="n">
        <v>2019</v>
      </c>
      <c r="X665" s="19" t="n">
        <v>2020</v>
      </c>
    </row>
    <row r="666" customFormat="false" ht="12.75" hidden="false" customHeight="false" outlineLevel="0" collapsed="false">
      <c r="A666" s="14" t="s">
        <v>8</v>
      </c>
      <c r="B666" s="20" t="n">
        <f aca="false">NPV(0.1,D666:Y666)</f>
        <v>415853.845030795</v>
      </c>
      <c r="C666" s="20" t="n">
        <f aca="false">B666-B655</f>
        <v>0.0346922109602019</v>
      </c>
      <c r="D666" s="21" t="n">
        <v>29930.94628454</v>
      </c>
      <c r="E666" s="22" t="n">
        <v>40230.6474785081</v>
      </c>
      <c r="F666" s="22" t="n">
        <v>40327.4867619479</v>
      </c>
      <c r="G666" s="22" t="n">
        <v>45947.0396307028</v>
      </c>
      <c r="H666" s="22" t="n">
        <v>50272.1276258622</v>
      </c>
      <c r="I666" s="22" t="n">
        <v>50760.9173845751</v>
      </c>
      <c r="J666" s="22" t="n">
        <v>51245.5250400917</v>
      </c>
      <c r="K666" s="22" t="n">
        <v>52396.2058691597</v>
      </c>
      <c r="L666" s="22" t="n">
        <v>52890.4968633763</v>
      </c>
      <c r="M666" s="22" t="n">
        <v>54090.5268471429</v>
      </c>
      <c r="N666" s="23" t="n">
        <v>54593.5710358818</v>
      </c>
      <c r="O666" s="24" t="n">
        <v>55844.6932448236</v>
      </c>
      <c r="P666" s="24" t="n">
        <v>56355.7235357954</v>
      </c>
      <c r="Q666" s="24" t="n">
        <v>56858.7559679692</v>
      </c>
      <c r="R666" s="24" t="n">
        <v>57352.8507425553</v>
      </c>
      <c r="S666" s="24" t="n">
        <v>57837.0188709094</v>
      </c>
      <c r="T666" s="24" t="n">
        <v>58310.2200689604</v>
      </c>
      <c r="U666" s="24" t="n">
        <v>58771.3605695748</v>
      </c>
      <c r="V666" s="24" t="n">
        <v>59219.290849828</v>
      </c>
      <c r="W666" s="24" t="n">
        <v>59652.8032700478</v>
      </c>
      <c r="X666" s="24" t="n">
        <v>34202.2581410539</v>
      </c>
    </row>
    <row r="667" customFormat="false" ht="12.75" hidden="false" customHeight="false" outlineLevel="0" collapsed="false">
      <c r="A667" s="25" t="s">
        <v>9</v>
      </c>
      <c r="B667" s="20" t="n">
        <f aca="false">NPV(0.1,D667:Y667)</f>
        <v>171193.567158676</v>
      </c>
      <c r="C667" s="20" t="n">
        <f aca="false">B667-B656</f>
        <v>19.4321913347812</v>
      </c>
      <c r="D667" s="21" t="n">
        <v>17172.9599092848</v>
      </c>
      <c r="E667" s="22" t="n">
        <v>18202.074938547</v>
      </c>
      <c r="F667" s="22" t="n">
        <v>18365.2884943985</v>
      </c>
      <c r="G667" s="22" t="n">
        <v>19080.3656771936</v>
      </c>
      <c r="H667" s="22" t="n">
        <v>19543.7902099761</v>
      </c>
      <c r="I667" s="22" t="n">
        <v>19736.1253371305</v>
      </c>
      <c r="J667" s="22" t="n">
        <v>19934.3531449883</v>
      </c>
      <c r="K667" s="22" t="n">
        <v>20138.8135465739</v>
      </c>
      <c r="L667" s="22" t="n">
        <v>20349.407760207</v>
      </c>
      <c r="M667" s="22" t="n">
        <v>20566.3198002491</v>
      </c>
      <c r="N667" s="23" t="n">
        <v>20789.7392014925</v>
      </c>
      <c r="O667" s="24" t="n">
        <v>21019.8611847732</v>
      </c>
      <c r="P667" s="24" t="n">
        <v>21256.8868275523</v>
      </c>
      <c r="Q667" s="24" t="n">
        <v>21501.0232396148</v>
      </c>
      <c r="R667" s="24" t="n">
        <v>21752.4837440392</v>
      </c>
      <c r="S667" s="24" t="n">
        <v>22011.4880635963</v>
      </c>
      <c r="T667" s="24" t="n">
        <v>22278.2625127401</v>
      </c>
      <c r="U667" s="24" t="n">
        <v>22553.0401953582</v>
      </c>
      <c r="V667" s="24" t="n">
        <v>22836.0612084549</v>
      </c>
      <c r="W667" s="24" t="n">
        <v>23127.5728519445</v>
      </c>
      <c r="X667" s="24" t="n">
        <v>20811.1300985807</v>
      </c>
    </row>
    <row r="668" customFormat="false" ht="12.75" hidden="false" customHeight="false" outlineLevel="0" collapsed="false">
      <c r="A668" s="25" t="s">
        <v>10</v>
      </c>
      <c r="B668" s="20" t="n">
        <f aca="false">NPV(0.1,D668:Y668)</f>
        <v>85566.9133188845</v>
      </c>
      <c r="C668" s="20" t="n">
        <f aca="false">B668-B657</f>
        <v>-11.534792084014</v>
      </c>
      <c r="D668" s="21" t="n">
        <v>-240.646465460845</v>
      </c>
      <c r="E668" s="22" t="n">
        <v>4212.31028861739</v>
      </c>
      <c r="F668" s="22" t="n">
        <v>4380.70433891611</v>
      </c>
      <c r="G668" s="22" t="n">
        <v>7638.64549025589</v>
      </c>
      <c r="H668" s="22" t="n">
        <v>10354.9059865767</v>
      </c>
      <c r="I668" s="22" t="n">
        <v>10907.0687253362</v>
      </c>
      <c r="J668" s="22" t="n">
        <v>11416.3799809153</v>
      </c>
      <c r="K668" s="22" t="n">
        <v>12266.4354334965</v>
      </c>
      <c r="L668" s="22" t="n">
        <v>12716.4394394093</v>
      </c>
      <c r="M668" s="22" t="n">
        <v>13764.7753558288</v>
      </c>
      <c r="N668" s="23" t="n">
        <v>14510.5544834363</v>
      </c>
      <c r="O668" s="24" t="n">
        <v>15263.9964898505</v>
      </c>
      <c r="P668" s="24" t="n">
        <v>15600.6133299621</v>
      </c>
      <c r="Q668" s="24" t="n">
        <v>15928.1071319007</v>
      </c>
      <c r="R668" s="24" t="n">
        <v>16245.7816064491</v>
      </c>
      <c r="S668" s="24" t="n">
        <v>16552.9068977711</v>
      </c>
      <c r="T668" s="24" t="n">
        <v>16848.7181960753</v>
      </c>
      <c r="U668" s="24" t="n">
        <v>17303.5789962673</v>
      </c>
      <c r="V668" s="24" t="n">
        <v>17813.9513851678</v>
      </c>
      <c r="W668" s="24" t="n">
        <v>18413.1897668651</v>
      </c>
      <c r="X668" s="24" t="n">
        <v>5026.09193546283</v>
      </c>
    </row>
    <row r="669" customFormat="false" ht="12.75" hidden="false" customHeight="false" outlineLevel="0" collapsed="false">
      <c r="A669" s="25" t="s">
        <v>11</v>
      </c>
      <c r="B669" s="20" t="n">
        <f aca="false">NPV(0.1,D669:Y669)</f>
        <v>93275.2645904605</v>
      </c>
      <c r="C669" s="20" t="n">
        <f aca="false">B669-B658</f>
        <v>-10.1299305170105</v>
      </c>
      <c r="D669" s="26" t="n">
        <v>-2153.84195051352</v>
      </c>
      <c r="E669" s="27" t="n">
        <v>7365.86847084869</v>
      </c>
      <c r="F669" s="27" t="n">
        <v>5698.97479135928</v>
      </c>
      <c r="G669" s="27" t="n">
        <v>9212.62540202466</v>
      </c>
      <c r="H669" s="27" t="n">
        <v>16249.9146878457</v>
      </c>
      <c r="I669" s="27" t="n">
        <v>13119.6831822366</v>
      </c>
      <c r="J669" s="27" t="n">
        <v>12545.330606959</v>
      </c>
      <c r="K669" s="27" t="n">
        <v>13402.2890960211</v>
      </c>
      <c r="L669" s="27" t="n">
        <v>9946.87732295289</v>
      </c>
      <c r="M669" s="27" t="n">
        <v>8351.12761095339</v>
      </c>
      <c r="N669" s="28" t="n">
        <v>18836.2855583299</v>
      </c>
      <c r="O669" s="24" t="n">
        <v>18894.8983075752</v>
      </c>
      <c r="P669" s="24" t="n">
        <v>19224.6121112057</v>
      </c>
      <c r="Q669" s="24" t="n">
        <v>19559.0089496254</v>
      </c>
      <c r="R669" s="24" t="n">
        <v>19869.7803876927</v>
      </c>
      <c r="S669" s="24" t="n">
        <v>18140.5099171161</v>
      </c>
      <c r="T669" s="24" t="n">
        <v>12891.2639852715</v>
      </c>
      <c r="U669" s="24" t="n">
        <v>11942.6601981635</v>
      </c>
      <c r="V669" s="24" t="n">
        <v>10347.8357061141</v>
      </c>
      <c r="W669" s="24" t="n">
        <v>9543.60950051139</v>
      </c>
      <c r="X669" s="24" t="n">
        <v>8085.96066115908</v>
      </c>
    </row>
    <row r="672" customFormat="false" ht="11.25" hidden="false" customHeight="false" outlineLevel="0" collapsed="false">
      <c r="A672" s="41" t="s">
        <v>75</v>
      </c>
    </row>
    <row r="673" customFormat="false" ht="11.25" hidden="false" customHeight="false" outlineLevel="0" collapsed="false">
      <c r="A673" s="36" t="n">
        <v>36465</v>
      </c>
    </row>
    <row r="674" customFormat="false" ht="12.75" hidden="false" customHeight="false" outlineLevel="0" collapsed="false">
      <c r="A674" s="10" t="s">
        <v>3</v>
      </c>
      <c r="B674" s="11" t="n">
        <v>39140.8224570106</v>
      </c>
      <c r="C674" s="7"/>
      <c r="D674" s="7"/>
      <c r="E674" s="7"/>
      <c r="F674" s="7"/>
      <c r="G674" s="7"/>
      <c r="H674" s="7"/>
      <c r="I674" s="7"/>
      <c r="J674" s="7"/>
      <c r="K674" s="7"/>
      <c r="L674" s="7"/>
      <c r="M674" s="7"/>
      <c r="N674" s="7"/>
      <c r="O674" s="7"/>
      <c r="P674" s="7"/>
      <c r="Q674" s="7"/>
      <c r="R674" s="7"/>
      <c r="S674" s="7"/>
      <c r="T674" s="7"/>
      <c r="U674" s="7"/>
      <c r="V674" s="7"/>
      <c r="W674" s="7"/>
      <c r="X674" s="7"/>
    </row>
    <row r="675" customFormat="false" ht="12.75" hidden="false" customHeight="false" outlineLevel="0" collapsed="false">
      <c r="A675" s="12" t="s">
        <v>4</v>
      </c>
      <c r="B675" s="13" t="n">
        <v>72903.8164095293</v>
      </c>
      <c r="C675" s="7"/>
      <c r="D675" s="7"/>
      <c r="E675" s="7"/>
      <c r="F675" s="7"/>
      <c r="G675" s="7"/>
      <c r="H675" s="7"/>
      <c r="I675" s="7"/>
      <c r="J675" s="7"/>
      <c r="K675" s="7"/>
      <c r="L675" s="7"/>
      <c r="M675" s="7"/>
      <c r="N675" s="7"/>
      <c r="O675" s="7"/>
      <c r="P675" s="7"/>
      <c r="Q675" s="7"/>
      <c r="R675" s="7"/>
      <c r="S675" s="7"/>
      <c r="T675" s="7"/>
      <c r="U675" s="7"/>
      <c r="V675" s="7"/>
      <c r="W675" s="7"/>
      <c r="X675" s="7"/>
    </row>
    <row r="676" customFormat="false" ht="12.75" hidden="false" customHeight="false" outlineLevel="0" collapsed="false">
      <c r="A676" s="14" t="s">
        <v>5</v>
      </c>
      <c r="B676" s="15" t="s">
        <v>6</v>
      </c>
      <c r="C676" s="15" t="s">
        <v>7</v>
      </c>
      <c r="D676" s="16" t="n">
        <v>2000</v>
      </c>
      <c r="E676" s="17" t="n">
        <v>2001</v>
      </c>
      <c r="F676" s="17" t="n">
        <v>2002</v>
      </c>
      <c r="G676" s="17" t="n">
        <v>2003</v>
      </c>
      <c r="H676" s="17" t="n">
        <v>2004</v>
      </c>
      <c r="I676" s="17" t="n">
        <v>2005</v>
      </c>
      <c r="J676" s="17" t="n">
        <v>2006</v>
      </c>
      <c r="K676" s="17" t="n">
        <v>2007</v>
      </c>
      <c r="L676" s="17" t="n">
        <v>2008</v>
      </c>
      <c r="M676" s="17" t="n">
        <v>2009</v>
      </c>
      <c r="N676" s="18" t="n">
        <v>2010</v>
      </c>
      <c r="O676" s="19" t="n">
        <v>2011</v>
      </c>
      <c r="P676" s="19" t="n">
        <v>2012</v>
      </c>
      <c r="Q676" s="19" t="n">
        <v>2013</v>
      </c>
      <c r="R676" s="19" t="n">
        <v>2014</v>
      </c>
      <c r="S676" s="19" t="n">
        <v>2015</v>
      </c>
      <c r="T676" s="19" t="n">
        <v>2016</v>
      </c>
      <c r="U676" s="19" t="n">
        <v>2017</v>
      </c>
      <c r="V676" s="19" t="n">
        <v>2018</v>
      </c>
      <c r="W676" s="19" t="n">
        <v>2019</v>
      </c>
      <c r="X676" s="19" t="n">
        <v>2020</v>
      </c>
    </row>
    <row r="677" customFormat="false" ht="12.75" hidden="false" customHeight="false" outlineLevel="0" collapsed="false">
      <c r="A677" s="14" t="s">
        <v>8</v>
      </c>
      <c r="B677" s="20" t="n">
        <f aca="false">NPV(0.1,D677:Y677)</f>
        <v>415853.865978286</v>
      </c>
      <c r="C677" s="20" t="n">
        <f aca="false">B677-B666</f>
        <v>0.0209474909934215</v>
      </c>
      <c r="D677" s="21" t="n">
        <v>29930.9477621105</v>
      </c>
      <c r="E677" s="22" t="n">
        <v>40230.6500114861</v>
      </c>
      <c r="F677" s="22" t="n">
        <v>40327.4892949259</v>
      </c>
      <c r="G677" s="22" t="n">
        <v>45947.0421636808</v>
      </c>
      <c r="H677" s="22" t="n">
        <v>50272.1301588402</v>
      </c>
      <c r="I677" s="22" t="n">
        <v>50760.919917553</v>
      </c>
      <c r="J677" s="22" t="n">
        <v>51245.5275730697</v>
      </c>
      <c r="K677" s="22" t="n">
        <v>52396.2084021377</v>
      </c>
      <c r="L677" s="22" t="n">
        <v>52890.4993963543</v>
      </c>
      <c r="M677" s="22" t="n">
        <v>54090.5293801209</v>
      </c>
      <c r="N677" s="23" t="n">
        <v>54593.5735688598</v>
      </c>
      <c r="O677" s="24" t="n">
        <v>55844.6957778016</v>
      </c>
      <c r="P677" s="24" t="n">
        <v>56355.7260687734</v>
      </c>
      <c r="Q677" s="24" t="n">
        <v>56858.7585009472</v>
      </c>
      <c r="R677" s="24" t="n">
        <v>57352.8532755333</v>
      </c>
      <c r="S677" s="24" t="n">
        <v>57837.0214038874</v>
      </c>
      <c r="T677" s="24" t="n">
        <v>58310.2226019384</v>
      </c>
      <c r="U677" s="24" t="n">
        <v>58771.3631025528</v>
      </c>
      <c r="V677" s="24" t="n">
        <v>59219.293382806</v>
      </c>
      <c r="W677" s="24" t="n">
        <v>59652.8058030258</v>
      </c>
      <c r="X677" s="24" t="n">
        <v>34202.2606740319</v>
      </c>
    </row>
    <row r="678" customFormat="false" ht="12.75" hidden="false" customHeight="false" outlineLevel="0" collapsed="false">
      <c r="A678" s="25" t="s">
        <v>9</v>
      </c>
      <c r="B678" s="20" t="n">
        <f aca="false">NPV(0.1,D678:Y678)</f>
        <v>171193.588106167</v>
      </c>
      <c r="C678" s="20" t="n">
        <f aca="false">B678-B667</f>
        <v>0.0209474909934215</v>
      </c>
      <c r="D678" s="21" t="n">
        <v>17172.9613868552</v>
      </c>
      <c r="E678" s="22" t="n">
        <v>18202.077471525</v>
      </c>
      <c r="F678" s="22" t="n">
        <v>18365.2910273765</v>
      </c>
      <c r="G678" s="22" t="n">
        <v>19080.3682101716</v>
      </c>
      <c r="H678" s="22" t="n">
        <v>19543.7927429541</v>
      </c>
      <c r="I678" s="22" t="n">
        <v>19736.1278701085</v>
      </c>
      <c r="J678" s="22" t="n">
        <v>19934.3556779663</v>
      </c>
      <c r="K678" s="22" t="n">
        <v>20138.8160795519</v>
      </c>
      <c r="L678" s="22" t="n">
        <v>20349.410293185</v>
      </c>
      <c r="M678" s="22" t="n">
        <v>20566.3223332271</v>
      </c>
      <c r="N678" s="23" t="n">
        <v>20789.7417344705</v>
      </c>
      <c r="O678" s="24" t="n">
        <v>21019.8637177512</v>
      </c>
      <c r="P678" s="24" t="n">
        <v>21256.8893605303</v>
      </c>
      <c r="Q678" s="24" t="n">
        <v>21501.0257725928</v>
      </c>
      <c r="R678" s="24" t="n">
        <v>21752.4862770172</v>
      </c>
      <c r="S678" s="24" t="n">
        <v>22011.4905965743</v>
      </c>
      <c r="T678" s="24" t="n">
        <v>22278.2650457181</v>
      </c>
      <c r="U678" s="24" t="n">
        <v>22553.0427283362</v>
      </c>
      <c r="V678" s="24" t="n">
        <v>22836.0637414329</v>
      </c>
      <c r="W678" s="24" t="n">
        <v>23127.5753849225</v>
      </c>
      <c r="X678" s="24" t="n">
        <v>20811.1326315587</v>
      </c>
    </row>
    <row r="679" customFormat="false" ht="12.75" hidden="false" customHeight="false" outlineLevel="0" collapsed="false">
      <c r="A679" s="25" t="s">
        <v>10</v>
      </c>
      <c r="B679" s="20" t="n">
        <f aca="false">NPV(0.1,D679:Y679)</f>
        <v>85550.2150132038</v>
      </c>
      <c r="C679" s="20" t="n">
        <f aca="false">B679-B668</f>
        <v>-16.6983056807367</v>
      </c>
      <c r="D679" s="21" t="n">
        <v>-242.764990719812</v>
      </c>
      <c r="E679" s="22" t="n">
        <v>4209.89852420394</v>
      </c>
      <c r="F679" s="22" t="n">
        <v>4378.34901237475</v>
      </c>
      <c r="G679" s="22" t="n">
        <v>7636.37042508244</v>
      </c>
      <c r="H679" s="22" t="n">
        <v>10352.735006267</v>
      </c>
      <c r="I679" s="22" t="n">
        <v>10904.9639271385</v>
      </c>
      <c r="J679" s="22" t="n">
        <v>11414.3413648296</v>
      </c>
      <c r="K679" s="22" t="n">
        <v>12264.4722670829</v>
      </c>
      <c r="L679" s="22" t="n">
        <v>12714.5517226678</v>
      </c>
      <c r="M679" s="22" t="n">
        <v>13763.0107357511</v>
      </c>
      <c r="N679" s="23" t="n">
        <v>14508.9460510784</v>
      </c>
      <c r="O679" s="24" t="n">
        <v>15262.4251277333</v>
      </c>
      <c r="P679" s="24" t="n">
        <v>15599.0883056457</v>
      </c>
      <c r="Q679" s="24" t="n">
        <v>15926.6284453852</v>
      </c>
      <c r="R679" s="24" t="n">
        <v>16244.3492577344</v>
      </c>
      <c r="S679" s="24" t="n">
        <v>16551.5208868573</v>
      </c>
      <c r="T679" s="24" t="n">
        <v>16847.3785229623</v>
      </c>
      <c r="U679" s="24" t="n">
        <v>17302.331998756</v>
      </c>
      <c r="V679" s="24" t="n">
        <v>17812.8155983786</v>
      </c>
      <c r="W679" s="24" t="n">
        <v>18412.1929934785</v>
      </c>
      <c r="X679" s="24" t="n">
        <v>5025.25271059907</v>
      </c>
    </row>
    <row r="680" customFormat="false" ht="12.75" hidden="false" customHeight="false" outlineLevel="0" collapsed="false">
      <c r="A680" s="25" t="s">
        <v>11</v>
      </c>
      <c r="B680" s="20" t="n">
        <f aca="false">NPV(0.1,D680:Y680)</f>
        <v>93259.0478663734</v>
      </c>
      <c r="C680" s="20" t="n">
        <f aca="false">B680-B669</f>
        <v>-16.2167240871204</v>
      </c>
      <c r="D680" s="26" t="n">
        <v>-2157.98062548402</v>
      </c>
      <c r="E680" s="27" t="n">
        <v>7361.82443075069</v>
      </c>
      <c r="F680" s="27" t="n">
        <v>5694.49768238378</v>
      </c>
      <c r="G680" s="27" t="n">
        <v>9207.75517134553</v>
      </c>
      <c r="H680" s="27" t="n">
        <v>16258.4461160254</v>
      </c>
      <c r="I680" s="27" t="n">
        <v>13118.1617705022</v>
      </c>
      <c r="J680" s="27" t="n">
        <v>12543.6229256216</v>
      </c>
      <c r="K680" s="27" t="n">
        <v>13400.6587576397</v>
      </c>
      <c r="L680" s="27" t="n">
        <v>9944.2651334598</v>
      </c>
      <c r="M680" s="27" t="n">
        <v>8347.92273430789</v>
      </c>
      <c r="N680" s="28" t="n">
        <v>18835.8734948704</v>
      </c>
      <c r="O680" s="24" t="n">
        <v>18894.3352342901</v>
      </c>
      <c r="P680" s="24" t="n">
        <v>19224.0934824377</v>
      </c>
      <c r="Q680" s="24" t="n">
        <v>19558.538551942</v>
      </c>
      <c r="R680" s="24" t="n">
        <v>19869.3544345265</v>
      </c>
      <c r="S680" s="24" t="n">
        <v>18139.5717830333</v>
      </c>
      <c r="T680" s="24" t="n">
        <v>12888.8638035223</v>
      </c>
      <c r="U680" s="24" t="n">
        <v>11939.972745316</v>
      </c>
      <c r="V680" s="24" t="n">
        <v>10344.6895439386</v>
      </c>
      <c r="W680" s="24" t="n">
        <v>9540.22240503849</v>
      </c>
      <c r="X680" s="24" t="n">
        <v>8085.96066115907</v>
      </c>
    </row>
    <row r="683" customFormat="false" ht="11.25" hidden="false" customHeight="false" outlineLevel="0" collapsed="false">
      <c r="A683" s="41" t="s">
        <v>76</v>
      </c>
    </row>
    <row r="684" customFormat="false" ht="11.25" hidden="false" customHeight="false" outlineLevel="0" collapsed="false">
      <c r="A684" s="36" t="n">
        <v>36481</v>
      </c>
    </row>
    <row r="685" customFormat="false" ht="12.75" hidden="false" customHeight="false" outlineLevel="0" collapsed="false">
      <c r="A685" s="10" t="s">
        <v>3</v>
      </c>
      <c r="B685" s="11" t="n">
        <v>39140.8224570106</v>
      </c>
      <c r="C685" s="7"/>
      <c r="D685" s="7"/>
      <c r="E685" s="7"/>
      <c r="F685" s="7"/>
      <c r="G685" s="7"/>
      <c r="H685" s="7"/>
      <c r="I685" s="7"/>
      <c r="J685" s="7"/>
      <c r="K685" s="7"/>
      <c r="L685" s="7"/>
      <c r="M685" s="7"/>
      <c r="N685" s="7"/>
      <c r="O685" s="7"/>
      <c r="P685" s="7"/>
      <c r="Q685" s="7"/>
      <c r="R685" s="7"/>
      <c r="S685" s="7"/>
      <c r="T685" s="7"/>
      <c r="U685" s="7"/>
      <c r="V685" s="7"/>
      <c r="W685" s="7"/>
      <c r="X685" s="7"/>
    </row>
    <row r="686" customFormat="false" ht="12.75" hidden="false" customHeight="false" outlineLevel="0" collapsed="false">
      <c r="A686" s="12" t="s">
        <v>4</v>
      </c>
      <c r="B686" s="13" t="n">
        <v>72903.8164095293</v>
      </c>
      <c r="C686" s="7"/>
      <c r="D686" s="7"/>
      <c r="E686" s="7"/>
      <c r="F686" s="7"/>
      <c r="G686" s="7"/>
      <c r="H686" s="7"/>
      <c r="I686" s="7"/>
      <c r="J686" s="7"/>
      <c r="K686" s="7"/>
      <c r="L686" s="7"/>
      <c r="M686" s="7"/>
      <c r="N686" s="7"/>
      <c r="O686" s="7"/>
      <c r="P686" s="7"/>
      <c r="Q686" s="7"/>
      <c r="R686" s="7"/>
      <c r="S686" s="7"/>
      <c r="T686" s="7"/>
      <c r="U686" s="7"/>
      <c r="V686" s="7"/>
      <c r="W686" s="7"/>
      <c r="X686" s="7"/>
    </row>
    <row r="687" customFormat="false" ht="12.75" hidden="false" customHeight="false" outlineLevel="0" collapsed="false">
      <c r="A687" s="14" t="s">
        <v>5</v>
      </c>
      <c r="B687" s="15" t="s">
        <v>6</v>
      </c>
      <c r="C687" s="15" t="s">
        <v>7</v>
      </c>
      <c r="D687" s="16" t="n">
        <v>2000</v>
      </c>
      <c r="E687" s="17" t="n">
        <v>2001</v>
      </c>
      <c r="F687" s="17" t="n">
        <v>2002</v>
      </c>
      <c r="G687" s="17" t="n">
        <v>2003</v>
      </c>
      <c r="H687" s="17" t="n">
        <v>2004</v>
      </c>
      <c r="I687" s="17" t="n">
        <v>2005</v>
      </c>
      <c r="J687" s="17" t="n">
        <v>2006</v>
      </c>
      <c r="K687" s="17" t="n">
        <v>2007</v>
      </c>
      <c r="L687" s="17" t="n">
        <v>2008</v>
      </c>
      <c r="M687" s="17" t="n">
        <v>2009</v>
      </c>
      <c r="N687" s="18" t="n">
        <v>2010</v>
      </c>
      <c r="O687" s="19" t="n">
        <v>2011</v>
      </c>
      <c r="P687" s="19" t="n">
        <v>2012</v>
      </c>
      <c r="Q687" s="19" t="n">
        <v>2013</v>
      </c>
      <c r="R687" s="19" t="n">
        <v>2014</v>
      </c>
      <c r="S687" s="19" t="n">
        <v>2015</v>
      </c>
      <c r="T687" s="19" t="n">
        <v>2016</v>
      </c>
      <c r="U687" s="19" t="n">
        <v>2017</v>
      </c>
      <c r="V687" s="19" t="n">
        <v>2018</v>
      </c>
      <c r="W687" s="19" t="n">
        <v>2019</v>
      </c>
      <c r="X687" s="19" t="n">
        <v>2020</v>
      </c>
    </row>
    <row r="688" customFormat="false" ht="12.75" hidden="false" customHeight="false" outlineLevel="0" collapsed="false">
      <c r="A688" s="14" t="s">
        <v>8</v>
      </c>
      <c r="B688" s="20" t="n">
        <f aca="false">NPV(0.1,D688:Y688)</f>
        <v>415853.865978286</v>
      </c>
      <c r="C688" s="20" t="n">
        <f aca="false">B688-B677</f>
        <v>0</v>
      </c>
      <c r="D688" s="21" t="n">
        <v>29930.9477621105</v>
      </c>
      <c r="E688" s="22" t="n">
        <v>40230.6500114861</v>
      </c>
      <c r="F688" s="22" t="n">
        <v>40327.4892949259</v>
      </c>
      <c r="G688" s="22" t="n">
        <v>45947.0421636808</v>
      </c>
      <c r="H688" s="22" t="n">
        <v>50272.1301588402</v>
      </c>
      <c r="I688" s="22" t="n">
        <v>50760.919917553</v>
      </c>
      <c r="J688" s="22" t="n">
        <v>51245.5275730697</v>
      </c>
      <c r="K688" s="22" t="n">
        <v>52396.2084021377</v>
      </c>
      <c r="L688" s="22" t="n">
        <v>52890.4993963543</v>
      </c>
      <c r="M688" s="22" t="n">
        <v>54090.5293801209</v>
      </c>
      <c r="N688" s="23" t="n">
        <v>54593.5735688598</v>
      </c>
      <c r="O688" s="24" t="n">
        <v>55844.6957778016</v>
      </c>
      <c r="P688" s="24" t="n">
        <v>56355.7260687734</v>
      </c>
      <c r="Q688" s="24" t="n">
        <v>56858.7585009472</v>
      </c>
      <c r="R688" s="24" t="n">
        <v>57352.8532755333</v>
      </c>
      <c r="S688" s="24" t="n">
        <v>57837.0214038874</v>
      </c>
      <c r="T688" s="24" t="n">
        <v>58310.2226019384</v>
      </c>
      <c r="U688" s="24" t="n">
        <v>58771.3631025528</v>
      </c>
      <c r="V688" s="24" t="n">
        <v>59219.293382806</v>
      </c>
      <c r="W688" s="24" t="n">
        <v>59652.8058030258</v>
      </c>
      <c r="X688" s="24" t="n">
        <v>34202.2606740319</v>
      </c>
    </row>
    <row r="689" customFormat="false" ht="12.75" hidden="false" customHeight="false" outlineLevel="0" collapsed="false">
      <c r="A689" s="25" t="s">
        <v>9</v>
      </c>
      <c r="B689" s="20" t="n">
        <f aca="false">NPV(0.1,D689:Y689)</f>
        <v>171193.588106167</v>
      </c>
      <c r="C689" s="20" t="n">
        <f aca="false">B689-B678</f>
        <v>0</v>
      </c>
      <c r="D689" s="21" t="n">
        <v>17172.9613868552</v>
      </c>
      <c r="E689" s="22" t="n">
        <v>18202.077471525</v>
      </c>
      <c r="F689" s="22" t="n">
        <v>18365.2910273765</v>
      </c>
      <c r="G689" s="22" t="n">
        <v>19080.3682101716</v>
      </c>
      <c r="H689" s="22" t="n">
        <v>19543.7927429541</v>
      </c>
      <c r="I689" s="22" t="n">
        <v>19736.1278701085</v>
      </c>
      <c r="J689" s="22" t="n">
        <v>19934.3556779663</v>
      </c>
      <c r="K689" s="22" t="n">
        <v>20138.8160795519</v>
      </c>
      <c r="L689" s="22" t="n">
        <v>20349.410293185</v>
      </c>
      <c r="M689" s="22" t="n">
        <v>20566.3223332271</v>
      </c>
      <c r="N689" s="23" t="n">
        <v>20789.7417344705</v>
      </c>
      <c r="O689" s="24" t="n">
        <v>21019.8637177512</v>
      </c>
      <c r="P689" s="24" t="n">
        <v>21256.8893605303</v>
      </c>
      <c r="Q689" s="24" t="n">
        <v>21501.0257725928</v>
      </c>
      <c r="R689" s="24" t="n">
        <v>21752.4862770172</v>
      </c>
      <c r="S689" s="24" t="n">
        <v>22011.4905965743</v>
      </c>
      <c r="T689" s="24" t="n">
        <v>22278.2650457181</v>
      </c>
      <c r="U689" s="24" t="n">
        <v>22553.0427283362</v>
      </c>
      <c r="V689" s="24" t="n">
        <v>22836.0637414329</v>
      </c>
      <c r="W689" s="24" t="n">
        <v>23127.5753849225</v>
      </c>
      <c r="X689" s="24" t="n">
        <v>20811.1326315587</v>
      </c>
    </row>
    <row r="690" customFormat="false" ht="12.75" hidden="false" customHeight="false" outlineLevel="0" collapsed="false">
      <c r="A690" s="25" t="s">
        <v>10</v>
      </c>
      <c r="B690" s="20" t="n">
        <f aca="false">NPV(0.1,D690:Y690)</f>
        <v>85550.2150132038</v>
      </c>
      <c r="C690" s="20" t="n">
        <f aca="false">B690-B679</f>
        <v>0</v>
      </c>
      <c r="D690" s="21" t="n">
        <v>-242.764990719812</v>
      </c>
      <c r="E690" s="22" t="n">
        <v>4209.89852420394</v>
      </c>
      <c r="F690" s="22" t="n">
        <v>4378.34901237475</v>
      </c>
      <c r="G690" s="22" t="n">
        <v>7636.37042508244</v>
      </c>
      <c r="H690" s="22" t="n">
        <v>10352.735006267</v>
      </c>
      <c r="I690" s="22" t="n">
        <v>10904.9639271385</v>
      </c>
      <c r="J690" s="22" t="n">
        <v>11414.3413648296</v>
      </c>
      <c r="K690" s="22" t="n">
        <v>12264.4722670829</v>
      </c>
      <c r="L690" s="22" t="n">
        <v>12714.5517226678</v>
      </c>
      <c r="M690" s="22" t="n">
        <v>13763.0107357511</v>
      </c>
      <c r="N690" s="23" t="n">
        <v>14508.9460510784</v>
      </c>
      <c r="O690" s="24" t="n">
        <v>15262.4251277333</v>
      </c>
      <c r="P690" s="24" t="n">
        <v>15599.0883056457</v>
      </c>
      <c r="Q690" s="24" t="n">
        <v>15926.6284453852</v>
      </c>
      <c r="R690" s="24" t="n">
        <v>16244.3492577344</v>
      </c>
      <c r="S690" s="24" t="n">
        <v>16551.5208868573</v>
      </c>
      <c r="T690" s="24" t="n">
        <v>16847.3785229623</v>
      </c>
      <c r="U690" s="24" t="n">
        <v>17302.331998756</v>
      </c>
      <c r="V690" s="24" t="n">
        <v>17812.8155983786</v>
      </c>
      <c r="W690" s="24" t="n">
        <v>18412.1929934785</v>
      </c>
      <c r="X690" s="24" t="n">
        <v>5025.25271059907</v>
      </c>
    </row>
    <row r="691" customFormat="false" ht="12.75" hidden="false" customHeight="false" outlineLevel="0" collapsed="false">
      <c r="A691" s="25" t="s">
        <v>11</v>
      </c>
      <c r="B691" s="20" t="n">
        <f aca="false">NPV(0.1,D691:Y691)</f>
        <v>93259.0478663734</v>
      </c>
      <c r="C691" s="20" t="n">
        <f aca="false">B691-B680</f>
        <v>0</v>
      </c>
      <c r="D691" s="26" t="n">
        <v>-2157.98062548402</v>
      </c>
      <c r="E691" s="27" t="n">
        <v>7361.82443075069</v>
      </c>
      <c r="F691" s="27" t="n">
        <v>5694.49768238378</v>
      </c>
      <c r="G691" s="27" t="n">
        <v>9207.75517134553</v>
      </c>
      <c r="H691" s="27" t="n">
        <v>16258.4461160254</v>
      </c>
      <c r="I691" s="27" t="n">
        <v>13118.1617705022</v>
      </c>
      <c r="J691" s="27" t="n">
        <v>12543.6229256216</v>
      </c>
      <c r="K691" s="27" t="n">
        <v>13400.6587576397</v>
      </c>
      <c r="L691" s="27" t="n">
        <v>9944.2651334598</v>
      </c>
      <c r="M691" s="27" t="n">
        <v>8347.92273430789</v>
      </c>
      <c r="N691" s="28" t="n">
        <v>18835.8734948704</v>
      </c>
      <c r="O691" s="24" t="n">
        <v>18894.3352342901</v>
      </c>
      <c r="P691" s="24" t="n">
        <v>19224.0934824377</v>
      </c>
      <c r="Q691" s="24" t="n">
        <v>19558.538551942</v>
      </c>
      <c r="R691" s="24" t="n">
        <v>19869.3544345265</v>
      </c>
      <c r="S691" s="24" t="n">
        <v>18139.5717830333</v>
      </c>
      <c r="T691" s="24" t="n">
        <v>12888.8638035223</v>
      </c>
      <c r="U691" s="24" t="n">
        <v>11939.972745316</v>
      </c>
      <c r="V691" s="24" t="n">
        <v>10344.6895439386</v>
      </c>
      <c r="W691" s="24" t="n">
        <v>9540.22240503849</v>
      </c>
      <c r="X691" s="24" t="n">
        <v>8085.96066115907</v>
      </c>
    </row>
    <row r="694" customFormat="false" ht="11.25" hidden="false" customHeight="false" outlineLevel="0" collapsed="false">
      <c r="A694" s="41" t="s">
        <v>77</v>
      </c>
    </row>
    <row r="695" customFormat="false" ht="11.25" hidden="false" customHeight="false" outlineLevel="0" collapsed="false">
      <c r="A695" s="36" t="n">
        <v>36494</v>
      </c>
    </row>
    <row r="696" customFormat="false" ht="12.75" hidden="false" customHeight="false" outlineLevel="0" collapsed="false">
      <c r="A696" s="10" t="s">
        <v>3</v>
      </c>
      <c r="B696" s="11" t="n">
        <v>39354.0057387884</v>
      </c>
      <c r="C696" s="7"/>
      <c r="D696" s="7"/>
      <c r="E696" s="7"/>
      <c r="F696" s="7"/>
      <c r="G696" s="7"/>
      <c r="H696" s="7"/>
      <c r="I696" s="7"/>
      <c r="J696" s="7"/>
      <c r="K696" s="7"/>
      <c r="L696" s="7"/>
      <c r="M696" s="7"/>
      <c r="N696" s="7"/>
      <c r="O696" s="7"/>
      <c r="P696" s="7"/>
      <c r="Q696" s="7"/>
      <c r="R696" s="7"/>
      <c r="S696" s="7"/>
      <c r="T696" s="7"/>
      <c r="U696" s="7"/>
      <c r="V696" s="7"/>
      <c r="W696" s="7"/>
      <c r="X696" s="7"/>
    </row>
    <row r="697" customFormat="false" ht="12.75" hidden="false" customHeight="false" outlineLevel="0" collapsed="false">
      <c r="A697" s="12" t="s">
        <v>4</v>
      </c>
      <c r="B697" s="13" t="n">
        <v>73219.9241297094</v>
      </c>
      <c r="C697" s="7"/>
      <c r="D697" s="7"/>
      <c r="E697" s="7"/>
      <c r="F697" s="7"/>
      <c r="G697" s="7"/>
      <c r="H697" s="7"/>
      <c r="I697" s="7"/>
      <c r="J697" s="7"/>
      <c r="K697" s="7"/>
      <c r="L697" s="7"/>
      <c r="M697" s="7"/>
      <c r="N697" s="7"/>
      <c r="O697" s="7"/>
      <c r="P697" s="7"/>
      <c r="Q697" s="7"/>
      <c r="R697" s="7"/>
      <c r="S697" s="7"/>
      <c r="T697" s="7"/>
      <c r="U697" s="7"/>
      <c r="V697" s="7"/>
      <c r="W697" s="7"/>
      <c r="X697" s="7"/>
    </row>
    <row r="698" customFormat="false" ht="12.75" hidden="false" customHeight="false" outlineLevel="0" collapsed="false">
      <c r="A698" s="14" t="s">
        <v>5</v>
      </c>
      <c r="B698" s="15" t="s">
        <v>6</v>
      </c>
      <c r="C698" s="15" t="s">
        <v>7</v>
      </c>
      <c r="D698" s="16" t="n">
        <v>2000</v>
      </c>
      <c r="E698" s="17" t="n">
        <v>2001</v>
      </c>
      <c r="F698" s="17" t="n">
        <v>2002</v>
      </c>
      <c r="G698" s="17" t="n">
        <v>2003</v>
      </c>
      <c r="H698" s="17" t="n">
        <v>2004</v>
      </c>
      <c r="I698" s="17" t="n">
        <v>2005</v>
      </c>
      <c r="J698" s="17" t="n">
        <v>2006</v>
      </c>
      <c r="K698" s="17" t="n">
        <v>2007</v>
      </c>
      <c r="L698" s="17" t="n">
        <v>2008</v>
      </c>
      <c r="M698" s="17" t="n">
        <v>2009</v>
      </c>
      <c r="N698" s="18" t="n">
        <v>2010</v>
      </c>
      <c r="O698" s="19" t="n">
        <v>2011</v>
      </c>
      <c r="P698" s="19" t="n">
        <v>2012</v>
      </c>
      <c r="Q698" s="19" t="n">
        <v>2013</v>
      </c>
      <c r="R698" s="19" t="n">
        <v>2014</v>
      </c>
      <c r="S698" s="19" t="n">
        <v>2015</v>
      </c>
      <c r="T698" s="19" t="n">
        <v>2016</v>
      </c>
      <c r="U698" s="19" t="n">
        <v>2017</v>
      </c>
      <c r="V698" s="19" t="n">
        <v>2018</v>
      </c>
      <c r="W698" s="19" t="n">
        <v>2019</v>
      </c>
      <c r="X698" s="19" t="n">
        <v>2020</v>
      </c>
    </row>
    <row r="699" customFormat="false" ht="12.75" hidden="false" customHeight="false" outlineLevel="0" collapsed="false">
      <c r="A699" s="14" t="s">
        <v>8</v>
      </c>
      <c r="B699" s="20" t="n">
        <f aca="false">NPV(0.1,D699:Y699)</f>
        <v>415853.75531511</v>
      </c>
      <c r="C699" s="20" t="n">
        <f aca="false">B699-B688</f>
        <v>-0.110663175117224</v>
      </c>
      <c r="D699" s="21" t="n">
        <v>29930.943038087</v>
      </c>
      <c r="E699" s="22" t="n">
        <v>40230.6362680676</v>
      </c>
      <c r="F699" s="22" t="n">
        <v>40327.4755515074</v>
      </c>
      <c r="G699" s="22" t="n">
        <v>45947.0284202623</v>
      </c>
      <c r="H699" s="22" t="n">
        <v>50272.1164154217</v>
      </c>
      <c r="I699" s="22" t="n">
        <v>50760.9061741345</v>
      </c>
      <c r="J699" s="22" t="n">
        <v>51245.5138296512</v>
      </c>
      <c r="K699" s="22" t="n">
        <v>52396.1946587192</v>
      </c>
      <c r="L699" s="22" t="n">
        <v>52890.4856529358</v>
      </c>
      <c r="M699" s="22" t="n">
        <v>54090.5156367024</v>
      </c>
      <c r="N699" s="23" t="n">
        <v>54593.5598254413</v>
      </c>
      <c r="O699" s="24" t="n">
        <v>55844.6820343831</v>
      </c>
      <c r="P699" s="24" t="n">
        <v>56355.7123253549</v>
      </c>
      <c r="Q699" s="24" t="n">
        <v>56858.7447575287</v>
      </c>
      <c r="R699" s="24" t="n">
        <v>57352.8395321148</v>
      </c>
      <c r="S699" s="24" t="n">
        <v>57837.0076604689</v>
      </c>
      <c r="T699" s="24" t="n">
        <v>58310.2088585199</v>
      </c>
      <c r="U699" s="24" t="n">
        <v>58771.3493591343</v>
      </c>
      <c r="V699" s="24" t="n">
        <v>59219.2796393875</v>
      </c>
      <c r="W699" s="24" t="n">
        <v>59652.7920596073</v>
      </c>
      <c r="X699" s="24" t="n">
        <v>34202.2469306134</v>
      </c>
    </row>
    <row r="700" customFormat="false" ht="12.75" hidden="false" customHeight="false" outlineLevel="0" collapsed="false">
      <c r="A700" s="25" t="s">
        <v>9</v>
      </c>
      <c r="B700" s="20" t="n">
        <f aca="false">NPV(0.1,D700:Y700)</f>
        <v>171231.450637984</v>
      </c>
      <c r="C700" s="20" t="n">
        <f aca="false">B700-B689</f>
        <v>37.8625318167033</v>
      </c>
      <c r="D700" s="21" t="n">
        <v>17177.3472903318</v>
      </c>
      <c r="E700" s="22" t="n">
        <v>18206.4543556065</v>
      </c>
      <c r="F700" s="22" t="n">
        <v>18369.667911458</v>
      </c>
      <c r="G700" s="22" t="n">
        <v>19084.7450942531</v>
      </c>
      <c r="H700" s="22" t="n">
        <v>19548.1696270356</v>
      </c>
      <c r="I700" s="22" t="n">
        <v>19740.50475419</v>
      </c>
      <c r="J700" s="22" t="n">
        <v>19938.7325620478</v>
      </c>
      <c r="K700" s="22" t="n">
        <v>20143.1929636334</v>
      </c>
      <c r="L700" s="22" t="n">
        <v>20353.7871772665</v>
      </c>
      <c r="M700" s="22" t="n">
        <v>20570.6992173086</v>
      </c>
      <c r="N700" s="23" t="n">
        <v>20794.118618552</v>
      </c>
      <c r="O700" s="24" t="n">
        <v>21024.2406018327</v>
      </c>
      <c r="P700" s="24" t="n">
        <v>21261.2662446118</v>
      </c>
      <c r="Q700" s="24" t="n">
        <v>21505.4026566743</v>
      </c>
      <c r="R700" s="24" t="n">
        <v>21756.8631610987</v>
      </c>
      <c r="S700" s="24" t="n">
        <v>22015.8674806558</v>
      </c>
      <c r="T700" s="24" t="n">
        <v>22282.6419297996</v>
      </c>
      <c r="U700" s="24" t="n">
        <v>22557.4196124177</v>
      </c>
      <c r="V700" s="24" t="n">
        <v>22840.4406255144</v>
      </c>
      <c r="W700" s="24" t="n">
        <v>23131.952269004</v>
      </c>
      <c r="X700" s="24" t="n">
        <v>20815.5095156402</v>
      </c>
    </row>
    <row r="701" customFormat="false" ht="12.75" hidden="false" customHeight="false" outlineLevel="0" collapsed="false">
      <c r="A701" s="25" t="s">
        <v>10</v>
      </c>
      <c r="B701" s="20" t="n">
        <f aca="false">NPV(0.1,D701:Y701)</f>
        <v>85669.9875321193</v>
      </c>
      <c r="C701" s="20" t="n">
        <f aca="false">B701-B690</f>
        <v>119.772518915459</v>
      </c>
      <c r="D701" s="21" t="n">
        <v>-227.311500936271</v>
      </c>
      <c r="E701" s="22" t="n">
        <v>4227.85800315629</v>
      </c>
      <c r="F701" s="22" t="n">
        <v>4395.82617955528</v>
      </c>
      <c r="G701" s="22" t="n">
        <v>7653.16168754807</v>
      </c>
      <c r="H701" s="22" t="n">
        <v>10368.6367710746</v>
      </c>
      <c r="I701" s="22" t="n">
        <v>10920.300106985</v>
      </c>
      <c r="J701" s="22" t="n">
        <v>11429.1119597149</v>
      </c>
      <c r="K701" s="22" t="n">
        <v>12278.5980774696</v>
      </c>
      <c r="L701" s="22" t="n">
        <v>12728.0327485559</v>
      </c>
      <c r="M701" s="22" t="n">
        <v>13775.4397912543</v>
      </c>
      <c r="N701" s="23" t="n">
        <v>14520.0403437163</v>
      </c>
      <c r="O701" s="24" t="n">
        <v>15273.2026222212</v>
      </c>
      <c r="P701" s="24" t="n">
        <v>15609.4698024462</v>
      </c>
      <c r="Q701" s="24" t="n">
        <v>15936.6139444983</v>
      </c>
      <c r="R701" s="24" t="n">
        <v>16253.93875916</v>
      </c>
      <c r="S701" s="24" t="n">
        <v>16560.7143905955</v>
      </c>
      <c r="T701" s="24" t="n">
        <v>16856.176029013</v>
      </c>
      <c r="U701" s="24" t="n">
        <v>17310.3375094318</v>
      </c>
      <c r="V701" s="24" t="n">
        <v>17819.8707146046</v>
      </c>
      <c r="W701" s="24" t="n">
        <v>18418.0601166421</v>
      </c>
      <c r="X701" s="24" t="n">
        <v>5029.77344162532</v>
      </c>
    </row>
    <row r="702" customFormat="false" ht="12.75" hidden="false" customHeight="false" outlineLevel="0" collapsed="false">
      <c r="A702" s="25" t="s">
        <v>11</v>
      </c>
      <c r="B702" s="20" t="n">
        <f aca="false">NPV(0.1,D702:Y702)</f>
        <v>93377.4650959829</v>
      </c>
      <c r="C702" s="20" t="n">
        <f aca="false">B702-B691</f>
        <v>118.417229609491</v>
      </c>
      <c r="D702" s="26" t="n">
        <v>-2122.66685277477</v>
      </c>
      <c r="E702" s="27" t="n">
        <v>7391.93883687494</v>
      </c>
      <c r="F702" s="27" t="n">
        <v>5728.31304692303</v>
      </c>
      <c r="G702" s="27" t="n">
        <v>9244.93011019903</v>
      </c>
      <c r="H702" s="27" t="n">
        <v>16190.0635657961</v>
      </c>
      <c r="I702" s="27" t="n">
        <v>13128.5123945793</v>
      </c>
      <c r="J702" s="27" t="n">
        <v>12555.5653889892</v>
      </c>
      <c r="K702" s="27" t="n">
        <v>13411.9402567162</v>
      </c>
      <c r="L702" s="27" t="n">
        <v>9963.93742283012</v>
      </c>
      <c r="M702" s="27" t="n">
        <v>8372.66006210092</v>
      </c>
      <c r="N702" s="28" t="n">
        <v>18836.7437520905</v>
      </c>
      <c r="O702" s="24" t="n">
        <v>18896.4960046678</v>
      </c>
      <c r="P702" s="24" t="n">
        <v>19225.8744349205</v>
      </c>
      <c r="Q702" s="24" t="n">
        <v>19559.9073269448</v>
      </c>
      <c r="R702" s="24" t="n">
        <v>19870.3433916343</v>
      </c>
      <c r="S702" s="24" t="n">
        <v>18144.9377812338</v>
      </c>
      <c r="T702" s="24" t="n">
        <v>12906.7242983155</v>
      </c>
      <c r="U702" s="24" t="n">
        <v>11960.2882269343</v>
      </c>
      <c r="V702" s="24" t="n">
        <v>10368.9251044071</v>
      </c>
      <c r="W702" s="24" t="n">
        <v>9566.51695464456</v>
      </c>
      <c r="X702" s="24" t="n">
        <v>8083.30946992782</v>
      </c>
    </row>
    <row r="705" customFormat="false" ht="11.25" hidden="false" customHeight="false" outlineLevel="0" collapsed="false">
      <c r="A705" s="41" t="s">
        <v>78</v>
      </c>
    </row>
    <row r="706" customFormat="false" ht="11.25" hidden="false" customHeight="false" outlineLevel="0" collapsed="false">
      <c r="A706" s="36" t="n">
        <v>36509</v>
      </c>
    </row>
    <row r="707" customFormat="false" ht="12.75" hidden="false" customHeight="false" outlineLevel="0" collapsed="false">
      <c r="A707" s="10" t="s">
        <v>3</v>
      </c>
      <c r="B707" s="11" t="n">
        <v>39289.9997961601</v>
      </c>
      <c r="C707" s="7"/>
      <c r="D707" s="7"/>
      <c r="E707" s="7"/>
      <c r="F707" s="7"/>
      <c r="G707" s="7"/>
      <c r="H707" s="7"/>
      <c r="I707" s="7"/>
      <c r="J707" s="7"/>
      <c r="K707" s="7"/>
      <c r="L707" s="7"/>
      <c r="M707" s="7"/>
      <c r="N707" s="7"/>
      <c r="O707" s="7"/>
      <c r="P707" s="7"/>
      <c r="Q707" s="7"/>
      <c r="R707" s="7"/>
      <c r="S707" s="7"/>
      <c r="T707" s="7"/>
      <c r="U707" s="7"/>
      <c r="V707" s="7"/>
      <c r="W707" s="7"/>
      <c r="X707" s="7"/>
    </row>
    <row r="708" customFormat="false" ht="12.75" hidden="false" customHeight="false" outlineLevel="0" collapsed="false">
      <c r="A708" s="12" t="s">
        <v>4</v>
      </c>
      <c r="B708" s="13" t="n">
        <v>73107.0072926601</v>
      </c>
      <c r="C708" s="7"/>
      <c r="D708" s="7"/>
      <c r="E708" s="7"/>
      <c r="F708" s="7"/>
      <c r="G708" s="7"/>
      <c r="H708" s="7"/>
      <c r="I708" s="7"/>
      <c r="J708" s="7"/>
      <c r="K708" s="7"/>
      <c r="L708" s="7"/>
      <c r="M708" s="7"/>
      <c r="N708" s="7"/>
      <c r="O708" s="7"/>
      <c r="P708" s="7"/>
      <c r="Q708" s="7"/>
      <c r="R708" s="7"/>
      <c r="S708" s="7"/>
      <c r="T708" s="7"/>
      <c r="U708" s="7"/>
      <c r="V708" s="7"/>
      <c r="W708" s="7"/>
      <c r="X708" s="7"/>
    </row>
    <row r="709" customFormat="false" ht="12.75" hidden="false" customHeight="false" outlineLevel="0" collapsed="false">
      <c r="A709" s="14" t="s">
        <v>5</v>
      </c>
      <c r="B709" s="15" t="s">
        <v>6</v>
      </c>
      <c r="C709" s="15" t="s">
        <v>7</v>
      </c>
      <c r="D709" s="16" t="n">
        <v>2000</v>
      </c>
      <c r="E709" s="17" t="n">
        <v>2001</v>
      </c>
      <c r="F709" s="17" t="n">
        <v>2002</v>
      </c>
      <c r="G709" s="17" t="n">
        <v>2003</v>
      </c>
      <c r="H709" s="17" t="n">
        <v>2004</v>
      </c>
      <c r="I709" s="17" t="n">
        <v>2005</v>
      </c>
      <c r="J709" s="17" t="n">
        <v>2006</v>
      </c>
      <c r="K709" s="17" t="n">
        <v>2007</v>
      </c>
      <c r="L709" s="17" t="n">
        <v>2008</v>
      </c>
      <c r="M709" s="17" t="n">
        <v>2009</v>
      </c>
      <c r="N709" s="18" t="n">
        <v>2010</v>
      </c>
      <c r="O709" s="19" t="n">
        <v>2011</v>
      </c>
      <c r="P709" s="19" t="n">
        <v>2012</v>
      </c>
      <c r="Q709" s="19" t="n">
        <v>2013</v>
      </c>
      <c r="R709" s="19" t="n">
        <v>2014</v>
      </c>
      <c r="S709" s="19" t="n">
        <v>2015</v>
      </c>
      <c r="T709" s="19" t="n">
        <v>2016</v>
      </c>
      <c r="U709" s="19" t="n">
        <v>2017</v>
      </c>
      <c r="V709" s="19" t="n">
        <v>2018</v>
      </c>
      <c r="W709" s="19" t="n">
        <v>2019</v>
      </c>
      <c r="X709" s="19" t="n">
        <v>2020</v>
      </c>
    </row>
    <row r="710" customFormat="false" ht="12.75" hidden="false" customHeight="false" outlineLevel="0" collapsed="false">
      <c r="A710" s="14" t="s">
        <v>8</v>
      </c>
      <c r="B710" s="20" t="n">
        <f aca="false">NPV(0.1,D710:Y710)</f>
        <v>452745.426061096</v>
      </c>
      <c r="C710" s="20" t="n">
        <f aca="false">B710-B699</f>
        <v>36891.6707459859</v>
      </c>
      <c r="D710" s="21" t="n">
        <v>34109.6555140328</v>
      </c>
      <c r="E710" s="22" t="n">
        <v>44409.6132456614</v>
      </c>
      <c r="F710" s="22" t="n">
        <v>44506.696443909</v>
      </c>
      <c r="G710" s="22" t="n">
        <v>50218.2341787322</v>
      </c>
      <c r="H710" s="22" t="n">
        <v>54574.5988387805</v>
      </c>
      <c r="I710" s="22" t="n">
        <v>55063.6226440641</v>
      </c>
      <c r="J710" s="22" t="n">
        <v>55548.4840317105</v>
      </c>
      <c r="K710" s="22" t="n">
        <v>56699.4557163808</v>
      </c>
      <c r="L710" s="22" t="n">
        <v>57194.0462918675</v>
      </c>
      <c r="M710" s="22" t="n">
        <v>58394.3848443425</v>
      </c>
      <c r="N710" s="23" t="n">
        <v>58897.746858851</v>
      </c>
      <c r="O710" s="24" t="n">
        <v>60149.1964283354</v>
      </c>
      <c r="P710" s="24" t="n">
        <v>60660.5639006662</v>
      </c>
      <c r="Q710" s="24" t="n">
        <v>61163.9436296397</v>
      </c>
      <c r="R710" s="24" t="n">
        <v>61658.3961199294</v>
      </c>
      <c r="S710" s="24" t="n">
        <v>62142.9326954583</v>
      </c>
      <c r="T710" s="24" t="n">
        <v>62616.5133940995</v>
      </c>
      <c r="U710" s="24" t="n">
        <v>63078.0447803216</v>
      </c>
      <c r="V710" s="24" t="n">
        <v>63526.3776727508</v>
      </c>
      <c r="W710" s="24" t="n">
        <v>63960.3047835119</v>
      </c>
      <c r="X710" s="24" t="n">
        <v>38508.3507067755</v>
      </c>
    </row>
    <row r="711" customFormat="false" ht="12.75" hidden="false" customHeight="false" outlineLevel="0" collapsed="false">
      <c r="A711" s="25" t="s">
        <v>9</v>
      </c>
      <c r="B711" s="20" t="n">
        <f aca="false">NPV(0.1,D711:Y711)</f>
        <v>208105.514211153</v>
      </c>
      <c r="C711" s="20" t="n">
        <f aca="false">B711-B700</f>
        <v>36874.0635731697</v>
      </c>
      <c r="D711" s="21" t="n">
        <v>21356.0737822775</v>
      </c>
      <c r="E711" s="22" t="n">
        <v>22385.4453492003</v>
      </c>
      <c r="F711" s="22" t="n">
        <v>22548.9028198596</v>
      </c>
      <c r="G711" s="22" t="n">
        <v>23354.8938226397</v>
      </c>
      <c r="H711" s="22" t="n">
        <v>23847.5185023944</v>
      </c>
      <c r="I711" s="22" t="n">
        <v>24040.0876761196</v>
      </c>
      <c r="J711" s="22" t="n">
        <v>24238.5692161072</v>
      </c>
      <c r="K711" s="22" t="n">
        <v>24443.3204732949</v>
      </c>
      <c r="L711" s="22" t="n">
        <v>24654.2142681982</v>
      </c>
      <c r="M711" s="22" t="n">
        <v>24871.4348769487</v>
      </c>
      <c r="N711" s="23" t="n">
        <v>25095.1721039617</v>
      </c>
      <c r="O711" s="24" t="n">
        <v>25325.621447785</v>
      </c>
      <c r="P711" s="24" t="n">
        <v>25562.9842719231</v>
      </c>
      <c r="Q711" s="24" t="n">
        <v>25807.4679807853</v>
      </c>
      <c r="R711" s="24" t="n">
        <v>26059.2862009134</v>
      </c>
      <c r="S711" s="24" t="n">
        <v>26318.6589676453</v>
      </c>
      <c r="T711" s="24" t="n">
        <v>26585.8129173791</v>
      </c>
      <c r="U711" s="24" t="n">
        <v>26860.981485605</v>
      </c>
      <c r="V711" s="24" t="n">
        <v>27144.4051108777</v>
      </c>
      <c r="W711" s="24" t="n">
        <v>27436.3314449085</v>
      </c>
      <c r="X711" s="24" t="n">
        <v>25120.3158228023</v>
      </c>
    </row>
    <row r="712" customFormat="false" ht="12.75" hidden="false" customHeight="false" outlineLevel="0" collapsed="false">
      <c r="A712" s="25" t="s">
        <v>10</v>
      </c>
      <c r="B712" s="20" t="n">
        <f aca="false">NPV(0.1,D712:Y712)</f>
        <v>85572.9901386852</v>
      </c>
      <c r="C712" s="20" t="n">
        <f aca="false">B712-B701</f>
        <v>-96.9973934340669</v>
      </c>
      <c r="D712" s="21" t="n">
        <v>-245.314945889457</v>
      </c>
      <c r="E712" s="22" t="n">
        <v>4200.85838591476</v>
      </c>
      <c r="F712" s="22" t="n">
        <v>4369.00500811602</v>
      </c>
      <c r="G712" s="22" t="n">
        <v>7627.24101668918</v>
      </c>
      <c r="H712" s="22" t="n">
        <v>10344.2990598953</v>
      </c>
      <c r="I712" s="22" t="n">
        <v>10909.4617784574</v>
      </c>
      <c r="J712" s="22" t="n">
        <v>11427.9758345764</v>
      </c>
      <c r="K712" s="22" t="n">
        <v>12277.7005098242</v>
      </c>
      <c r="L712" s="22" t="n">
        <v>12727.3737384035</v>
      </c>
      <c r="M712" s="22" t="n">
        <v>13775.1699893076</v>
      </c>
      <c r="N712" s="23" t="n">
        <v>14520.2643775917</v>
      </c>
      <c r="O712" s="24" t="n">
        <v>15273.5438651372</v>
      </c>
      <c r="P712" s="24" t="n">
        <v>15609.9575566629</v>
      </c>
      <c r="Q712" s="24" t="n">
        <v>15937.2482100156</v>
      </c>
      <c r="R712" s="24" t="n">
        <v>16254.7195359781</v>
      </c>
      <c r="S712" s="24" t="n">
        <v>16561.6416787143</v>
      </c>
      <c r="T712" s="24" t="n">
        <v>16857.2498284325</v>
      </c>
      <c r="U712" s="24" t="n">
        <v>17311.7043314527</v>
      </c>
      <c r="V712" s="24" t="n">
        <v>17821.5891637472</v>
      </c>
      <c r="W712" s="24" t="n">
        <v>18420.2180996868</v>
      </c>
      <c r="X712" s="24" t="n">
        <v>5031.32088408363</v>
      </c>
    </row>
    <row r="713" customFormat="false" ht="12.75" hidden="false" customHeight="false" outlineLevel="0" collapsed="false">
      <c r="A713" s="25" t="s">
        <v>11</v>
      </c>
      <c r="B713" s="20" t="n">
        <f aca="false">NPV(0.1,D713:Y713)</f>
        <v>93348.3250257831</v>
      </c>
      <c r="C713" s="20" t="n">
        <f aca="false">B713-B702</f>
        <v>-29.1400701997627</v>
      </c>
      <c r="D713" s="26" t="n">
        <v>-2135.75272997126</v>
      </c>
      <c r="E713" s="27" t="n">
        <v>7379.13816112095</v>
      </c>
      <c r="F713" s="27" t="n">
        <v>5714.14308986153</v>
      </c>
      <c r="G713" s="27" t="n">
        <v>9230.60161134478</v>
      </c>
      <c r="H713" s="27" t="n">
        <v>16260.1380893165</v>
      </c>
      <c r="I713" s="27" t="n">
        <v>13127.2157297412</v>
      </c>
      <c r="J713" s="27" t="n">
        <v>12547.5093954529</v>
      </c>
      <c r="K713" s="27" t="n">
        <v>13404.1210971135</v>
      </c>
      <c r="L713" s="27" t="n">
        <v>9953.02154677998</v>
      </c>
      <c r="M713" s="27" t="n">
        <v>8359.86251239698</v>
      </c>
      <c r="N713" s="28" t="n">
        <v>18832.7842555182</v>
      </c>
      <c r="O713" s="24" t="n">
        <v>18892.0513340266</v>
      </c>
      <c r="P713" s="24" t="n">
        <v>19221.5779991394</v>
      </c>
      <c r="Q713" s="24" t="n">
        <v>19555.755678905</v>
      </c>
      <c r="R713" s="24" t="n">
        <v>19866.3399784546</v>
      </c>
      <c r="S713" s="24" t="n">
        <v>18141.5893294</v>
      </c>
      <c r="T713" s="24" t="n">
        <v>12901.0275100775</v>
      </c>
      <c r="U713" s="24" t="n">
        <v>11953.6831421977</v>
      </c>
      <c r="V713" s="24" t="n">
        <v>10360.8696681422</v>
      </c>
      <c r="W713" s="24" t="n">
        <v>9557.69973318177</v>
      </c>
      <c r="X713" s="24" t="n">
        <v>8084.09292022863</v>
      </c>
    </row>
    <row r="717" customFormat="false" ht="11.25" hidden="false" customHeight="false" outlineLevel="0" collapsed="false">
      <c r="A717" s="41" t="s">
        <v>79</v>
      </c>
    </row>
    <row r="718" customFormat="false" ht="11.25" hidden="false" customHeight="false" outlineLevel="0" collapsed="false">
      <c r="A718" s="36" t="n">
        <v>36529</v>
      </c>
    </row>
    <row r="719" customFormat="false" ht="12.75" hidden="false" customHeight="false" outlineLevel="0" collapsed="false">
      <c r="A719" s="10" t="s">
        <v>3</v>
      </c>
      <c r="B719" s="11" t="n">
        <v>38525.1130126154</v>
      </c>
      <c r="C719" s="7"/>
      <c r="D719" s="7"/>
      <c r="E719" s="7"/>
      <c r="F719" s="7"/>
      <c r="G719" s="7"/>
      <c r="H719" s="7"/>
      <c r="I719" s="7"/>
      <c r="J719" s="7"/>
      <c r="K719" s="7"/>
      <c r="L719" s="7"/>
      <c r="M719" s="7"/>
      <c r="N719" s="7"/>
      <c r="O719" s="7"/>
      <c r="P719" s="7"/>
      <c r="Q719" s="7"/>
      <c r="R719" s="7"/>
      <c r="S719" s="7"/>
      <c r="T719" s="7"/>
      <c r="U719" s="7"/>
      <c r="V719" s="7"/>
      <c r="W719" s="7"/>
      <c r="X719" s="7"/>
    </row>
    <row r="720" customFormat="false" ht="12.75" hidden="false" customHeight="false" outlineLevel="0" collapsed="false">
      <c r="A720" s="12" t="s">
        <v>4</v>
      </c>
      <c r="B720" s="13" t="n">
        <v>71958.0467291001</v>
      </c>
      <c r="C720" s="7"/>
      <c r="D720" s="7"/>
      <c r="E720" s="7"/>
      <c r="F720" s="7"/>
      <c r="G720" s="7"/>
      <c r="H720" s="7"/>
      <c r="I720" s="7"/>
      <c r="J720" s="7"/>
      <c r="K720" s="7"/>
      <c r="L720" s="7"/>
      <c r="M720" s="7"/>
      <c r="N720" s="7"/>
      <c r="O720" s="7"/>
      <c r="P720" s="7"/>
      <c r="Q720" s="7"/>
      <c r="R720" s="7"/>
      <c r="S720" s="7"/>
      <c r="T720" s="7"/>
      <c r="U720" s="7"/>
      <c r="V720" s="7"/>
      <c r="W720" s="7"/>
      <c r="X720" s="7"/>
    </row>
    <row r="721" customFormat="false" ht="12.75" hidden="false" customHeight="false" outlineLevel="0" collapsed="false">
      <c r="A721" s="14" t="s">
        <v>5</v>
      </c>
      <c r="B721" s="15" t="s">
        <v>6</v>
      </c>
      <c r="C721" s="15" t="s">
        <v>7</v>
      </c>
      <c r="D721" s="16" t="n">
        <v>2000</v>
      </c>
      <c r="E721" s="17" t="n">
        <v>2001</v>
      </c>
      <c r="F721" s="17" t="n">
        <v>2002</v>
      </c>
      <c r="G721" s="17" t="n">
        <v>2003</v>
      </c>
      <c r="H721" s="17" t="n">
        <v>2004</v>
      </c>
      <c r="I721" s="17" t="n">
        <v>2005</v>
      </c>
      <c r="J721" s="17" t="n">
        <v>2006</v>
      </c>
      <c r="K721" s="17" t="n">
        <v>2007</v>
      </c>
      <c r="L721" s="17" t="n">
        <v>2008</v>
      </c>
      <c r="M721" s="17" t="n">
        <v>2009</v>
      </c>
      <c r="N721" s="18" t="n">
        <v>2010</v>
      </c>
      <c r="O721" s="19" t="n">
        <v>2011</v>
      </c>
      <c r="P721" s="19" t="n">
        <v>2012</v>
      </c>
      <c r="Q721" s="19" t="n">
        <v>2013</v>
      </c>
      <c r="R721" s="19" t="n">
        <v>2014</v>
      </c>
      <c r="S721" s="19" t="n">
        <v>2015</v>
      </c>
      <c r="T721" s="19" t="n">
        <v>2016</v>
      </c>
      <c r="U721" s="19" t="n">
        <v>2017</v>
      </c>
      <c r="V721" s="19" t="n">
        <v>2018</v>
      </c>
      <c r="W721" s="19" t="n">
        <v>2019</v>
      </c>
      <c r="X721" s="19" t="n">
        <v>2020</v>
      </c>
    </row>
    <row r="722" customFormat="false" ht="12.75" hidden="false" customHeight="false" outlineLevel="0" collapsed="false">
      <c r="A722" s="14" t="s">
        <v>8</v>
      </c>
      <c r="B722" s="20" t="n">
        <f aca="false">NPV(0.1,D722:Y722)</f>
        <v>452746.045221289</v>
      </c>
      <c r="C722" s="20" t="n">
        <f aca="false">B722-B710</f>
        <v>0.619160192203708</v>
      </c>
      <c r="D722" s="21" t="n">
        <v>34109.7007669463</v>
      </c>
      <c r="E722" s="22" t="n">
        <v>44409.6879292274</v>
      </c>
      <c r="F722" s="22" t="n">
        <v>44506.771127475</v>
      </c>
      <c r="G722" s="22" t="n">
        <v>50218.3088622982</v>
      </c>
      <c r="H722" s="22" t="n">
        <v>54574.6735223465</v>
      </c>
      <c r="I722" s="22" t="n">
        <v>55063.6973276301</v>
      </c>
      <c r="J722" s="22" t="n">
        <v>55548.5587152765</v>
      </c>
      <c r="K722" s="22" t="n">
        <v>56699.5303999467</v>
      </c>
      <c r="L722" s="22" t="n">
        <v>57194.1209754336</v>
      </c>
      <c r="M722" s="22" t="n">
        <v>58394.4595279085</v>
      </c>
      <c r="N722" s="23" t="n">
        <v>58897.821542417</v>
      </c>
      <c r="O722" s="24" t="n">
        <v>60149.2711119014</v>
      </c>
      <c r="P722" s="24" t="n">
        <v>60660.6385842322</v>
      </c>
      <c r="Q722" s="24" t="n">
        <v>61164.0183132057</v>
      </c>
      <c r="R722" s="24" t="n">
        <v>61658.4708034954</v>
      </c>
      <c r="S722" s="24" t="n">
        <v>62143.0073790243</v>
      </c>
      <c r="T722" s="24" t="n">
        <v>62616.5880776655</v>
      </c>
      <c r="U722" s="24" t="n">
        <v>63078.1194638876</v>
      </c>
      <c r="V722" s="24" t="n">
        <v>63526.4523563168</v>
      </c>
      <c r="W722" s="24" t="n">
        <v>63960.3794670779</v>
      </c>
      <c r="X722" s="24" t="n">
        <v>38508.4253903415</v>
      </c>
    </row>
    <row r="723" customFormat="false" ht="12.75" hidden="false" customHeight="false" outlineLevel="0" collapsed="false">
      <c r="A723" s="25" t="s">
        <v>9</v>
      </c>
      <c r="B723" s="20" t="n">
        <f aca="false">NPV(0.1,D723:Y723)</f>
        <v>208125.5929335</v>
      </c>
      <c r="C723" s="20" t="n">
        <f aca="false">B723-B711</f>
        <v>20.078722346283</v>
      </c>
      <c r="D723" s="21" t="n">
        <v>21358.369035191</v>
      </c>
      <c r="E723" s="22" t="n">
        <v>22387.7700327663</v>
      </c>
      <c r="F723" s="22" t="n">
        <v>22551.2275034256</v>
      </c>
      <c r="G723" s="22" t="n">
        <v>23357.2185062057</v>
      </c>
      <c r="H723" s="22" t="n">
        <v>23849.8431859604</v>
      </c>
      <c r="I723" s="22" t="n">
        <v>24042.4123596856</v>
      </c>
      <c r="J723" s="22" t="n">
        <v>24240.8938996732</v>
      </c>
      <c r="K723" s="22" t="n">
        <v>24445.6451568609</v>
      </c>
      <c r="L723" s="22" t="n">
        <v>24656.5389517642</v>
      </c>
      <c r="M723" s="22" t="n">
        <v>24873.7595605147</v>
      </c>
      <c r="N723" s="23" t="n">
        <v>25097.4967875277</v>
      </c>
      <c r="O723" s="24" t="n">
        <v>25327.946131351</v>
      </c>
      <c r="P723" s="24" t="n">
        <v>25565.3089554891</v>
      </c>
      <c r="Q723" s="24" t="n">
        <v>25809.7926643513</v>
      </c>
      <c r="R723" s="24" t="n">
        <v>26061.6108844794</v>
      </c>
      <c r="S723" s="24" t="n">
        <v>26320.9836512113</v>
      </c>
      <c r="T723" s="24" t="n">
        <v>26588.1376009451</v>
      </c>
      <c r="U723" s="24" t="n">
        <v>26863.306169171</v>
      </c>
      <c r="V723" s="24" t="n">
        <v>27146.7297944437</v>
      </c>
      <c r="W723" s="24" t="n">
        <v>27438.6561284745</v>
      </c>
      <c r="X723" s="24" t="n">
        <v>25122.6405063683</v>
      </c>
    </row>
    <row r="724" customFormat="false" ht="12.75" hidden="false" customHeight="false" outlineLevel="0" collapsed="false">
      <c r="A724" s="25" t="s">
        <v>10</v>
      </c>
      <c r="B724" s="20" t="n">
        <f aca="false">NPV(0.1,D724:Y724)</f>
        <v>85095.5979032052</v>
      </c>
      <c r="C724" s="20" t="n">
        <f aca="false">B724-B712</f>
        <v>-477.392235480031</v>
      </c>
      <c r="D724" s="21" t="n">
        <v>-305.749872745907</v>
      </c>
      <c r="E724" s="22" t="n">
        <v>4132.24631453853</v>
      </c>
      <c r="F724" s="22" t="n">
        <v>4301.96673965595</v>
      </c>
      <c r="G724" s="22" t="n">
        <v>7562.44088319408</v>
      </c>
      <c r="H724" s="22" t="n">
        <v>10282.401393414</v>
      </c>
      <c r="I724" s="22" t="n">
        <v>10849.4096386938</v>
      </c>
      <c r="J724" s="22" t="n">
        <v>11369.7692215307</v>
      </c>
      <c r="K724" s="22" t="n">
        <v>12221.5978548063</v>
      </c>
      <c r="L724" s="22" t="n">
        <v>12673.3750414135</v>
      </c>
      <c r="M724" s="22" t="n">
        <v>13724.6039144431</v>
      </c>
      <c r="N724" s="23" t="n">
        <v>14474.0536882116</v>
      </c>
      <c r="O724" s="24" t="n">
        <v>15228.3669009974</v>
      </c>
      <c r="P724" s="24" t="n">
        <v>15566.0727490735</v>
      </c>
      <c r="Q724" s="24" t="n">
        <v>15894.6555589767</v>
      </c>
      <c r="R724" s="24" t="n">
        <v>16213.4190414896</v>
      </c>
      <c r="S724" s="24" t="n">
        <v>16521.6333407762</v>
      </c>
      <c r="T724" s="24" t="n">
        <v>16818.5336470449</v>
      </c>
      <c r="U724" s="24" t="n">
        <v>17275.5724631659</v>
      </c>
      <c r="V724" s="24" t="n">
        <v>17788.5584711813</v>
      </c>
      <c r="W724" s="24" t="n">
        <v>18391.0638767722</v>
      </c>
      <c r="X724" s="24" t="n">
        <v>5006.5599934405</v>
      </c>
    </row>
    <row r="725" customFormat="false" ht="12.75" hidden="false" customHeight="false" outlineLevel="0" collapsed="false">
      <c r="A725" s="25" t="s">
        <v>11</v>
      </c>
      <c r="B725" s="20" t="n">
        <f aca="false">NPV(0.1,D725:Y725)</f>
        <v>92885.7764796395</v>
      </c>
      <c r="C725" s="20" t="n">
        <f aca="false">B725-B713</f>
        <v>-462.548546143647</v>
      </c>
      <c r="D725" s="26" t="n">
        <v>-2251.19021568476</v>
      </c>
      <c r="E725" s="27" t="n">
        <v>7264.08962391495</v>
      </c>
      <c r="F725" s="27" t="n">
        <v>5587.01817491303</v>
      </c>
      <c r="G725" s="27" t="n">
        <v>9092.5142688509</v>
      </c>
      <c r="H725" s="27" t="n">
        <v>16500.3613463457</v>
      </c>
      <c r="I725" s="27" t="n">
        <v>13083.4316611032</v>
      </c>
      <c r="J725" s="27" t="n">
        <v>12498.5310905058</v>
      </c>
      <c r="K725" s="27" t="n">
        <v>13357.2995455148</v>
      </c>
      <c r="L725" s="27" t="n">
        <v>9878.82050538863</v>
      </c>
      <c r="M725" s="27" t="n">
        <v>8269.13404475163</v>
      </c>
      <c r="N725" s="28" t="n">
        <v>18819.9350092867</v>
      </c>
      <c r="O725" s="24" t="n">
        <v>18874.9910909059</v>
      </c>
      <c r="P725" s="24" t="n">
        <v>19205.7571172487</v>
      </c>
      <c r="Q725" s="24" t="n">
        <v>19541.2797488852</v>
      </c>
      <c r="R725" s="24" t="n">
        <v>19853.1034096647</v>
      </c>
      <c r="S725" s="24" t="n">
        <v>18114.0702976094</v>
      </c>
      <c r="T725" s="24" t="n">
        <v>12832.7384280361</v>
      </c>
      <c r="U725" s="24" t="n">
        <v>11877.3833383571</v>
      </c>
      <c r="V725" s="24" t="n">
        <v>10271.7784876726</v>
      </c>
      <c r="W725" s="24" t="n">
        <v>9461.88998746347</v>
      </c>
      <c r="X725" s="24" t="n">
        <v>8082.73430343175</v>
      </c>
    </row>
  </sheetData>
  <printOptions headings="false" gridLines="false" gridLinesSet="true" horizontalCentered="false" verticalCentered="false"/>
  <pageMargins left="0.5" right="0.5" top="0.75" bottom="0.75" header="0.511811023622047" footer="0"/>
  <pageSetup paperSize="1" scale="100" fitToWidth="1" fitToHeight="6" pageOrder="downThenOver" orientation="landscape" blackAndWhite="false" draft="false" cellComments="none" horizontalDpi="300" verticalDpi="300" copies="1"/>
  <headerFooter differentFirst="false" differentOddEven="false">
    <oddHeader/>
    <oddFooter>&amp;L&amp;D   &amp;T&amp;R&amp;F
&amp;A &amp;P</oddFooter>
  </headerFooter>
  <rowBreaks count="1" manualBreakCount="1">
    <brk id="110" man="true" max="16383" min="0"/>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Y4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10" activeCellId="0" sqref="C10"/>
    </sheetView>
  </sheetViews>
  <sheetFormatPr defaultColWidth="9.0546875" defaultRowHeight="12.75" customHeight="true" zeroHeight="false" outlineLevelRow="0" outlineLevelCol="0"/>
  <cols>
    <col collapsed="false" customWidth="true" hidden="false" outlineLevel="0" max="1" min="1" style="0" width="17.28"/>
  </cols>
  <sheetData>
    <row r="1" customFormat="false" ht="12.75" hidden="false" customHeight="false" outlineLevel="0" collapsed="false">
      <c r="A1" s="42" t="str">
        <f aca="false">'PPA Assumptions &amp;Summary'!A1</f>
        <v>GLEASON, TN</v>
      </c>
    </row>
    <row r="2" customFormat="false" ht="12.75" hidden="false" customHeight="false" outlineLevel="0" collapsed="false">
      <c r="A2" s="43" t="s">
        <v>80</v>
      </c>
    </row>
    <row r="5" customFormat="false" ht="12.75" hidden="false" customHeight="false" outlineLevel="0" collapsed="false">
      <c r="A5" s="44" t="s">
        <v>81</v>
      </c>
    </row>
    <row r="7" customFormat="false" ht="12.75" hidden="false" customHeight="false" outlineLevel="0" collapsed="false">
      <c r="A7" s="0" t="s">
        <v>82</v>
      </c>
      <c r="C7" s="0" t="n">
        <f aca="false">NetMW</f>
        <v>510</v>
      </c>
    </row>
    <row r="8" customFormat="false" ht="12.75" hidden="false" customHeight="false" outlineLevel="0" collapsed="false">
      <c r="A8" s="0" t="s">
        <v>83</v>
      </c>
      <c r="C8" s="45" t="n">
        <f aca="false">HeatRate</f>
        <v>10904</v>
      </c>
    </row>
    <row r="9" customFormat="false" ht="12.75" hidden="false" customHeight="false" outlineLevel="0" collapsed="false">
      <c r="A9" s="0" t="s">
        <v>84</v>
      </c>
      <c r="C9" s="0" t="n">
        <f aca="false">'Project Assumptions'!H8+'Project Assumptions'!I8</f>
        <v>3</v>
      </c>
    </row>
    <row r="10" customFormat="false" ht="12.75" hidden="false" customHeight="false" outlineLevel="0" collapsed="false">
      <c r="A10" s="0" t="s">
        <v>85</v>
      </c>
      <c r="C10" s="0" t="n">
        <f aca="false">AnnualHours</f>
        <v>1200</v>
      </c>
    </row>
    <row r="11" customFormat="false" ht="12.75" hidden="false" customHeight="false" outlineLevel="0" collapsed="false">
      <c r="A11" s="0" t="s">
        <v>86</v>
      </c>
      <c r="C11" s="0" t="n">
        <f aca="false">'Project Assumptions'!N59</f>
        <v>0</v>
      </c>
    </row>
    <row r="13" customFormat="false" ht="12.75" hidden="false" customHeight="false" outlineLevel="0" collapsed="false">
      <c r="A13" s="44" t="s">
        <v>87</v>
      </c>
    </row>
    <row r="14" customFormat="false" ht="12.75" hidden="false" customHeight="false" outlineLevel="0" collapsed="false">
      <c r="C14" s="46" t="n">
        <v>1999</v>
      </c>
    </row>
    <row r="15" customFormat="false" ht="12.75" hidden="false" customHeight="false" outlineLevel="0" collapsed="false">
      <c r="A15" s="0" t="s">
        <v>88</v>
      </c>
      <c r="C15" s="45" t="n">
        <f aca="false">Labor+Fixed</f>
        <v>997</v>
      </c>
    </row>
    <row r="16" customFormat="false" ht="12.75" hidden="false" customHeight="false" outlineLevel="0" collapsed="false">
      <c r="A16" s="0" t="s">
        <v>89</v>
      </c>
      <c r="C16" s="45" t="n">
        <f aca="false">'Project Assumptions'!L11</f>
        <v>744.673</v>
      </c>
    </row>
    <row r="17" customFormat="false" ht="12.75" hidden="false" customHeight="false" outlineLevel="0" collapsed="false">
      <c r="A17" s="0" t="s">
        <v>90</v>
      </c>
      <c r="C17" s="45" t="n">
        <f aca="false">'Project Assumptions'!O16</f>
        <v>0</v>
      </c>
    </row>
    <row r="18" customFormat="false" ht="12.75" hidden="false" customHeight="false" outlineLevel="0" collapsed="false">
      <c r="A18" s="0" t="s">
        <v>91</v>
      </c>
      <c r="C18" s="45" t="n">
        <f aca="false">'Project Assumptions'!O15</f>
        <v>2296.44</v>
      </c>
    </row>
    <row r="19" customFormat="false" ht="12.75" hidden="false" customHeight="false" outlineLevel="0" collapsed="false">
      <c r="A19" s="0" t="s">
        <v>92</v>
      </c>
      <c r="C19" s="45" t="n">
        <f aca="false">'Project Assumptions'!N32</f>
        <v>267</v>
      </c>
    </row>
    <row r="20" customFormat="false" ht="12.75" hidden="false" customHeight="false" outlineLevel="0" collapsed="false">
      <c r="A20" s="0" t="s">
        <v>93</v>
      </c>
      <c r="C20" s="45" t="n">
        <f aca="false">'Project Assumptions'!N34+'Project Assumptions'!N35+'Project Assumptions'!N36+'Project Assumptions'!N37</f>
        <v>325</v>
      </c>
    </row>
    <row r="21" customFormat="false" ht="12.75" hidden="false" customHeight="false" outlineLevel="0" collapsed="false">
      <c r="A21" s="0" t="s">
        <v>94</v>
      </c>
      <c r="C21" s="45" t="n">
        <f aca="false">'Project Assumptions'!N33</f>
        <v>70</v>
      </c>
    </row>
    <row r="22" customFormat="false" ht="12.75" hidden="false" customHeight="false" outlineLevel="0" collapsed="false">
      <c r="A22" s="0" t="s">
        <v>95</v>
      </c>
      <c r="C22" s="45" t="n">
        <v>0</v>
      </c>
      <c r="D22" s="45" t="n">
        <f aca="false">'Book Income Statement'!D53+'Book Income Statement'!D58</f>
        <v>245.60635648</v>
      </c>
      <c r="E22" s="45" t="n">
        <f aca="false">'Book Income Statement'!E53+'Book Income Statement'!E58</f>
        <v>245.60635648</v>
      </c>
      <c r="F22" s="45" t="n">
        <f aca="false">'Book Income Statement'!F53+'Book Income Statement'!F58</f>
        <v>245.60635648</v>
      </c>
      <c r="G22" s="45" t="n">
        <f aca="false">'Book Income Statement'!G53+'Book Income Statement'!G58</f>
        <v>245.60635648</v>
      </c>
      <c r="H22" s="45" t="n">
        <f aca="false">'Book Income Statement'!H53+'Book Income Statement'!H58</f>
        <v>245.60635648</v>
      </c>
      <c r="I22" s="45" t="n">
        <f aca="false">'Book Income Statement'!I53+'Book Income Statement'!I58</f>
        <v>245.60635648</v>
      </c>
      <c r="J22" s="45" t="n">
        <f aca="false">'Book Income Statement'!J53+'Book Income Statement'!J58</f>
        <v>245.60635648</v>
      </c>
      <c r="K22" s="45" t="n">
        <f aca="false">'Book Income Statement'!K53+'Book Income Statement'!K58</f>
        <v>245.60635648</v>
      </c>
      <c r="L22" s="45" t="n">
        <f aca="false">'Book Income Statement'!L53+'Book Income Statement'!L58</f>
        <v>245.60635648</v>
      </c>
      <c r="M22" s="45" t="n">
        <f aca="false">'Book Income Statement'!M53+'Book Income Statement'!M58</f>
        <v>245.60635648</v>
      </c>
      <c r="N22" s="45" t="n">
        <f aca="false">'Book Income Statement'!N53+'Book Income Statement'!N58</f>
        <v>245.60635648</v>
      </c>
      <c r="O22" s="45" t="n">
        <f aca="false">'Book Income Statement'!O53+'Book Income Statement'!O58</f>
        <v>245.60635648</v>
      </c>
      <c r="P22" s="45" t="n">
        <f aca="false">'Book Income Statement'!P53+'Book Income Statement'!P58</f>
        <v>245.60635648</v>
      </c>
      <c r="Q22" s="45" t="n">
        <f aca="false">'Book Income Statement'!Q53+'Book Income Statement'!Q58</f>
        <v>245.60635648</v>
      </c>
      <c r="R22" s="45" t="n">
        <f aca="false">'Book Income Statement'!R53+'Book Income Statement'!R58</f>
        <v>245.60635648</v>
      </c>
      <c r="S22" s="45" t="n">
        <f aca="false">'Book Income Statement'!S53+'Book Income Statement'!S58</f>
        <v>245.60635648</v>
      </c>
      <c r="T22" s="45" t="n">
        <f aca="false">'Book Income Statement'!T53+'Book Income Statement'!T58</f>
        <v>245.60635648</v>
      </c>
      <c r="U22" s="45" t="n">
        <f aca="false">'Book Income Statement'!U53+'Book Income Statement'!U58</f>
        <v>245.60635648</v>
      </c>
      <c r="V22" s="45" t="n">
        <f aca="false">'Book Income Statement'!V53+'Book Income Statement'!V58</f>
        <v>245.60635648</v>
      </c>
      <c r="W22" s="45" t="n">
        <f aca="false">'Book Income Statement'!W53+'Book Income Statement'!W58</f>
        <v>245.60635648</v>
      </c>
      <c r="X22" s="45"/>
      <c r="Y22" s="45"/>
    </row>
    <row r="23" customFormat="false" ht="12.75" hidden="false" customHeight="false" outlineLevel="0" collapsed="false">
      <c r="A23" s="0" t="s">
        <v>96</v>
      </c>
      <c r="C23" s="45"/>
    </row>
    <row r="24" customFormat="false" ht="12.75" hidden="false" customHeight="false" outlineLevel="0" collapsed="false">
      <c r="A24" s="0" t="s">
        <v>97</v>
      </c>
      <c r="C24" s="45" t="n">
        <f aca="false">'Project Assumptions'!N22</f>
        <v>176.470588235294</v>
      </c>
    </row>
    <row r="25" customFormat="false" ht="12.75" hidden="false" customHeight="false" outlineLevel="0" collapsed="false">
      <c r="A25" s="0" t="s">
        <v>98</v>
      </c>
      <c r="C25" s="45" t="n">
        <f aca="false">'Project Assumptions'!N24</f>
        <v>250</v>
      </c>
    </row>
    <row r="27" customFormat="false" ht="12.75" hidden="false" customHeight="false" outlineLevel="0" collapsed="false">
      <c r="A27" s="43" t="s">
        <v>99</v>
      </c>
    </row>
    <row r="29" customFormat="false" ht="12.75" hidden="false" customHeight="false" outlineLevel="0" collapsed="false">
      <c r="A29" s="0" t="s">
        <v>100</v>
      </c>
      <c r="C29" s="47" t="n">
        <f aca="false">VEP</f>
        <v>1.21678594771242</v>
      </c>
    </row>
    <row r="30" customFormat="false" ht="12.75" hidden="false" customHeight="false" outlineLevel="0" collapsed="false">
      <c r="A30" s="0" t="s">
        <v>101</v>
      </c>
      <c r="C30" s="45" t="n">
        <f aca="false">'Project Assumptions'!F22</f>
        <v>6379</v>
      </c>
    </row>
    <row r="34" customFormat="false" ht="12.75" hidden="false" customHeight="false" outlineLevel="0" collapsed="false">
      <c r="A34" s="48" t="s">
        <v>102</v>
      </c>
      <c r="B34" s="49"/>
      <c r="C34" s="49"/>
      <c r="D34" s="49"/>
      <c r="E34" s="49"/>
      <c r="F34" s="49"/>
      <c r="G34" s="49"/>
      <c r="H34" s="49"/>
      <c r="I34" s="49"/>
      <c r="J34" s="49"/>
      <c r="K34" s="49"/>
      <c r="L34" s="49"/>
      <c r="M34" s="49"/>
      <c r="N34" s="49"/>
      <c r="O34" s="49"/>
      <c r="P34" s="49"/>
      <c r="Q34" s="49"/>
      <c r="R34" s="49"/>
      <c r="S34" s="49"/>
      <c r="T34" s="49"/>
      <c r="U34" s="49"/>
      <c r="V34" s="49"/>
      <c r="W34" s="49"/>
      <c r="X34" s="49"/>
      <c r="Y34" s="50"/>
    </row>
    <row r="35" customFormat="false" ht="12.75" hidden="false" customHeight="false" outlineLevel="0" collapsed="false">
      <c r="A35" s="51"/>
      <c r="B35" s="52"/>
      <c r="C35" s="53" t="n">
        <v>2000</v>
      </c>
      <c r="D35" s="53" t="n">
        <f aca="false">C35+1</f>
        <v>2001</v>
      </c>
      <c r="E35" s="53" t="n">
        <f aca="false">D35+1</f>
        <v>2002</v>
      </c>
      <c r="F35" s="53" t="n">
        <f aca="false">E35+1</f>
        <v>2003</v>
      </c>
      <c r="G35" s="53" t="n">
        <f aca="false">F35+1</f>
        <v>2004</v>
      </c>
      <c r="H35" s="53" t="n">
        <f aca="false">G35+1</f>
        <v>2005</v>
      </c>
      <c r="I35" s="53" t="n">
        <f aca="false">H35+1</f>
        <v>2006</v>
      </c>
      <c r="J35" s="53" t="n">
        <f aca="false">I35+1</f>
        <v>2007</v>
      </c>
      <c r="K35" s="53" t="n">
        <f aca="false">J35+1</f>
        <v>2008</v>
      </c>
      <c r="L35" s="53" t="n">
        <f aca="false">K35+1</f>
        <v>2009</v>
      </c>
      <c r="M35" s="53" t="n">
        <f aca="false">L35+1</f>
        <v>2010</v>
      </c>
      <c r="N35" s="53" t="n">
        <f aca="false">M35+1</f>
        <v>2011</v>
      </c>
      <c r="O35" s="53" t="n">
        <f aca="false">N35+1</f>
        <v>2012</v>
      </c>
      <c r="P35" s="53" t="n">
        <f aca="false">O35+1</f>
        <v>2013</v>
      </c>
      <c r="Q35" s="53" t="n">
        <f aca="false">P35+1</f>
        <v>2014</v>
      </c>
      <c r="R35" s="53" t="n">
        <f aca="false">Q35+1</f>
        <v>2015</v>
      </c>
      <c r="S35" s="53" t="n">
        <f aca="false">R35+1</f>
        <v>2016</v>
      </c>
      <c r="T35" s="53" t="n">
        <f aca="false">S35+1</f>
        <v>2017</v>
      </c>
      <c r="U35" s="53" t="n">
        <f aca="false">T35+1</f>
        <v>2018</v>
      </c>
      <c r="V35" s="53" t="n">
        <f aca="false">U35+1</f>
        <v>2019</v>
      </c>
      <c r="W35" s="53" t="n">
        <f aca="false">V35+1</f>
        <v>2020</v>
      </c>
      <c r="X35" s="53" t="n">
        <f aca="false">W35+1</f>
        <v>2021</v>
      </c>
      <c r="Y35" s="54" t="n">
        <f aca="false">X35+1</f>
        <v>2022</v>
      </c>
    </row>
    <row r="36" customFormat="false" ht="12.75" hidden="false" customHeight="false" outlineLevel="0" collapsed="false">
      <c r="A36" s="51" t="s">
        <v>103</v>
      </c>
      <c r="B36" s="52"/>
      <c r="C36" s="55" t="n">
        <f aca="false">[3]Calvert!F39</f>
        <v>12824.6932876692</v>
      </c>
      <c r="D36" s="55" t="n">
        <f aca="false">[3]Calvert!G39</f>
        <v>22142.5308118757</v>
      </c>
      <c r="E36" s="55" t="n">
        <f aca="false">[3]Calvert!H39</f>
        <v>22075.3268610588</v>
      </c>
      <c r="F36" s="55" t="n">
        <f aca="false">[3]Calvert!I39</f>
        <v>27069.3572463271</v>
      </c>
      <c r="G36" s="55" t="n">
        <f aca="false">[3]Calvert!J39</f>
        <v>31005.4019451093</v>
      </c>
      <c r="H36" s="55" t="n">
        <f aca="false">[3]Calvert!K39</f>
        <v>31306.8370665595</v>
      </c>
      <c r="I36" s="55" t="n">
        <f aca="false">[3]Calvert!L39</f>
        <v>31598.1097135212</v>
      </c>
      <c r="J36" s="55" t="n">
        <f aca="false">[3]Calvert!M39</f>
        <v>32557.5103390906</v>
      </c>
      <c r="K36" s="55" t="n">
        <f aca="false">[3]Calvert!N39</f>
        <v>32846.1463454569</v>
      </c>
      <c r="L36" s="55" t="n">
        <f aca="false">[3]Calvert!O39</f>
        <v>33842.9880699844</v>
      </c>
      <c r="M36" s="55" t="n">
        <f aca="false">[3]Calvert!P39</f>
        <v>34143.3351407394</v>
      </c>
      <c r="N36" s="55" t="n">
        <f aca="false">[3]Calvert!Q39</f>
        <v>35185.206408848</v>
      </c>
      <c r="O36" s="55" t="n">
        <f aca="false">[3]Calvert!R39</f>
        <v>35470.6385846917</v>
      </c>
      <c r="P36" s="55" t="n">
        <f aca="false">[3]Calvert!S39</f>
        <v>35740.8109762293</v>
      </c>
      <c r="Q36" s="55" t="n">
        <f aca="false">[3]Calvert!T39</f>
        <v>35990.6515141802</v>
      </c>
      <c r="R36" s="55" t="n">
        <f aca="false">[3]Calvert!U39</f>
        <v>36223.2428369421</v>
      </c>
      <c r="S36" s="55" t="n">
        <f aca="false">[3]Calvert!V39</f>
        <v>36441.0776435694</v>
      </c>
      <c r="T36" s="55" t="n">
        <f aca="false">[3]Calvert!W39</f>
        <v>36654.042164708</v>
      </c>
      <c r="U36" s="55" t="n">
        <f aca="false">[3]Calvert!X39</f>
        <v>36828.6573331652</v>
      </c>
      <c r="V36" s="55" t="n">
        <f aca="false">[3]Calvert!Y39</f>
        <v>36989.8213664504</v>
      </c>
      <c r="W36" s="55" t="n">
        <f aca="false">[3]Calvert!Z39</f>
        <v>37065.8695269021</v>
      </c>
      <c r="X36" s="55" t="n">
        <f aca="false">[3]Calvert!AA39</f>
        <v>0</v>
      </c>
      <c r="Y36" s="56"/>
    </row>
    <row r="37" customFormat="false" ht="12.75" hidden="false" customHeight="false" outlineLevel="0" collapsed="false">
      <c r="A37" s="51" t="s">
        <v>104</v>
      </c>
      <c r="B37" s="52"/>
      <c r="C37" s="57" t="n">
        <f aca="false">'Book Income Statement'!D63</f>
        <v>12751.3317317553</v>
      </c>
      <c r="D37" s="57" t="n">
        <f aca="false">'Book Income Statement'!E63</f>
        <v>22021.9178964612</v>
      </c>
      <c r="E37" s="57" t="n">
        <f aca="false">'Book Income Statement'!F63</f>
        <v>21955.5436240494</v>
      </c>
      <c r="F37" s="57" t="n">
        <f aca="false">'Book Income Statement'!G63</f>
        <v>26861.0903560925</v>
      </c>
      <c r="G37" s="57" t="n">
        <f aca="false">'Book Income Statement'!H63</f>
        <v>30724.8303363861</v>
      </c>
      <c r="H37" s="57" t="n">
        <f aca="false">'Book Income Statement'!I63</f>
        <v>31021.2849679446</v>
      </c>
      <c r="I37" s="57" t="n">
        <f aca="false">'Book Income Statement'!J63</f>
        <v>31307.6648156034</v>
      </c>
      <c r="J37" s="57" t="n">
        <f aca="false">'Book Income Statement'!K63</f>
        <v>32253.8852430859</v>
      </c>
      <c r="K37" s="57" t="n">
        <f aca="false">'Book Income Statement'!L63</f>
        <v>32537.5820236693</v>
      </c>
      <c r="L37" s="57" t="n">
        <f aca="false">'Book Income Statement'!M63</f>
        <v>33520.6999673938</v>
      </c>
      <c r="M37" s="57" t="n">
        <f aca="false">'Book Income Statement'!N63</f>
        <v>33800.3247548893</v>
      </c>
      <c r="N37" s="57" t="n">
        <f aca="false">'Book Income Statement'!O63</f>
        <v>34821.3249805504</v>
      </c>
      <c r="O37" s="57" t="n">
        <f aca="false">'Book Income Statement'!P63</f>
        <v>35095.3296287431</v>
      </c>
      <c r="P37" s="57" t="n">
        <f aca="false">'Book Income Statement'!Q63</f>
        <v>35354.2256488544</v>
      </c>
      <c r="Q37" s="57" t="n">
        <f aca="false">'Book Income Statement'!R63</f>
        <v>35596.8599190161</v>
      </c>
      <c r="R37" s="57" t="n">
        <f aca="false">'Book Income Statement'!S63</f>
        <v>35822.0237278131</v>
      </c>
      <c r="S37" s="57" t="n">
        <f aca="false">'Book Income Statement'!T63</f>
        <v>36028.4504767204</v>
      </c>
      <c r="T37" s="57" t="n">
        <f aca="false">'Book Income Statement'!U63</f>
        <v>36214.8132947166</v>
      </c>
      <c r="U37" s="57" t="n">
        <f aca="false">'Book Income Statement'!V63</f>
        <v>36379.7225618731</v>
      </c>
      <c r="V37" s="57" t="n">
        <f aca="false">'Book Income Statement'!W63</f>
        <v>36521.7233386034</v>
      </c>
      <c r="W37" s="57" t="n">
        <f aca="false">'Book Income Statement'!X63</f>
        <v>13385.7848839732</v>
      </c>
      <c r="X37" s="57" t="n">
        <f aca="false">'Book Income Statement'!Y63</f>
        <v>0</v>
      </c>
      <c r="Y37" s="56"/>
    </row>
    <row r="38" customFormat="false" ht="12.75" hidden="false" customHeight="false" outlineLevel="0" collapsed="false">
      <c r="A38" s="51"/>
      <c r="B38" s="52"/>
      <c r="C38" s="55" t="n">
        <f aca="false">C36-C37</f>
        <v>73.3615559139253</v>
      </c>
      <c r="D38" s="55" t="n">
        <f aca="false">D36-D37</f>
        <v>120.612915414516</v>
      </c>
      <c r="E38" s="55" t="n">
        <f aca="false">E36-E37</f>
        <v>119.783237009364</v>
      </c>
      <c r="F38" s="55" t="n">
        <f aca="false">F36-F37</f>
        <v>208.26689023463</v>
      </c>
      <c r="G38" s="55" t="n">
        <f aca="false">G36-G37</f>
        <v>280.571608723178</v>
      </c>
      <c r="H38" s="55" t="n">
        <f aca="false">H36-H37</f>
        <v>285.552098614877</v>
      </c>
      <c r="I38" s="55" t="n">
        <f aca="false">I36-I37</f>
        <v>290.444897917769</v>
      </c>
      <c r="J38" s="55" t="n">
        <f aca="false">J36-J37</f>
        <v>303.625096004671</v>
      </c>
      <c r="K38" s="55" t="n">
        <f aca="false">K36-K37</f>
        <v>308.56432178762</v>
      </c>
      <c r="L38" s="55" t="n">
        <f aca="false">L36-L37</f>
        <v>322.288102590603</v>
      </c>
      <c r="M38" s="55" t="n">
        <f aca="false">M36-M37</f>
        <v>343.010385850073</v>
      </c>
      <c r="N38" s="55" t="n">
        <f aca="false">N36-N37</f>
        <v>363.881428297565</v>
      </c>
      <c r="O38" s="55" t="n">
        <f aca="false">O36-O37</f>
        <v>375.308955948633</v>
      </c>
      <c r="P38" s="55" t="n">
        <f aca="false">P36-P37</f>
        <v>386.585327374938</v>
      </c>
      <c r="Q38" s="55" t="n">
        <f aca="false">Q36-Q37</f>
        <v>393.791595164083</v>
      </c>
      <c r="R38" s="55" t="n">
        <f aca="false">R36-R37</f>
        <v>401.219109128986</v>
      </c>
      <c r="S38" s="55" t="n">
        <f aca="false">S36-S37</f>
        <v>412.627166849052</v>
      </c>
      <c r="T38" s="55" t="n">
        <f aca="false">T36-T37</f>
        <v>439.228869991392</v>
      </c>
      <c r="U38" s="55" t="n">
        <f aca="false">U36-U37</f>
        <v>448.934771292064</v>
      </c>
      <c r="V38" s="55" t="n">
        <f aca="false">V36-V37</f>
        <v>468.098027847016</v>
      </c>
      <c r="W38" s="55" t="n">
        <f aca="false">W36-W37</f>
        <v>23680.0846429289</v>
      </c>
      <c r="X38" s="55" t="n">
        <f aca="false">X36-X37</f>
        <v>0</v>
      </c>
      <c r="Y38" s="58" t="n">
        <f aca="false">Y36-Y37</f>
        <v>0</v>
      </c>
    </row>
    <row r="39" customFormat="false" ht="12.75" hidden="false" customHeight="false" outlineLevel="0" collapsed="false">
      <c r="A39" s="51"/>
      <c r="B39" s="52"/>
      <c r="C39" s="52"/>
      <c r="D39" s="52"/>
      <c r="E39" s="52"/>
      <c r="F39" s="52"/>
      <c r="G39" s="52"/>
      <c r="H39" s="52"/>
      <c r="I39" s="52"/>
      <c r="J39" s="52"/>
      <c r="K39" s="52"/>
      <c r="L39" s="52"/>
      <c r="M39" s="52"/>
      <c r="N39" s="52"/>
      <c r="O39" s="52"/>
      <c r="P39" s="52"/>
      <c r="Q39" s="52"/>
      <c r="R39" s="52"/>
      <c r="S39" s="52"/>
      <c r="T39" s="52"/>
      <c r="U39" s="52"/>
      <c r="V39" s="52"/>
      <c r="W39" s="52"/>
      <c r="X39" s="52"/>
      <c r="Y39" s="56"/>
    </row>
    <row r="40" customFormat="false" ht="12.75" hidden="false" customHeight="false" outlineLevel="0" collapsed="false">
      <c r="A40" s="51" t="s">
        <v>105</v>
      </c>
      <c r="B40" s="52"/>
      <c r="C40" s="55" t="n">
        <f aca="false">[3]Calvert!F32</f>
        <v>94.8971403274245</v>
      </c>
      <c r="D40" s="55" t="n">
        <f aca="false">[3]Calvert!G32</f>
        <v>162.680811989871</v>
      </c>
      <c r="E40" s="55" t="n">
        <f aca="false">[3]Calvert!H32</f>
        <v>162.680811989871</v>
      </c>
      <c r="F40" s="55" t="n">
        <f aca="false">[3]Calvert!I32</f>
        <v>162.680811989871</v>
      </c>
      <c r="G40" s="55" t="n">
        <f aca="false">[3]Calvert!J32</f>
        <v>154.109235461302</v>
      </c>
      <c r="H40" s="55" t="n">
        <f aca="false">[3]Calvert!K32</f>
        <v>154.109235461302</v>
      </c>
      <c r="I40" s="55" t="n">
        <f aca="false">[3]Calvert!L32</f>
        <v>154.109235461302</v>
      </c>
      <c r="J40" s="55" t="n">
        <f aca="false">[3]Calvert!M32</f>
        <v>154.109235461302</v>
      </c>
      <c r="K40" s="55" t="n">
        <f aca="false">[3]Calvert!N32</f>
        <v>154.109235461302</v>
      </c>
      <c r="L40" s="55" t="n">
        <f aca="false">[3]Calvert!O32</f>
        <v>154.109235461302</v>
      </c>
      <c r="M40" s="55" t="n">
        <f aca="false">[3]Calvert!P32</f>
        <v>138.554546360912</v>
      </c>
      <c r="N40" s="55" t="n">
        <f aca="false">[3]Calvert!Q32</f>
        <v>132.049505961843</v>
      </c>
      <c r="O40" s="55" t="n">
        <f aca="false">[3]Calvert!R32</f>
        <v>125.694327947717</v>
      </c>
      <c r="P40" s="55" t="n">
        <f aca="false">[3]Calvert!S32</f>
        <v>119.348368627941</v>
      </c>
      <c r="Q40" s="55" t="n">
        <f aca="false">[3]Calvert!T32</f>
        <v>116.869350921693</v>
      </c>
      <c r="R40" s="55" t="n">
        <f aca="false">[3]Calvert!U32</f>
        <v>114.005417735648</v>
      </c>
      <c r="S40" s="55" t="n">
        <f aca="false">[3]Calvert!V32</f>
        <v>107.029524071937</v>
      </c>
      <c r="T40" s="55" t="n">
        <f aca="false">[3]Calvert!W32</f>
        <v>84.8521433682806</v>
      </c>
      <c r="U40" s="55" t="n">
        <f aca="false">[3]Calvert!X32</f>
        <v>79.1509696323302</v>
      </c>
      <c r="V40" s="55" t="n">
        <f aca="false">[3]Calvert!Y32</f>
        <v>63.8818467872532</v>
      </c>
      <c r="W40" s="55" t="n">
        <f aca="false">[3]Calvert!Z32</f>
        <v>63.8818467872532</v>
      </c>
      <c r="X40" s="55" t="n">
        <f aca="false">[3]Calvert!AA32</f>
        <v>0</v>
      </c>
      <c r="Y40" s="55" t="n">
        <f aca="false">[3]Calvert!AB32</f>
        <v>0</v>
      </c>
    </row>
    <row r="41" customFormat="false" ht="12.75" hidden="false" customHeight="false" outlineLevel="0" collapsed="false">
      <c r="A41" s="51" t="s">
        <v>106</v>
      </c>
      <c r="B41" s="52"/>
      <c r="C41" s="57" t="n">
        <f aca="false">-[3]Calvert!F19</f>
        <v>-158.329546761348</v>
      </c>
      <c r="D41" s="57" t="n">
        <f aca="false">-[3]Calvert!G19</f>
        <v>-273.364577924391</v>
      </c>
      <c r="E41" s="57" t="n">
        <f aca="false">-[3]Calvert!H19</f>
        <v>-272.534899519244</v>
      </c>
      <c r="F41" s="57" t="n">
        <f aca="false">-[3]Calvert!I19</f>
        <v>-334.189595633668</v>
      </c>
      <c r="G41" s="57" t="n">
        <f aca="false">-[3]Calvert!J19</f>
        <v>-382.782740063078</v>
      </c>
      <c r="H41" s="57" t="n">
        <f aca="false">-[3]Calvert!K19</f>
        <v>-386.504161315549</v>
      </c>
      <c r="I41" s="57" t="n">
        <f aca="false">-[3]Calvert!L19</f>
        <v>-390.100119920014</v>
      </c>
      <c r="J41" s="57" t="n">
        <f aca="false">-[3]Calvert!M19</f>
        <v>-401.944572087538</v>
      </c>
      <c r="K41" s="57" t="n">
        <f aca="false">-[3]Calvert!N19</f>
        <v>-405.507979573542</v>
      </c>
      <c r="L41" s="57" t="n">
        <f aca="false">-[3]Calvert!O19</f>
        <v>-417.814667530672</v>
      </c>
      <c r="M41" s="57" t="n">
        <f aca="false">-[3]Calvert!P19</f>
        <v>-421.522656058511</v>
      </c>
      <c r="N41" s="57" t="n">
        <f aca="false">-[3]Calvert!Q19</f>
        <v>-434.385264306765</v>
      </c>
      <c r="O41" s="57" t="n">
        <f aca="false">-[3]Calvert!R19</f>
        <v>-437.909118329527</v>
      </c>
      <c r="P41" s="57" t="n">
        <f aca="false">-[3]Calvert!S19</f>
        <v>-441.244579953449</v>
      </c>
      <c r="Q41" s="57" t="n">
        <f aca="false">-[3]Calvert!T19</f>
        <v>-444.329031039261</v>
      </c>
      <c r="R41" s="57" t="n">
        <f aca="false">-[3]Calvert!U19</f>
        <v>-447.200528851137</v>
      </c>
      <c r="S41" s="57" t="n">
        <f aca="false">-[3]Calvert!V19</f>
        <v>-449.889847451474</v>
      </c>
      <c r="T41" s="57" t="n">
        <f aca="false">-[3]Calvert!W19</f>
        <v>-452.519039070469</v>
      </c>
      <c r="U41" s="57" t="n">
        <f aca="false">-[3]Calvert!X19</f>
        <v>-454.674781890928</v>
      </c>
      <c r="V41" s="57" t="n">
        <f aca="false">-[3]Calvert!Y19</f>
        <v>-456.664461314202</v>
      </c>
      <c r="W41" s="57" t="n">
        <f aca="false">-[3]Calvert!Z19</f>
        <v>-457.603327492619</v>
      </c>
      <c r="X41" s="57" t="n">
        <f aca="false">-[3]Calvert!AA19</f>
        <v>-0</v>
      </c>
      <c r="Y41" s="57" t="n">
        <f aca="false">-[3]Calvert!AB19</f>
        <v>-0</v>
      </c>
    </row>
    <row r="42" customFormat="false" ht="12.75" hidden="false" customHeight="false" outlineLevel="0" collapsed="false">
      <c r="A42" s="59" t="s">
        <v>107</v>
      </c>
      <c r="B42" s="60"/>
      <c r="C42" s="61" t="n">
        <f aca="false">C38+C40+C41</f>
        <v>9.92914948000137</v>
      </c>
      <c r="D42" s="61" t="n">
        <f aca="false">D38+D40+D41</f>
        <v>9.92914947999572</v>
      </c>
      <c r="E42" s="61" t="n">
        <f aca="false">E38+E40+E41</f>
        <v>9.92914947999009</v>
      </c>
      <c r="F42" s="61" t="n">
        <f aca="false">F38+F40+F41</f>
        <v>36.7581065908328</v>
      </c>
      <c r="G42" s="61" t="n">
        <f aca="false">G38+G40+G41</f>
        <v>51.8981041214018</v>
      </c>
      <c r="H42" s="61" t="n">
        <f aca="false">H38+H40+H41</f>
        <v>53.1571727606297</v>
      </c>
      <c r="I42" s="61" t="n">
        <f aca="false">I38+I40+I41</f>
        <v>54.4540134590564</v>
      </c>
      <c r="J42" s="61" t="n">
        <f aca="false">J38+J40+J41</f>
        <v>55.7897593784352</v>
      </c>
      <c r="K42" s="61" t="n">
        <f aca="false">K38+K40+K41</f>
        <v>57.16557767538</v>
      </c>
      <c r="L42" s="61" t="n">
        <f aca="false">L38+L40+L41</f>
        <v>58.5826705212328</v>
      </c>
      <c r="M42" s="61" t="n">
        <f aca="false">M38+M40+M41</f>
        <v>60.0422761524748</v>
      </c>
      <c r="N42" s="61" t="n">
        <f aca="false">N38+N40+N41</f>
        <v>61.5456699526436</v>
      </c>
      <c r="O42" s="61" t="n">
        <f aca="false">O38+O40+O41</f>
        <v>63.0941655668219</v>
      </c>
      <c r="P42" s="61" t="n">
        <f aca="false">P38+P40+P41</f>
        <v>64.6891160494301</v>
      </c>
      <c r="Q42" s="61" t="n">
        <f aca="false">Q38+Q40+Q41</f>
        <v>66.3319150465143</v>
      </c>
      <c r="R42" s="61" t="n">
        <f aca="false">R38+R40+R41</f>
        <v>68.0239980134971</v>
      </c>
      <c r="S42" s="61" t="n">
        <f aca="false">S38+S40+S41</f>
        <v>69.7668434695145</v>
      </c>
      <c r="T42" s="61" t="n">
        <f aca="false">T38+T40+T41</f>
        <v>71.5619742892031</v>
      </c>
      <c r="U42" s="61" t="n">
        <f aca="false">U38+U40+U41</f>
        <v>73.4109590334662</v>
      </c>
      <c r="V42" s="61" t="n">
        <f aca="false">V38+V40+V41</f>
        <v>75.3154133200669</v>
      </c>
      <c r="W42" s="61" t="n">
        <f aca="false">W38+W40+W41</f>
        <v>23286.3631622235</v>
      </c>
      <c r="X42" s="61" t="n">
        <f aca="false">X38+X40+X41</f>
        <v>0</v>
      </c>
      <c r="Y42" s="62" t="n">
        <f aca="false">Y38+Y40+Y41</f>
        <v>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65533"/>
  <sheetViews>
    <sheetView showFormulas="false" showGridLines="true" showRowColHeaders="true" showZeros="true" rightToLeft="false" tabSelected="true" showOutlineSymbols="true" defaultGridColor="true" view="normal" topLeftCell="A1" colorId="64" zoomScale="80" zoomScaleNormal="80" zoomScalePageLayoutView="75" workbookViewId="0">
      <selection pane="topLeft" activeCell="B53" activeCellId="0" sqref="B53"/>
    </sheetView>
  </sheetViews>
  <sheetFormatPr defaultColWidth="9.28125" defaultRowHeight="12" customHeight="true" zeroHeight="false" outlineLevelRow="0" outlineLevelCol="0"/>
  <cols>
    <col collapsed="false" customWidth="true" hidden="false" outlineLevel="0" max="1" min="1" style="63" width="35.13"/>
    <col collapsed="false" customWidth="true" hidden="false" outlineLevel="0" max="2" min="2" style="63" width="9.56"/>
    <col collapsed="false" customWidth="true" hidden="false" outlineLevel="0" max="3" min="3" style="63" width="10.71"/>
    <col collapsed="false" customWidth="true" hidden="false" outlineLevel="0" max="4" min="4" style="63" width="5.85"/>
    <col collapsed="false" customWidth="true" hidden="false" outlineLevel="0" max="5" min="5" style="63" width="23.56"/>
    <col collapsed="false" customWidth="true" hidden="false" outlineLevel="0" max="6" min="6" style="63" width="10.99"/>
    <col collapsed="false" customWidth="true" hidden="false" outlineLevel="0" max="7" min="7" style="63" width="11.99"/>
    <col collapsed="false" customWidth="true" hidden="false" outlineLevel="0" max="8" min="8" style="63" width="12.28"/>
    <col collapsed="false" customWidth="true" hidden="false" outlineLevel="0" max="9" min="9" style="63" width="11.13"/>
    <col collapsed="false" customWidth="true" hidden="false" outlineLevel="0" max="10" min="10" style="63" width="6.41"/>
    <col collapsed="false" customWidth="true" hidden="false" outlineLevel="0" max="11" min="11" style="63" width="23.14"/>
    <col collapsed="false" customWidth="true" hidden="false" outlineLevel="0" max="12" min="12" style="63" width="11.99"/>
    <col collapsed="false" customWidth="true" hidden="false" outlineLevel="0" max="13" min="13" style="63" width="11.56"/>
    <col collapsed="false" customWidth="true" hidden="false" outlineLevel="0" max="14" min="14" style="63" width="11.99"/>
    <col collapsed="false" customWidth="true" hidden="false" outlineLevel="0" max="15" min="15" style="63" width="8.99"/>
    <col collapsed="false" customWidth="true" hidden="false" outlineLevel="0" max="16" min="16" style="63" width="12.14"/>
    <col collapsed="false" customWidth="true" hidden="false" outlineLevel="0" max="17" min="17" style="64" width="4.99"/>
    <col collapsed="false" customWidth="false" hidden="false" outlineLevel="0" max="257" min="18" style="64" width="9.28"/>
  </cols>
  <sheetData>
    <row r="1" customFormat="false" ht="14.25" hidden="false" customHeight="false" outlineLevel="0" collapsed="false">
      <c r="B1" s="65"/>
      <c r="E1" s="66" t="str">
        <f aca="false">IF(ABS(Loop)&gt;1,"CALC TAXES!","")</f>
        <v/>
      </c>
    </row>
    <row r="2" customFormat="false" ht="20.25" hidden="false" customHeight="false" outlineLevel="0" collapsed="false">
      <c r="A2" s="67" t="s">
        <v>108</v>
      </c>
      <c r="B2" s="67"/>
      <c r="C2" s="67"/>
      <c r="D2" s="67"/>
      <c r="E2" s="67"/>
      <c r="F2" s="67"/>
      <c r="G2" s="67"/>
      <c r="H2" s="67"/>
      <c r="I2" s="67"/>
      <c r="J2" s="67"/>
      <c r="K2" s="67"/>
      <c r="L2" s="67"/>
      <c r="M2" s="67"/>
      <c r="N2" s="67"/>
      <c r="O2" s="67"/>
      <c r="P2" s="67"/>
      <c r="Q2" s="67"/>
      <c r="R2" s="67"/>
      <c r="S2" s="67"/>
      <c r="T2" s="67"/>
      <c r="U2" s="67"/>
    </row>
    <row r="3" customFormat="false" ht="13.9" hidden="false" customHeight="true" outlineLevel="0" collapsed="false">
      <c r="A3" s="68" t="s">
        <v>109</v>
      </c>
      <c r="B3" s="68"/>
      <c r="C3" s="68"/>
      <c r="D3" s="68"/>
      <c r="E3" s="68"/>
      <c r="F3" s="68"/>
      <c r="G3" s="68"/>
      <c r="H3" s="68"/>
      <c r="I3" s="68"/>
      <c r="J3" s="68"/>
      <c r="K3" s="68"/>
      <c r="L3" s="68"/>
      <c r="M3" s="68"/>
      <c r="N3" s="68"/>
      <c r="O3" s="68"/>
      <c r="P3" s="68"/>
      <c r="Q3" s="68"/>
      <c r="R3" s="68"/>
      <c r="S3" s="68"/>
      <c r="T3" s="68"/>
      <c r="U3" s="68"/>
    </row>
    <row r="4" customFormat="false" ht="13.9" hidden="false" customHeight="true" outlineLevel="0" collapsed="false">
      <c r="A4" s="69" t="str">
        <f aca="true">CONCATENATE("File Location: ",CELL("filename"))</f>
        <v>File Location: 'file:///mnt/12tb/@roms/datasets/enron/EDRM Enron Email Data Set v2 XML/filtered-attachments/xls/Gleason___501F___501FD.xls'#$Project Assumptions</v>
      </c>
      <c r="B4" s="69"/>
      <c r="C4" s="69"/>
      <c r="D4" s="69"/>
      <c r="E4" s="69"/>
      <c r="F4" s="69"/>
      <c r="G4" s="69"/>
      <c r="H4" s="69"/>
      <c r="I4" s="69"/>
      <c r="J4" s="69"/>
      <c r="K4" s="69"/>
      <c r="L4" s="69"/>
      <c r="M4" s="69"/>
      <c r="N4" s="69"/>
      <c r="O4" s="69"/>
      <c r="P4" s="69"/>
      <c r="Q4" s="69"/>
      <c r="R4" s="69"/>
      <c r="S4" s="69"/>
      <c r="T4" s="69"/>
      <c r="U4" s="69"/>
    </row>
    <row r="5" customFormat="false" ht="15.75" hidden="false" customHeight="false" outlineLevel="0" collapsed="false">
      <c r="A5" s="70" t="s">
        <v>110</v>
      </c>
      <c r="B5" s="71"/>
      <c r="C5" s="72"/>
      <c r="E5" s="70" t="s">
        <v>111</v>
      </c>
      <c r="F5" s="71"/>
      <c r="G5" s="71"/>
      <c r="H5" s="71"/>
      <c r="I5" s="73"/>
      <c r="K5" s="74" t="s">
        <v>112</v>
      </c>
      <c r="L5" s="75"/>
      <c r="M5" s="75"/>
      <c r="N5" s="71"/>
      <c r="O5" s="71"/>
      <c r="P5" s="76"/>
      <c r="R5" s="70" t="s">
        <v>113</v>
      </c>
      <c r="S5" s="71"/>
      <c r="T5" s="71"/>
      <c r="U5" s="72"/>
    </row>
    <row r="6" customFormat="false" ht="12" hidden="false" customHeight="true" outlineLevel="0" collapsed="false">
      <c r="A6" s="77"/>
      <c r="B6" s="78"/>
      <c r="C6" s="79"/>
      <c r="E6" s="77"/>
      <c r="F6" s="78"/>
      <c r="G6" s="78"/>
      <c r="H6" s="78"/>
      <c r="I6" s="80"/>
      <c r="K6" s="81"/>
      <c r="L6" s="78"/>
      <c r="M6" s="82" t="s">
        <v>114</v>
      </c>
      <c r="N6" s="83" t="n">
        <v>1999</v>
      </c>
      <c r="O6" s="78"/>
      <c r="P6" s="79"/>
      <c r="R6" s="84" t="s">
        <v>115</v>
      </c>
      <c r="S6" s="78"/>
      <c r="T6" s="78"/>
      <c r="U6" s="85" t="n">
        <v>0.5</v>
      </c>
    </row>
    <row r="7" customFormat="false" ht="24.75" hidden="false" customHeight="false" outlineLevel="0" collapsed="false">
      <c r="A7" s="86" t="s">
        <v>116</v>
      </c>
      <c r="B7" s="78"/>
      <c r="C7" s="79"/>
      <c r="E7" s="84" t="s">
        <v>117</v>
      </c>
      <c r="F7" s="78"/>
      <c r="G7" s="78"/>
      <c r="H7" s="87" t="s">
        <v>118</v>
      </c>
      <c r="I7" s="88" t="s">
        <v>119</v>
      </c>
      <c r="K7" s="89"/>
      <c r="L7" s="90" t="s">
        <v>120</v>
      </c>
      <c r="M7" s="91" t="s">
        <v>121</v>
      </c>
      <c r="N7" s="91" t="s">
        <v>122</v>
      </c>
      <c r="O7" s="92"/>
      <c r="P7" s="93" t="s">
        <v>123</v>
      </c>
      <c r="R7" s="84" t="s">
        <v>124</v>
      </c>
      <c r="S7" s="94"/>
      <c r="T7" s="95"/>
      <c r="U7" s="96" t="n">
        <v>0.0015</v>
      </c>
    </row>
    <row r="8" customFormat="false" ht="12" hidden="false" customHeight="false" outlineLevel="0" collapsed="false">
      <c r="A8" s="84" t="s">
        <v>125</v>
      </c>
      <c r="B8" s="97" t="n">
        <f aca="false">C8/C11</f>
        <v>0.25</v>
      </c>
      <c r="C8" s="98" t="n">
        <f aca="false">C61-C9</f>
        <v>43592.4045</v>
      </c>
      <c r="E8" s="84" t="s">
        <v>126</v>
      </c>
      <c r="F8" s="78"/>
      <c r="G8" s="78"/>
      <c r="H8" s="99" t="n">
        <v>1</v>
      </c>
      <c r="I8" s="100" t="n">
        <v>2</v>
      </c>
      <c r="K8" s="101" t="s">
        <v>127</v>
      </c>
      <c r="L8" s="102" t="n">
        <v>433.073</v>
      </c>
      <c r="M8" s="103" t="n">
        <f aca="false">NetMW*AnnualHours</f>
        <v>612000</v>
      </c>
      <c r="N8" s="104" t="n">
        <f aca="false">WaterTreatmentVar/M8*1000</f>
        <v>0.707635620915033</v>
      </c>
      <c r="O8" s="105"/>
      <c r="P8" s="106" t="n">
        <f aca="false">AVERAGE('Book Income Statement'!E25:H25)</f>
        <v>486.773903794882</v>
      </c>
      <c r="R8" s="81" t="s">
        <v>128</v>
      </c>
      <c r="S8" s="78"/>
      <c r="T8" s="78"/>
      <c r="U8" s="107" t="s">
        <v>129</v>
      </c>
    </row>
    <row r="9" customFormat="false" ht="12.75" hidden="false" customHeight="false" outlineLevel="0" collapsed="false">
      <c r="A9" s="84" t="s">
        <v>130</v>
      </c>
      <c r="B9" s="97" t="n">
        <f aca="false">C9/C11</f>
        <v>0.75</v>
      </c>
      <c r="C9" s="108" t="n">
        <f aca="false">IF(I34="Normal",'Debt Amortization'!$B$22,I38)</f>
        <v>130777.2135</v>
      </c>
      <c r="E9" s="84" t="s">
        <v>131</v>
      </c>
      <c r="F9" s="78"/>
      <c r="G9" s="78"/>
      <c r="H9" s="0"/>
      <c r="I9" s="109" t="n">
        <v>535.3</v>
      </c>
      <c r="K9" s="101" t="s">
        <v>132</v>
      </c>
      <c r="L9" s="102" t="n">
        <f aca="false">M9*N9/1000</f>
        <v>30.6</v>
      </c>
      <c r="M9" s="103" t="n">
        <f aca="false">NetMW*AnnualHours</f>
        <v>612000</v>
      </c>
      <c r="N9" s="104" t="n">
        <v>0.05</v>
      </c>
      <c r="O9" s="105"/>
      <c r="P9" s="106" t="n">
        <f aca="false">AVERAGE('Book Income Statement'!E26:H26)</f>
        <v>34.3943895281474</v>
      </c>
      <c r="R9" s="84" t="s">
        <v>133</v>
      </c>
      <c r="S9" s="78"/>
      <c r="T9" s="78"/>
      <c r="U9" s="96" t="n">
        <v>0.00298</v>
      </c>
    </row>
    <row r="10" customFormat="false" ht="14.25" hidden="false" customHeight="false" outlineLevel="0" collapsed="false">
      <c r="A10" s="110"/>
      <c r="B10" s="111"/>
      <c r="C10" s="112"/>
      <c r="E10" s="84" t="s">
        <v>134</v>
      </c>
      <c r="F10" s="78"/>
      <c r="G10" s="78"/>
      <c r="H10" s="113"/>
      <c r="I10" s="114" t="n">
        <v>510</v>
      </c>
      <c r="K10" s="101" t="s">
        <v>135</v>
      </c>
      <c r="L10" s="115" t="n">
        <v>281</v>
      </c>
      <c r="M10" s="103" t="n">
        <f aca="false">NetMW*AnnualHours</f>
        <v>612000</v>
      </c>
      <c r="N10" s="116" t="n">
        <f aca="false">Variable/M10*1000</f>
        <v>0.459150326797386</v>
      </c>
      <c r="O10" s="117"/>
      <c r="P10" s="118" t="n">
        <f aca="false">AVERAGE('Book Income Statement'!E27:H27)</f>
        <v>315.843903836909</v>
      </c>
      <c r="R10" s="84" t="s">
        <v>136</v>
      </c>
      <c r="S10" s="78"/>
      <c r="T10" s="78"/>
      <c r="U10" s="96" t="n">
        <v>0.00244</v>
      </c>
    </row>
    <row r="11" customFormat="false" ht="12" hidden="false" customHeight="false" outlineLevel="0" collapsed="false">
      <c r="A11" s="84" t="s">
        <v>137</v>
      </c>
      <c r="B11" s="111"/>
      <c r="C11" s="119" t="n">
        <f aca="false">SUM(C8:C9)</f>
        <v>174369.618</v>
      </c>
      <c r="E11" s="84" t="s">
        <v>138</v>
      </c>
      <c r="F11" s="120" t="n">
        <v>0.02</v>
      </c>
      <c r="G11" s="78" t="s">
        <v>139</v>
      </c>
      <c r="H11" s="113"/>
      <c r="I11" s="121" t="n">
        <f aca="false">NetMW*(1-F11)</f>
        <v>499.8</v>
      </c>
      <c r="K11" s="122" t="s">
        <v>140</v>
      </c>
      <c r="L11" s="123" t="n">
        <f aca="false">SUM(L8:L10)</f>
        <v>744.673</v>
      </c>
      <c r="M11" s="124"/>
      <c r="N11" s="125" t="n">
        <f aca="false">SUM(N8:N10)</f>
        <v>1.21678594771242</v>
      </c>
      <c r="O11" s="126"/>
      <c r="P11" s="127" t="n">
        <f aca="false">AVERAGE('Book Income Statement'!E28:H28)</f>
        <v>837.012197159938</v>
      </c>
      <c r="R11" s="128" t="s">
        <v>141</v>
      </c>
      <c r="S11" s="129"/>
      <c r="T11" s="130"/>
      <c r="U11" s="107" t="s">
        <v>129</v>
      </c>
    </row>
    <row r="12" customFormat="false" ht="12" hidden="false" customHeight="false" outlineLevel="0" collapsed="false">
      <c r="A12" s="131"/>
      <c r="B12" s="111"/>
      <c r="C12" s="79"/>
      <c r="E12" s="132" t="s">
        <v>142</v>
      </c>
      <c r="F12" s="78"/>
      <c r="G12" s="78"/>
      <c r="H12" s="133"/>
      <c r="I12" s="134" t="n">
        <v>10904</v>
      </c>
      <c r="K12" s="78"/>
      <c r="L12" s="78"/>
      <c r="M12" s="78"/>
      <c r="N12" s="78"/>
      <c r="O12" s="135"/>
      <c r="P12" s="136"/>
      <c r="R12" s="84" t="s">
        <v>143</v>
      </c>
      <c r="S12" s="78"/>
      <c r="T12" s="95"/>
      <c r="U12" s="137" t="n">
        <v>0.00386</v>
      </c>
    </row>
    <row r="13" customFormat="false" ht="15.75" hidden="false" customHeight="false" outlineLevel="0" collapsed="false">
      <c r="A13" s="81"/>
      <c r="B13" s="78"/>
      <c r="C13" s="79"/>
      <c r="E13" s="84" t="s">
        <v>144</v>
      </c>
      <c r="F13" s="78"/>
      <c r="G13" s="78"/>
      <c r="H13" s="113"/>
      <c r="I13" s="138" t="n">
        <f aca="false">G14/8760</f>
        <v>0.136986301369863</v>
      </c>
      <c r="K13" s="139" t="s">
        <v>145</v>
      </c>
      <c r="L13" s="140"/>
      <c r="M13" s="75"/>
      <c r="N13" s="141"/>
      <c r="O13" s="142"/>
      <c r="P13" s="143"/>
      <c r="R13" s="144" t="s">
        <v>146</v>
      </c>
      <c r="S13" s="145"/>
      <c r="T13" s="146"/>
      <c r="U13" s="147" t="n">
        <f aca="false">AVERAGE(Depreciation!D51:AB51)</f>
        <v>245.60635648</v>
      </c>
    </row>
    <row r="14" customFormat="false" ht="24.75" hidden="false" customHeight="false" outlineLevel="0" collapsed="false">
      <c r="A14" s="86" t="s">
        <v>147</v>
      </c>
      <c r="B14" s="111"/>
      <c r="C14" s="79"/>
      <c r="E14" s="84" t="s">
        <v>148</v>
      </c>
      <c r="F14" s="78"/>
      <c r="G14" s="113" t="n">
        <v>1200</v>
      </c>
      <c r="H14" s="133" t="s">
        <v>149</v>
      </c>
      <c r="I14" s="148" t="n">
        <v>0</v>
      </c>
      <c r="K14" s="81"/>
      <c r="L14" s="149" t="s">
        <v>150</v>
      </c>
      <c r="M14" s="150" t="s">
        <v>151</v>
      </c>
      <c r="N14" s="151" t="s">
        <v>152</v>
      </c>
      <c r="O14" s="152" t="s">
        <v>153</v>
      </c>
      <c r="P14" s="153" t="s">
        <v>154</v>
      </c>
    </row>
    <row r="15" customFormat="false" ht="15.75" hidden="false" customHeight="false" outlineLevel="0" collapsed="false">
      <c r="A15" s="154" t="s">
        <v>155</v>
      </c>
      <c r="B15" s="111"/>
      <c r="C15" s="79"/>
      <c r="E15" s="84" t="s">
        <v>156</v>
      </c>
      <c r="F15" s="78"/>
      <c r="G15" s="78"/>
      <c r="H15" s="113"/>
      <c r="I15" s="155" t="n">
        <v>20</v>
      </c>
      <c r="K15" s="101" t="s">
        <v>157</v>
      </c>
      <c r="L15" s="156" t="n">
        <v>120</v>
      </c>
      <c r="M15" s="157" t="n">
        <f aca="false">N15/(H8+I8)</f>
        <v>6379</v>
      </c>
      <c r="N15" s="157" t="n">
        <f aca="false">VLOOKUP(L15,Main_Table,2)</f>
        <v>19137</v>
      </c>
      <c r="O15" s="92" t="n">
        <f aca="false">Main_Start*L15/1000</f>
        <v>2296.44</v>
      </c>
      <c r="P15" s="158" t="n">
        <v>0.03</v>
      </c>
      <c r="R15" s="70" t="s">
        <v>158</v>
      </c>
      <c r="S15" s="71"/>
      <c r="T15" s="71"/>
      <c r="U15" s="72"/>
    </row>
    <row r="16" customFormat="false" ht="12" hidden="false" customHeight="false" outlineLevel="0" collapsed="false">
      <c r="A16" s="84" t="s">
        <v>159</v>
      </c>
      <c r="B16" s="111"/>
      <c r="C16" s="159" t="n">
        <f aca="false">60842.74+34480.361</f>
        <v>95323.101</v>
      </c>
      <c r="E16" s="84" t="s">
        <v>160</v>
      </c>
      <c r="F16" s="78"/>
      <c r="G16" s="160" t="n">
        <v>36678</v>
      </c>
      <c r="H16" s="78" t="s">
        <v>161</v>
      </c>
      <c r="I16" s="161" t="n">
        <f aca="false">(MONTH(StartDate)+1)/12</f>
        <v>0.583333333333333</v>
      </c>
      <c r="K16" s="101" t="s">
        <v>162</v>
      </c>
      <c r="L16" s="156" t="n">
        <v>120</v>
      </c>
      <c r="M16" s="162" t="n">
        <f aca="false">N16/(H8+I8)</f>
        <v>0</v>
      </c>
      <c r="N16" s="162" t="n">
        <f aca="false">VLOOKUP(L16,Main_Table,3)</f>
        <v>0</v>
      </c>
      <c r="O16" s="105" t="n">
        <f aca="false">Fuel_Start*L16/1000</f>
        <v>0</v>
      </c>
      <c r="P16" s="163"/>
      <c r="R16" s="81" t="s">
        <v>163</v>
      </c>
      <c r="S16" s="78"/>
      <c r="T16" s="78"/>
      <c r="U16" s="164" t="n">
        <f aca="false">$C$8/'Book Income Statement'!$E$75</f>
        <v>10.5493238257914</v>
      </c>
    </row>
    <row r="17" customFormat="false" ht="12" hidden="false" customHeight="false" outlineLevel="0" collapsed="false">
      <c r="A17" s="84" t="s">
        <v>164</v>
      </c>
      <c r="B17" s="111"/>
      <c r="C17" s="159" t="n">
        <v>5893.811</v>
      </c>
      <c r="E17" s="84" t="s">
        <v>165</v>
      </c>
      <c r="F17" s="78"/>
      <c r="G17" s="160" t="n">
        <v>43981</v>
      </c>
      <c r="H17" s="78"/>
      <c r="I17" s="161"/>
      <c r="K17" s="165"/>
      <c r="L17" s="123"/>
      <c r="M17" s="166" t="n">
        <f aca="false">SUM(M15:M16)</f>
        <v>6379</v>
      </c>
      <c r="N17" s="166" t="n">
        <f aca="false">SUM(N15:N16)</f>
        <v>19137</v>
      </c>
      <c r="O17" s="167" t="n">
        <f aca="false">SUM(O15:O16)</f>
        <v>2296.44</v>
      </c>
      <c r="P17" s="127"/>
      <c r="R17" s="81" t="s">
        <v>166</v>
      </c>
      <c r="S17" s="78"/>
      <c r="T17" s="78"/>
      <c r="U17" s="168" t="n">
        <v>30</v>
      </c>
    </row>
    <row r="18" customFormat="false" ht="12" hidden="false" customHeight="false" outlineLevel="0" collapsed="false">
      <c r="A18" s="84" t="s">
        <v>167</v>
      </c>
      <c r="B18" s="111"/>
      <c r="C18" s="159" t="n">
        <v>929.8</v>
      </c>
      <c r="E18" s="169" t="s">
        <v>168</v>
      </c>
      <c r="F18" s="170" t="s">
        <v>169</v>
      </c>
      <c r="G18" s="171" t="n">
        <f aca="false">C61/I10</f>
        <v>341.901211764706</v>
      </c>
      <c r="H18" s="170" t="s">
        <v>170</v>
      </c>
      <c r="I18" s="172" t="n">
        <f aca="false">(C61-C50)/I10</f>
        <v>341.901211764706</v>
      </c>
      <c r="K18" s="78"/>
      <c r="L18" s="78"/>
      <c r="M18" s="78"/>
      <c r="N18" s="78"/>
      <c r="O18" s="135"/>
      <c r="P18" s="136"/>
      <c r="R18" s="81" t="s">
        <v>171</v>
      </c>
      <c r="S18" s="78"/>
      <c r="T18" s="78"/>
      <c r="U18" s="173" t="n">
        <v>0.1</v>
      </c>
    </row>
    <row r="19" customFormat="false" ht="15.75" hidden="false" customHeight="false" outlineLevel="0" collapsed="false">
      <c r="A19" s="84" t="s">
        <v>172</v>
      </c>
      <c r="B19" s="111"/>
      <c r="C19" s="159" t="n">
        <v>2840.7</v>
      </c>
      <c r="E19" s="174"/>
      <c r="G19" s="175"/>
      <c r="H19" s="176"/>
      <c r="I19" s="177"/>
      <c r="K19" s="74" t="s">
        <v>173</v>
      </c>
      <c r="L19" s="75"/>
      <c r="M19" s="75"/>
      <c r="N19" s="178"/>
      <c r="O19" s="179"/>
      <c r="P19" s="180"/>
      <c r="R19" s="169" t="s">
        <v>174</v>
      </c>
      <c r="S19" s="126"/>
      <c r="T19" s="126"/>
      <c r="U19" s="181" t="n">
        <v>0.013490953938989</v>
      </c>
      <c r="V19" s="0"/>
      <c r="W19" s="0"/>
      <c r="X19" s="0"/>
    </row>
    <row r="20" customFormat="false" ht="15.75" hidden="false" customHeight="false" outlineLevel="0" collapsed="false">
      <c r="A20" s="84" t="s">
        <v>175</v>
      </c>
      <c r="B20" s="111"/>
      <c r="C20" s="159" t="n">
        <v>3066.7</v>
      </c>
      <c r="E20" s="74" t="s">
        <v>176</v>
      </c>
      <c r="F20" s="182"/>
      <c r="G20" s="183"/>
      <c r="H20" s="182"/>
      <c r="I20" s="184"/>
      <c r="K20" s="101" t="s">
        <v>177</v>
      </c>
      <c r="L20" s="94"/>
      <c r="M20" s="94"/>
      <c r="N20" s="185" t="n">
        <v>727</v>
      </c>
      <c r="O20" s="78"/>
      <c r="P20" s="106" t="n">
        <f aca="false">AVERAGE('Book Income Statement'!D37:G37)</f>
        <v>705.184391800833</v>
      </c>
      <c r="V20" s="0"/>
      <c r="W20" s="0"/>
      <c r="X20" s="0"/>
    </row>
    <row r="21" customFormat="false" ht="15.75" hidden="false" customHeight="false" outlineLevel="0" collapsed="false">
      <c r="A21" s="84" t="s">
        <v>178</v>
      </c>
      <c r="B21" s="111"/>
      <c r="C21" s="186" t="n">
        <v>32135.1</v>
      </c>
      <c r="E21" s="81" t="s">
        <v>100</v>
      </c>
      <c r="F21" s="135" t="n">
        <f aca="false">VariableMwh</f>
        <v>1.21678594771242</v>
      </c>
      <c r="G21" s="187" t="s">
        <v>179</v>
      </c>
      <c r="H21" s="188"/>
      <c r="I21" s="189" t="n">
        <v>0.03</v>
      </c>
      <c r="K21" s="101" t="s">
        <v>180</v>
      </c>
      <c r="L21" s="94"/>
      <c r="M21" s="94"/>
      <c r="N21" s="185" t="n">
        <v>270</v>
      </c>
      <c r="O21" s="78"/>
      <c r="P21" s="106" t="n">
        <f aca="false">AVERAGE('Book Income Statement'!D38:G38)</f>
        <v>261.897917175</v>
      </c>
      <c r="R21" s="74" t="s">
        <v>181</v>
      </c>
      <c r="S21" s="71"/>
      <c r="T21" s="71"/>
      <c r="U21" s="72"/>
      <c r="V21" s="0"/>
      <c r="W21" s="0"/>
      <c r="X21" s="0"/>
    </row>
    <row r="22" customFormat="false" ht="12.75" hidden="false" customHeight="false" outlineLevel="0" collapsed="false">
      <c r="A22" s="84" t="s">
        <v>182</v>
      </c>
      <c r="B22" s="111"/>
      <c r="C22" s="186" t="n">
        <v>10311.044</v>
      </c>
      <c r="E22" s="81" t="s">
        <v>183</v>
      </c>
      <c r="F22" s="190" t="n">
        <f aca="false">M17</f>
        <v>6379</v>
      </c>
      <c r="G22" s="187" t="s">
        <v>184</v>
      </c>
      <c r="H22" s="188"/>
      <c r="I22" s="191"/>
      <c r="K22" s="101" t="s">
        <v>185</v>
      </c>
      <c r="L22" s="94"/>
      <c r="M22" s="94"/>
      <c r="N22" s="192" t="n">
        <f aca="false">NetMW/2890*1000</f>
        <v>176.470588235294</v>
      </c>
      <c r="O22" s="78"/>
      <c r="P22" s="106" t="n">
        <f aca="false">AVERAGE('Book Income Statement'!D39:G39)</f>
        <v>171.175109264706</v>
      </c>
      <c r="R22" s="81"/>
      <c r="S22" s="78"/>
      <c r="T22" s="78"/>
      <c r="U22" s="79"/>
      <c r="V22" s="0"/>
      <c r="W22" s="0"/>
      <c r="X22" s="0"/>
    </row>
    <row r="23" customFormat="false" ht="12.75" hidden="false" customHeight="false" outlineLevel="0" collapsed="false">
      <c r="A23" s="84" t="s">
        <v>186</v>
      </c>
      <c r="B23" s="111"/>
      <c r="C23" s="186" t="n">
        <v>2125.8</v>
      </c>
      <c r="E23" s="169" t="s">
        <v>187</v>
      </c>
      <c r="F23" s="193" t="n">
        <v>1</v>
      </c>
      <c r="G23" s="171" t="s">
        <v>122</v>
      </c>
      <c r="H23" s="126" t="s">
        <v>188</v>
      </c>
      <c r="I23" s="194" t="n">
        <v>0.02</v>
      </c>
      <c r="K23" s="101" t="s">
        <v>189</v>
      </c>
      <c r="L23" s="195" t="n">
        <v>0.07</v>
      </c>
      <c r="M23" s="94" t="s">
        <v>190</v>
      </c>
      <c r="N23" s="192" t="n">
        <f aca="false">L23*(ISO_NetMW*(1-Deg_Rate)*12)</f>
        <v>440.65896</v>
      </c>
      <c r="O23" s="78"/>
      <c r="P23" s="106" t="n">
        <f aca="false">AVERAGE('Book Income Statement'!D40:G40)</f>
        <v>64.262765</v>
      </c>
      <c r="R23" s="81" t="s">
        <v>191</v>
      </c>
      <c r="S23" s="78"/>
      <c r="T23" s="196"/>
      <c r="U23" s="197" t="str">
        <f aca="false">IF(ABS(SUM(BS!D38:X38))&gt;0.01,"NO !!!!!!","YES")</f>
        <v>YES</v>
      </c>
      <c r="V23" s="0"/>
      <c r="W23" s="0"/>
      <c r="X23" s="0"/>
    </row>
    <row r="24" customFormat="false" ht="15" hidden="false" customHeight="false" outlineLevel="0" collapsed="false">
      <c r="A24" s="81" t="s">
        <v>192</v>
      </c>
      <c r="B24" s="111"/>
      <c r="C24" s="186" t="n">
        <v>1247.007</v>
      </c>
      <c r="E24" s="174"/>
      <c r="G24" s="175"/>
      <c r="H24" s="176"/>
      <c r="I24" s="177"/>
      <c r="K24" s="81" t="s">
        <v>193</v>
      </c>
      <c r="L24" s="78"/>
      <c r="M24" s="78"/>
      <c r="N24" s="198" t="n">
        <v>250</v>
      </c>
      <c r="O24" s="78"/>
      <c r="P24" s="118" t="n">
        <f aca="false">AVERAGE('Book Income Statement'!D41:G41)</f>
        <v>242.498071458333</v>
      </c>
      <c r="R24" s="81" t="s">
        <v>194</v>
      </c>
      <c r="S24" s="78"/>
      <c r="T24" s="196"/>
      <c r="U24" s="199" t="n">
        <f aca="false">Depreciation!B40</f>
        <v>173977.95</v>
      </c>
      <c r="V24" s="0"/>
      <c r="W24" s="0"/>
      <c r="X24" s="0"/>
    </row>
    <row r="25" customFormat="false" ht="15.75" hidden="false" customHeight="false" outlineLevel="0" collapsed="false">
      <c r="A25" s="84" t="s">
        <v>195</v>
      </c>
      <c r="B25" s="111"/>
      <c r="C25" s="186" t="n">
        <v>369.041</v>
      </c>
      <c r="E25" s="70" t="s">
        <v>196</v>
      </c>
      <c r="F25" s="71"/>
      <c r="G25" s="71"/>
      <c r="H25" s="71"/>
      <c r="I25" s="200"/>
      <c r="K25" s="122" t="s">
        <v>197</v>
      </c>
      <c r="L25" s="124"/>
      <c r="M25" s="201"/>
      <c r="N25" s="123" t="n">
        <f aca="false">SUM(N20:N24)</f>
        <v>1864.12954823529</v>
      </c>
      <c r="O25" s="126"/>
      <c r="P25" s="127" t="n">
        <f aca="false">SUM(P20:P24)</f>
        <v>1445.01825469887</v>
      </c>
      <c r="R25" s="202" t="s">
        <v>198</v>
      </c>
      <c r="S25" s="78"/>
      <c r="T25" s="196"/>
      <c r="U25" s="203" t="n">
        <f aca="false">C61</f>
        <v>174369.618</v>
      </c>
      <c r="V25" s="0"/>
      <c r="W25" s="0"/>
      <c r="X25" s="0"/>
    </row>
    <row r="26" customFormat="false" ht="12.75" hidden="false" customHeight="false" outlineLevel="0" collapsed="false">
      <c r="A26" s="84" t="s">
        <v>199</v>
      </c>
      <c r="B26" s="111"/>
      <c r="C26" s="186" t="n">
        <v>0</v>
      </c>
      <c r="E26" s="204" t="s">
        <v>200</v>
      </c>
      <c r="F26" s="78"/>
      <c r="G26" s="78"/>
      <c r="H26" s="78"/>
      <c r="I26" s="168" t="n">
        <v>3</v>
      </c>
      <c r="K26" s="205"/>
      <c r="L26" s="206"/>
      <c r="M26" s="206"/>
      <c r="N26" s="207"/>
      <c r="P26" s="208"/>
      <c r="Q26" s="209"/>
      <c r="R26" s="81" t="s">
        <v>201</v>
      </c>
      <c r="S26" s="78"/>
      <c r="T26" s="196"/>
      <c r="U26" s="210" t="n">
        <f aca="false">U25-U24</f>
        <v>391.668000000005</v>
      </c>
      <c r="V26" s="0"/>
      <c r="W26" s="0"/>
      <c r="X26" s="0"/>
    </row>
    <row r="27" customFormat="false" ht="15.75" hidden="false" customHeight="false" outlineLevel="0" collapsed="false">
      <c r="A27" s="81" t="s">
        <v>202</v>
      </c>
      <c r="B27" s="78"/>
      <c r="C27" s="186" t="n">
        <v>1100</v>
      </c>
      <c r="E27" s="204" t="s">
        <v>203</v>
      </c>
      <c r="F27" s="78"/>
      <c r="G27" s="78"/>
      <c r="H27" s="78"/>
      <c r="I27" s="108" t="n">
        <f aca="false">I10</f>
        <v>510</v>
      </c>
      <c r="K27" s="74" t="s">
        <v>204</v>
      </c>
      <c r="L27" s="71"/>
      <c r="M27" s="71"/>
      <c r="N27" s="71"/>
      <c r="O27" s="71"/>
      <c r="P27" s="180"/>
      <c r="R27" s="81"/>
      <c r="S27" s="78"/>
      <c r="T27" s="196"/>
      <c r="U27" s="210"/>
      <c r="V27" s="0"/>
    </row>
    <row r="28" customFormat="false" ht="12.75" hidden="false" customHeight="false" outlineLevel="0" collapsed="false">
      <c r="A28" s="84" t="s">
        <v>205</v>
      </c>
      <c r="B28" s="185"/>
      <c r="C28" s="186" t="n">
        <v>3700</v>
      </c>
      <c r="E28" s="211" t="s">
        <v>206</v>
      </c>
      <c r="F28" s="212"/>
      <c r="G28" s="212"/>
      <c r="H28" s="212"/>
      <c r="I28" s="213" t="n">
        <f aca="false">AnnualHours</f>
        <v>1200</v>
      </c>
      <c r="K28" s="214" t="s">
        <v>207</v>
      </c>
      <c r="L28" s="78"/>
      <c r="M28" s="82" t="s">
        <v>114</v>
      </c>
      <c r="N28" s="83" t="n">
        <v>1999</v>
      </c>
      <c r="O28" s="78"/>
      <c r="P28" s="93" t="s">
        <v>123</v>
      </c>
      <c r="R28" s="81" t="s">
        <v>208</v>
      </c>
      <c r="S28" s="78"/>
      <c r="T28" s="196"/>
      <c r="U28" s="215" t="n">
        <f aca="false">C25</f>
        <v>369.041</v>
      </c>
      <c r="V28" s="0"/>
      <c r="W28" s="0"/>
    </row>
    <row r="29" customFormat="false" ht="12.75" hidden="false" customHeight="false" outlineLevel="0" collapsed="false">
      <c r="A29" s="81" t="s">
        <v>209</v>
      </c>
      <c r="B29" s="216" t="n">
        <v>0.06</v>
      </c>
      <c r="C29" s="217" t="n">
        <v>675</v>
      </c>
      <c r="E29" s="211" t="s">
        <v>210</v>
      </c>
      <c r="F29" s="212"/>
      <c r="G29" s="212"/>
      <c r="H29" s="212"/>
      <c r="I29" s="218" t="n">
        <v>4</v>
      </c>
      <c r="K29" s="101" t="s">
        <v>211</v>
      </c>
      <c r="L29" s="78"/>
      <c r="M29" s="78"/>
      <c r="N29" s="219" t="n">
        <v>10</v>
      </c>
      <c r="O29" s="78"/>
      <c r="P29" s="106"/>
      <c r="R29" s="81" t="s">
        <v>212</v>
      </c>
      <c r="S29" s="220"/>
      <c r="T29" s="78"/>
      <c r="U29" s="221" t="n">
        <f aca="false">C41+C42</f>
        <v>22.627</v>
      </c>
      <c r="V29" s="0"/>
      <c r="W29" s="0"/>
    </row>
    <row r="30" customFormat="false" ht="12.75" hidden="false" customHeight="false" outlineLevel="0" collapsed="false">
      <c r="A30" s="84" t="s">
        <v>213</v>
      </c>
      <c r="B30" s="111"/>
      <c r="C30" s="222" t="n">
        <v>500</v>
      </c>
      <c r="E30" s="211" t="s">
        <v>214</v>
      </c>
      <c r="F30" s="212"/>
      <c r="G30" s="212"/>
      <c r="H30" s="212"/>
      <c r="I30" s="223" t="n">
        <v>0</v>
      </c>
      <c r="K30" s="101" t="s">
        <v>215</v>
      </c>
      <c r="L30" s="78"/>
      <c r="M30" s="78"/>
      <c r="N30" s="219" t="n">
        <v>50</v>
      </c>
      <c r="O30" s="78"/>
      <c r="P30" s="106"/>
      <c r="R30" s="169"/>
      <c r="S30" s="126"/>
      <c r="T30" s="126"/>
      <c r="U30" s="224" t="n">
        <f aca="false">SUM(U28:U29)</f>
        <v>391.668</v>
      </c>
      <c r="V30" s="0"/>
      <c r="W30" s="0"/>
    </row>
    <row r="31" customFormat="false" ht="15" hidden="false" customHeight="false" outlineLevel="0" collapsed="false">
      <c r="A31" s="84"/>
      <c r="B31" s="225"/>
      <c r="C31" s="226" t="n">
        <f aca="false">SUM(C16:C30)</f>
        <v>160217.104</v>
      </c>
      <c r="E31" s="169" t="s">
        <v>216</v>
      </c>
      <c r="F31" s="126"/>
      <c r="G31" s="126"/>
      <c r="H31" s="126"/>
      <c r="I31" s="227" t="n">
        <v>0.03</v>
      </c>
      <c r="K31" s="101" t="s">
        <v>217</v>
      </c>
      <c r="L31" s="78"/>
      <c r="M31" s="78"/>
      <c r="N31" s="228" t="n">
        <v>207</v>
      </c>
      <c r="O31" s="78"/>
      <c r="P31" s="118"/>
      <c r="V31" s="0"/>
      <c r="W31" s="0"/>
    </row>
    <row r="32" customFormat="false" ht="12.75" hidden="false" customHeight="false" outlineLevel="0" collapsed="false">
      <c r="A32" s="154" t="s">
        <v>218</v>
      </c>
      <c r="B32" s="111"/>
      <c r="C32" s="229"/>
      <c r="K32" s="101" t="s">
        <v>219</v>
      </c>
      <c r="L32" s="94"/>
      <c r="M32" s="230"/>
      <c r="N32" s="231" t="n">
        <f aca="false">SUM(N29:N31)</f>
        <v>267</v>
      </c>
      <c r="O32" s="78"/>
      <c r="P32" s="106" t="n">
        <f aca="false">AVERAGE('Book Income Statement'!E45:H45)</f>
        <v>296.263859777025</v>
      </c>
      <c r="V32" s="0"/>
      <c r="W32" s="0"/>
    </row>
    <row r="33" customFormat="false" ht="15.75" hidden="false" customHeight="false" outlineLevel="0" collapsed="false">
      <c r="A33" s="84" t="s">
        <v>220</v>
      </c>
      <c r="B33" s="111"/>
      <c r="C33" s="232" t="n">
        <v>0</v>
      </c>
      <c r="E33" s="70" t="s">
        <v>221</v>
      </c>
      <c r="F33" s="233"/>
      <c r="G33" s="71"/>
      <c r="H33" s="71"/>
      <c r="I33" s="72"/>
      <c r="K33" s="101" t="s">
        <v>222</v>
      </c>
      <c r="L33" s="94"/>
      <c r="M33" s="94"/>
      <c r="N33" s="234" t="n">
        <v>70</v>
      </c>
      <c r="O33" s="78"/>
      <c r="P33" s="106" t="n">
        <f aca="false">AVERAGE('Book Income Statement'!E46:H46)</f>
        <v>77.67217297525</v>
      </c>
    </row>
    <row r="34" customFormat="false" ht="12" hidden="false" customHeight="false" outlineLevel="0" collapsed="false">
      <c r="A34" s="84" t="s">
        <v>223</v>
      </c>
      <c r="B34" s="185"/>
      <c r="C34" s="186" t="n">
        <v>908.786</v>
      </c>
      <c r="E34" s="81" t="s">
        <v>224</v>
      </c>
      <c r="F34" s="78"/>
      <c r="G34" s="78"/>
      <c r="H34" s="78"/>
      <c r="I34" s="107" t="s">
        <v>225</v>
      </c>
      <c r="K34" s="101" t="s">
        <v>226</v>
      </c>
      <c r="L34" s="94"/>
      <c r="M34" s="94"/>
      <c r="N34" s="234" t="n">
        <v>138</v>
      </c>
      <c r="O34" s="78"/>
      <c r="P34" s="106"/>
    </row>
    <row r="35" customFormat="false" ht="12" hidden="false" customHeight="false" outlineLevel="0" collapsed="false">
      <c r="A35" s="84" t="s">
        <v>227</v>
      </c>
      <c r="B35" s="111"/>
      <c r="C35" s="186" t="n">
        <v>540</v>
      </c>
      <c r="E35" s="81"/>
      <c r="F35" s="78"/>
      <c r="G35" s="78"/>
      <c r="H35" s="78"/>
      <c r="I35" s="79"/>
      <c r="K35" s="81" t="s">
        <v>228</v>
      </c>
      <c r="L35" s="78"/>
      <c r="M35" s="78"/>
      <c r="N35" s="192" t="n">
        <v>82</v>
      </c>
      <c r="O35" s="78"/>
      <c r="P35" s="106" t="n">
        <f aca="false">AVERAGE('Book Income Statement'!E48:H48)</f>
        <v>90.98740262815</v>
      </c>
    </row>
    <row r="36" customFormat="false" ht="12" hidden="false" customHeight="false" outlineLevel="0" collapsed="false">
      <c r="A36" s="81" t="s">
        <v>229</v>
      </c>
      <c r="B36" s="95"/>
      <c r="C36" s="186" t="n">
        <v>200</v>
      </c>
      <c r="E36" s="81"/>
      <c r="F36" s="235" t="s">
        <v>230</v>
      </c>
      <c r="G36" s="235" t="s">
        <v>231</v>
      </c>
      <c r="H36" s="235" t="s">
        <v>232</v>
      </c>
      <c r="I36" s="236" t="s">
        <v>233</v>
      </c>
      <c r="K36" s="81" t="s">
        <v>234</v>
      </c>
      <c r="L36" s="78"/>
      <c r="M36" s="78"/>
      <c r="N36" s="192" t="n">
        <v>30</v>
      </c>
      <c r="O36" s="78"/>
      <c r="P36" s="106" t="n">
        <f aca="false">AVERAGE('Book Income Statement'!E49:H49)</f>
        <v>33.28807413225</v>
      </c>
    </row>
    <row r="37" customFormat="false" ht="14.25" hidden="false" customHeight="false" outlineLevel="0" collapsed="false">
      <c r="A37" s="84" t="s">
        <v>235</v>
      </c>
      <c r="B37" s="95"/>
      <c r="C37" s="186" t="n">
        <v>186.82</v>
      </c>
      <c r="E37" s="110" t="s">
        <v>236</v>
      </c>
      <c r="F37" s="231" t="n">
        <f aca="false">IF($I$34="Normal",'Debt Amortization'!B19,0)</f>
        <v>0</v>
      </c>
      <c r="G37" s="231" t="n">
        <f aca="false">IF($I$34="Normal",'Debt Amortization'!B20,0)</f>
        <v>0</v>
      </c>
      <c r="H37" s="231" t="n">
        <f aca="false">IF($I$34="Normal",'Debt Amortization'!B21,0)</f>
        <v>0</v>
      </c>
      <c r="I37" s="237" t="n">
        <f aca="false">SUM(F37:H37)</f>
        <v>0</v>
      </c>
      <c r="K37" s="81" t="s">
        <v>237</v>
      </c>
      <c r="L37" s="78"/>
      <c r="M37" s="78"/>
      <c r="N37" s="198" t="n">
        <v>75</v>
      </c>
      <c r="O37" s="78"/>
      <c r="P37" s="118" t="n">
        <f aca="false">AVERAGE('Book Income Statement'!E50:H50)</f>
        <v>83.220185330625</v>
      </c>
    </row>
    <row r="38" customFormat="false" ht="12" hidden="false" customHeight="false" outlineLevel="0" collapsed="false">
      <c r="A38" s="84" t="s">
        <v>238</v>
      </c>
      <c r="B38" s="238" t="n">
        <v>0.0025</v>
      </c>
      <c r="C38" s="186" t="n">
        <v>0</v>
      </c>
      <c r="E38" s="110" t="s">
        <v>239</v>
      </c>
      <c r="F38" s="192" t="n">
        <f aca="false">C61*0.75*0.16</f>
        <v>20924.35416</v>
      </c>
      <c r="G38" s="239" t="n">
        <f aca="false">C61*0.75*0.3</f>
        <v>39233.16405</v>
      </c>
      <c r="H38" s="239" t="n">
        <f aca="false">C61*0.75*0.54</f>
        <v>70619.69529</v>
      </c>
      <c r="I38" s="237" t="n">
        <f aca="false">SUM(F38:H38)</f>
        <v>130777.2135</v>
      </c>
      <c r="K38" s="240" t="s">
        <v>240</v>
      </c>
      <c r="L38" s="78"/>
      <c r="M38" s="78"/>
      <c r="N38" s="241" t="n">
        <f aca="false">SUM(N32:N37)</f>
        <v>662</v>
      </c>
      <c r="O38" s="242"/>
      <c r="P38" s="153" t="n">
        <f aca="false">SUM(P32:P37)</f>
        <v>581.4316948433</v>
      </c>
    </row>
    <row r="39" customFormat="false" ht="12" hidden="false" customHeight="false" outlineLevel="0" collapsed="false">
      <c r="A39" s="84" t="s">
        <v>241</v>
      </c>
      <c r="B39" s="111"/>
      <c r="C39" s="186" t="n">
        <v>617.312</v>
      </c>
      <c r="E39" s="110" t="s">
        <v>242</v>
      </c>
      <c r="F39" s="243" t="n">
        <f aca="false">IF(I34="Normal",3,4)</f>
        <v>4</v>
      </c>
      <c r="G39" s="244" t="n">
        <f aca="false">IF(I34="Normal",20,10)</f>
        <v>10</v>
      </c>
      <c r="H39" s="243" t="n">
        <f aca="false">IF(I34="Normal",0,20)</f>
        <v>20</v>
      </c>
      <c r="I39" s="79" t="n">
        <f aca="false">MAX(F39,G39,H39)</f>
        <v>20</v>
      </c>
      <c r="K39" s="81"/>
      <c r="L39" s="78"/>
      <c r="M39" s="78"/>
      <c r="N39" s="78"/>
      <c r="O39" s="78"/>
      <c r="P39" s="199"/>
    </row>
    <row r="40" customFormat="false" ht="12" hidden="false" customHeight="false" outlineLevel="0" collapsed="false">
      <c r="A40" s="84" t="s">
        <v>243</v>
      </c>
      <c r="B40" s="185"/>
      <c r="C40" s="186" t="n">
        <v>496.457</v>
      </c>
      <c r="E40" s="245" t="s">
        <v>244</v>
      </c>
      <c r="F40" s="230" t="n">
        <f aca="false">IF(I34="Normal",7.75%,6.725%)</f>
        <v>0.06725</v>
      </c>
      <c r="G40" s="230" t="n">
        <f aca="false">IF(I34="Normal",8%,7.57%)</f>
        <v>0.0757</v>
      </c>
      <c r="H40" s="230" t="n">
        <f aca="false">IF(I34="Normal",0,8.18%)</f>
        <v>0.0818</v>
      </c>
      <c r="I40" s="246" t="n">
        <f aca="false">IF(I34="Normal",F40*($F$37/$I$37)+G40*($G$37/$I$37)+H40*($H$37/$I$37),Int1*(Principal1/I38)+Int2*(Principal2/I38)+Int3*(Principal3/I38))</f>
        <v>0.077642</v>
      </c>
      <c r="K40" s="247" t="s">
        <v>245</v>
      </c>
      <c r="L40" s="94"/>
      <c r="M40" s="94"/>
      <c r="N40" s="248" t="n">
        <v>0.03</v>
      </c>
      <c r="O40" s="78"/>
      <c r="P40" s="199"/>
    </row>
    <row r="41" customFormat="false" ht="12" hidden="false" customHeight="false" outlineLevel="0" collapsed="false">
      <c r="A41" s="84" t="s">
        <v>246</v>
      </c>
      <c r="B41" s="185"/>
      <c r="C41" s="186" t="n">
        <v>0</v>
      </c>
      <c r="E41" s="110" t="s">
        <v>247</v>
      </c>
      <c r="F41" s="249" t="n">
        <v>1.3</v>
      </c>
      <c r="G41" s="249" t="n">
        <v>2.5</v>
      </c>
      <c r="H41" s="250" t="n">
        <v>2.5</v>
      </c>
      <c r="I41" s="251" t="n">
        <f aca="false">IF(I34="Normal",F41*($F$37/$I$37)+G41*($G$37/$I$37)+H41*($H$37/$I$37),F41*(Principal1/I38)+G41*(Principal2/I38)+H41*(Principal3/I38))</f>
        <v>2.308</v>
      </c>
      <c r="K41" s="252" t="s">
        <v>248</v>
      </c>
      <c r="L41" s="124"/>
      <c r="M41" s="124"/>
      <c r="N41" s="201" t="n">
        <v>0.03</v>
      </c>
      <c r="O41" s="126"/>
      <c r="P41" s="253"/>
    </row>
    <row r="42" customFormat="false" ht="12" hidden="false" customHeight="false" outlineLevel="0" collapsed="false">
      <c r="A42" s="84" t="s">
        <v>249</v>
      </c>
      <c r="B42" s="185"/>
      <c r="C42" s="186" t="n">
        <v>22.627</v>
      </c>
      <c r="E42" s="84" t="s">
        <v>250</v>
      </c>
      <c r="F42" s="78"/>
      <c r="G42" s="254" t="s">
        <v>251</v>
      </c>
      <c r="H42" s="254"/>
      <c r="I42" s="164"/>
      <c r="K42" s="206"/>
      <c r="L42" s="206"/>
      <c r="M42" s="206"/>
      <c r="N42" s="230"/>
      <c r="O42" s="78"/>
      <c r="P42" s="208"/>
    </row>
    <row r="43" customFormat="false" ht="15.75" hidden="false" customHeight="false" outlineLevel="0" collapsed="false">
      <c r="A43" s="81" t="s">
        <v>252</v>
      </c>
      <c r="B43" s="95"/>
      <c r="C43" s="255" t="n">
        <v>0</v>
      </c>
      <c r="E43" s="256" t="s">
        <v>253</v>
      </c>
      <c r="F43" s="257" t="n">
        <f aca="false">IF(F37&gt;0,'Debt Amortization'!$E$31,'Debt Amortization'!C74)</f>
        <v>2.5</v>
      </c>
      <c r="G43" s="258" t="n">
        <f aca="false">IF(G37&gt;0,'Debt Amortization'!$E$39,'Debt Amortization'!C89)</f>
        <v>7.45</v>
      </c>
      <c r="H43" s="258" t="n">
        <f aca="false">IF(H37&gt;0,'Debt Amortization'!$E$47,'Debt Amortization'!C104)</f>
        <v>15.39</v>
      </c>
      <c r="I43" s="259" t="n">
        <f aca="false">+'Debt Amortization'!E56</f>
        <v>10.9456</v>
      </c>
      <c r="K43" s="260" t="s">
        <v>254</v>
      </c>
      <c r="L43" s="261"/>
      <c r="M43" s="261"/>
      <c r="N43" s="262"/>
      <c r="O43" s="71"/>
      <c r="P43" s="180"/>
    </row>
    <row r="44" customFormat="false" ht="27" hidden="false" customHeight="true" outlineLevel="0" collapsed="false">
      <c r="A44" s="81"/>
      <c r="B44" s="78"/>
      <c r="C44" s="226" t="n">
        <f aca="false">SUM(C33:C43)</f>
        <v>2972.002</v>
      </c>
      <c r="E44" s="174"/>
      <c r="I44" s="263"/>
      <c r="K44" s="81"/>
      <c r="L44" s="264" t="s">
        <v>255</v>
      </c>
      <c r="M44" s="265"/>
      <c r="N44" s="266" t="n">
        <v>1999</v>
      </c>
      <c r="O44" s="267"/>
      <c r="P44" s="93" t="s">
        <v>123</v>
      </c>
    </row>
    <row r="45" customFormat="false" ht="15.75" hidden="false" customHeight="false" outlineLevel="0" collapsed="false">
      <c r="A45" s="81"/>
      <c r="B45" s="78"/>
      <c r="C45" s="268"/>
      <c r="E45" s="70" t="s">
        <v>256</v>
      </c>
      <c r="F45" s="71"/>
      <c r="G45" s="71"/>
      <c r="H45" s="71"/>
      <c r="I45" s="269"/>
      <c r="K45" s="247" t="s">
        <v>257</v>
      </c>
      <c r="L45" s="270" t="n">
        <f aca="false">L11</f>
        <v>744.673</v>
      </c>
      <c r="M45" s="111" t="s">
        <v>258</v>
      </c>
      <c r="N45" s="271" t="n">
        <f aca="false">L45/AnnualHours/NetMW*1000</f>
        <v>1.21678594771242</v>
      </c>
      <c r="O45" s="267" t="s">
        <v>122</v>
      </c>
      <c r="P45" s="272" t="n">
        <f aca="false">AVERAGE('PPA Assumptions &amp;Summary'!D57:G57)</f>
        <v>1.35014869435104</v>
      </c>
    </row>
    <row r="46" customFormat="false" ht="12" hidden="false" customHeight="false" outlineLevel="0" collapsed="false">
      <c r="A46" s="154" t="s">
        <v>259</v>
      </c>
      <c r="B46" s="111"/>
      <c r="C46" s="268"/>
      <c r="E46" s="110" t="s">
        <v>260</v>
      </c>
      <c r="F46" s="78"/>
      <c r="G46" s="78"/>
      <c r="H46" s="78"/>
      <c r="I46" s="273" t="s">
        <v>261</v>
      </c>
      <c r="K46" s="247"/>
      <c r="L46" s="92"/>
      <c r="M46" s="78"/>
      <c r="N46" s="274"/>
      <c r="O46" s="267"/>
      <c r="P46" s="199"/>
    </row>
    <row r="47" customFormat="false" ht="12" hidden="false" customHeight="false" outlineLevel="0" collapsed="false">
      <c r="A47" s="84" t="s">
        <v>262</v>
      </c>
      <c r="B47" s="111"/>
      <c r="C47" s="232" t="n">
        <v>0</v>
      </c>
      <c r="E47" s="110" t="s">
        <v>263</v>
      </c>
      <c r="F47" s="78"/>
      <c r="G47" s="78"/>
      <c r="H47" s="78"/>
      <c r="I47" s="275" t="n">
        <f aca="false">0.5*'Returns Summary'!$D$23</f>
        <v>7516.551123126</v>
      </c>
      <c r="K47" s="247" t="s">
        <v>157</v>
      </c>
      <c r="L47" s="276" t="n">
        <f aca="false">Main_Start*L15/1000</f>
        <v>2296.44</v>
      </c>
      <c r="M47" s="111" t="s">
        <v>258</v>
      </c>
      <c r="N47" s="276" t="n">
        <f aca="false">L47/L15*1000</f>
        <v>19137</v>
      </c>
      <c r="O47" s="267" t="s">
        <v>264</v>
      </c>
      <c r="P47" s="277" t="n">
        <f aca="false">AVERAGE('Book Income Statement'!E33:H33)/L15*1000</f>
        <v>21234.4624889623</v>
      </c>
    </row>
    <row r="48" customFormat="false" ht="12" hidden="false" customHeight="false" outlineLevel="0" collapsed="false">
      <c r="A48" s="84" t="s">
        <v>265</v>
      </c>
      <c r="B48" s="111"/>
      <c r="C48" s="232" t="n">
        <v>0</v>
      </c>
      <c r="E48" s="278" t="s">
        <v>266</v>
      </c>
      <c r="F48" s="126"/>
      <c r="G48" s="279"/>
      <c r="H48" s="126"/>
      <c r="I48" s="280" t="n">
        <v>0</v>
      </c>
      <c r="K48" s="247" t="s">
        <v>162</v>
      </c>
      <c r="L48" s="281" t="n">
        <f aca="false">O16</f>
        <v>0</v>
      </c>
      <c r="M48" s="111" t="s">
        <v>258</v>
      </c>
      <c r="N48" s="281" t="n">
        <f aca="false">L48/L16*1000</f>
        <v>0</v>
      </c>
      <c r="O48" s="267" t="s">
        <v>264</v>
      </c>
      <c r="P48" s="282" t="n">
        <f aca="false">AVERAGE('Book Income Statement'!E32:H32)/L16*1000</f>
        <v>0</v>
      </c>
    </row>
    <row r="49" customFormat="false" ht="12" hidden="false" customHeight="false" outlineLevel="0" collapsed="false">
      <c r="A49" s="84" t="s">
        <v>267</v>
      </c>
      <c r="B49" s="283"/>
      <c r="C49" s="186" t="n">
        <v>0</v>
      </c>
      <c r="E49" s="63" t="s">
        <v>268</v>
      </c>
      <c r="K49" s="247"/>
      <c r="L49" s="270" t="n">
        <f aca="false">SUM(L47:L48)</f>
        <v>2296.44</v>
      </c>
      <c r="M49" s="78"/>
      <c r="N49" s="270" t="n">
        <f aca="false">SUM(N47:N48)</f>
        <v>19137</v>
      </c>
      <c r="O49" s="267"/>
      <c r="P49" s="284" t="n">
        <f aca="false">SUM(P47:P48)</f>
        <v>21234.4624889623</v>
      </c>
    </row>
    <row r="50" customFormat="false" ht="17.25" hidden="false" customHeight="false" outlineLevel="0" collapsed="false">
      <c r="A50" s="81" t="s">
        <v>269</v>
      </c>
      <c r="B50" s="95"/>
      <c r="C50" s="285" t="n">
        <f aca="false">+IF(I46="Financing",I47,0)</f>
        <v>0</v>
      </c>
      <c r="E50" s="70" t="s">
        <v>270</v>
      </c>
      <c r="F50" s="71"/>
      <c r="G50" s="71"/>
      <c r="H50" s="71"/>
      <c r="I50" s="72"/>
      <c r="K50" s="247"/>
      <c r="L50" s="276"/>
      <c r="M50" s="78"/>
      <c r="N50" s="276"/>
      <c r="O50" s="267"/>
      <c r="P50" s="277"/>
    </row>
    <row r="51" customFormat="false" ht="12" hidden="false" customHeight="false" outlineLevel="0" collapsed="false">
      <c r="A51" s="81"/>
      <c r="B51" s="111"/>
      <c r="C51" s="213" t="n">
        <f aca="false">SUM(C47:C50)</f>
        <v>0</v>
      </c>
      <c r="E51" s="286" t="s">
        <v>271</v>
      </c>
      <c r="F51" s="78"/>
      <c r="G51" s="78" t="s">
        <v>272</v>
      </c>
      <c r="H51" s="287" t="str">
        <f aca="false">+IF(I51=0,"",IF(OR(I51&gt;I15,I51&lt;MAX('Project Assumptions'!F39:H39)),"Error","-"))</f>
        <v/>
      </c>
      <c r="I51" s="168"/>
      <c r="K51" s="247" t="s">
        <v>273</v>
      </c>
      <c r="L51" s="276" t="n">
        <f aca="false">Labor+Fixed+N24+N22</f>
        <v>1423.47058823529</v>
      </c>
      <c r="M51" s="111" t="s">
        <v>258</v>
      </c>
      <c r="N51" s="274" t="n">
        <f aca="false">L51/NetMW/12</f>
        <v>0.23259323337178</v>
      </c>
      <c r="O51" s="267" t="s">
        <v>274</v>
      </c>
      <c r="P51" s="272" t="n">
        <f aca="false">AVERAGE('Book Income Statement'!E42:H42)/NetMW/12</f>
        <v>0.287127276047135</v>
      </c>
    </row>
    <row r="52" customFormat="false" ht="12" hidden="false" customHeight="false" outlineLevel="0" collapsed="false">
      <c r="A52" s="81"/>
      <c r="B52" s="111"/>
      <c r="C52" s="213"/>
      <c r="E52" s="81"/>
      <c r="F52" s="78"/>
      <c r="G52" s="78" t="s">
        <v>275</v>
      </c>
      <c r="H52" s="78"/>
      <c r="I52" s="288"/>
      <c r="K52" s="247" t="s">
        <v>276</v>
      </c>
      <c r="L52" s="276" t="n">
        <f aca="false">N38</f>
        <v>662</v>
      </c>
      <c r="M52" s="111" t="s">
        <v>258</v>
      </c>
      <c r="N52" s="274" t="n">
        <f aca="false">L52/NetMW/12</f>
        <v>0.108169934640523</v>
      </c>
      <c r="O52" s="267" t="s">
        <v>274</v>
      </c>
      <c r="P52" s="272" t="n">
        <f aca="false">(AVERAGE('Book Income Statement'!E51:H51)-AVERAGE('Book Income Statement'!E53:H53))/NetMW/12</f>
        <v>0.0798938691783742</v>
      </c>
    </row>
    <row r="53" customFormat="false" ht="12" hidden="false" customHeight="false" outlineLevel="0" collapsed="false">
      <c r="A53" s="154" t="s">
        <v>277</v>
      </c>
      <c r="B53" s="95"/>
      <c r="C53" s="289"/>
      <c r="E53" s="169"/>
      <c r="F53" s="126"/>
      <c r="G53" s="126" t="s">
        <v>278</v>
      </c>
      <c r="H53" s="126"/>
      <c r="I53" s="290"/>
      <c r="K53" s="247" t="s">
        <v>279</v>
      </c>
      <c r="L53" s="276" t="n">
        <f aca="false">'Book Income Statement'!E53/(1.03^2)</f>
        <v>231.507546875295</v>
      </c>
      <c r="M53" s="111" t="s">
        <v>258</v>
      </c>
      <c r="N53" s="274" t="n">
        <f aca="false">L53/NetMW/12</f>
        <v>0.0378280305351789</v>
      </c>
      <c r="O53" s="267" t="s">
        <v>274</v>
      </c>
      <c r="P53" s="291" t="n">
        <f aca="false">AVERAGE('Book Income Statement'!E53:H53)/NetMW/12</f>
        <v>0.0401317575947712</v>
      </c>
    </row>
    <row r="54" customFormat="false" ht="14.25" hidden="false" customHeight="false" outlineLevel="0" collapsed="false">
      <c r="A54" s="81" t="s">
        <v>280</v>
      </c>
      <c r="B54" s="292" t="n">
        <v>0.064</v>
      </c>
      <c r="C54" s="293" t="n">
        <f aca="false">-6.077+11186.589</f>
        <v>11180.512</v>
      </c>
      <c r="E54" s="78"/>
      <c r="F54" s="78"/>
      <c r="G54" s="78"/>
      <c r="H54" s="78"/>
      <c r="I54" s="294"/>
      <c r="K54" s="247" t="s">
        <v>281</v>
      </c>
      <c r="L54" s="281" t="n">
        <f aca="false">'Book Income Statement'!E58/(1.03^2)</f>
        <v>0</v>
      </c>
      <c r="M54" s="111" t="s">
        <v>258</v>
      </c>
      <c r="N54" s="295" t="n">
        <f aca="false">L54/NetMW/12</f>
        <v>0</v>
      </c>
      <c r="O54" s="267" t="s">
        <v>274</v>
      </c>
      <c r="P54" s="296" t="n">
        <f aca="false">AVERAGE('Book Income Statement'!E58:H58)/NetMW/12</f>
        <v>0</v>
      </c>
    </row>
    <row r="55" customFormat="false" ht="15.75" hidden="false" customHeight="false" outlineLevel="0" collapsed="false">
      <c r="A55" s="81"/>
      <c r="B55" s="297"/>
      <c r="C55" s="213" t="n">
        <f aca="false">SUM(C54)</f>
        <v>11180.512</v>
      </c>
      <c r="E55" s="74" t="s">
        <v>282</v>
      </c>
      <c r="F55" s="71"/>
      <c r="G55" s="71"/>
      <c r="H55" s="71"/>
      <c r="I55" s="72"/>
      <c r="K55" s="247"/>
      <c r="L55" s="270" t="n">
        <f aca="false">SUM(L51:L54)</f>
        <v>2316.97813511059</v>
      </c>
      <c r="M55" s="111"/>
      <c r="N55" s="271" t="n">
        <f aca="false">SUM(N51:N54)</f>
        <v>0.378591198547482</v>
      </c>
      <c r="O55" s="267"/>
      <c r="P55" s="272" t="n">
        <f aca="false">SUM(P51:P54)</f>
        <v>0.40715290282028</v>
      </c>
    </row>
    <row r="56" customFormat="false" ht="12" hidden="false" customHeight="false" outlineLevel="0" collapsed="false">
      <c r="A56" s="81"/>
      <c r="B56" s="78"/>
      <c r="C56" s="79"/>
      <c r="E56" s="81"/>
      <c r="F56" s="78"/>
      <c r="G56" s="78" t="s">
        <v>283</v>
      </c>
      <c r="H56" s="78"/>
      <c r="I56" s="298" t="n">
        <v>0.12</v>
      </c>
      <c r="K56" s="299" t="s">
        <v>284</v>
      </c>
      <c r="L56" s="300" t="n">
        <f aca="false">L45+L49+L55</f>
        <v>5358.09113511059</v>
      </c>
      <c r="M56" s="301" t="s">
        <v>258</v>
      </c>
      <c r="N56" s="302"/>
      <c r="O56" s="303"/>
      <c r="P56" s="304"/>
    </row>
    <row r="57" customFormat="false" ht="12" hidden="false" customHeight="false" outlineLevel="0" collapsed="false">
      <c r="A57" s="84" t="s">
        <v>285</v>
      </c>
      <c r="B57" s="305"/>
      <c r="C57" s="306" t="n">
        <v>0</v>
      </c>
      <c r="E57" s="81"/>
      <c r="F57" s="78"/>
      <c r="G57" s="307" t="s">
        <v>286</v>
      </c>
      <c r="H57" s="78"/>
      <c r="I57" s="308" t="s">
        <v>287</v>
      </c>
      <c r="K57" s="206"/>
      <c r="L57" s="206"/>
      <c r="M57" s="206"/>
      <c r="N57" s="230" t="s">
        <v>288</v>
      </c>
      <c r="P57" s="208"/>
    </row>
    <row r="58" customFormat="false" ht="15.75" hidden="false" customHeight="false" outlineLevel="0" collapsed="false">
      <c r="A58" s="84" t="s">
        <v>289</v>
      </c>
      <c r="B58" s="305"/>
      <c r="C58" s="285" t="n">
        <f aca="false">B58*C21</f>
        <v>0</v>
      </c>
      <c r="E58" s="309" t="s">
        <v>290</v>
      </c>
      <c r="F58" s="310"/>
      <c r="G58" s="235" t="s">
        <v>291</v>
      </c>
      <c r="H58" s="310"/>
      <c r="I58" s="236" t="s">
        <v>291</v>
      </c>
      <c r="K58" s="70" t="s">
        <v>292</v>
      </c>
      <c r="L58" s="75"/>
      <c r="M58" s="75"/>
      <c r="N58" s="71"/>
      <c r="O58" s="71"/>
      <c r="P58" s="180"/>
    </row>
    <row r="59" customFormat="false" ht="12" hidden="false" customHeight="false" outlineLevel="0" collapsed="false">
      <c r="A59" s="84" t="s">
        <v>293</v>
      </c>
      <c r="B59" s="311"/>
      <c r="C59" s="213" t="n">
        <f aca="false">SUM(C57:C58)</f>
        <v>0</v>
      </c>
      <c r="E59" s="312" t="n">
        <v>10</v>
      </c>
      <c r="F59" s="111"/>
      <c r="G59" s="313" t="n">
        <f aca="false">'Returns Summary'!$L$8</f>
        <v>0.193518841563366</v>
      </c>
      <c r="H59" s="97"/>
      <c r="I59" s="314" t="n">
        <f aca="false">'Returns Summary'!$L$12</f>
        <v>0.144912983665767</v>
      </c>
      <c r="K59" s="169" t="s">
        <v>294</v>
      </c>
      <c r="L59" s="126"/>
      <c r="M59" s="126"/>
      <c r="N59" s="315" t="n">
        <f aca="false">529.65/3*0</f>
        <v>0</v>
      </c>
      <c r="O59" s="126"/>
      <c r="P59" s="316"/>
    </row>
    <row r="60" customFormat="false" ht="12" hidden="false" customHeight="false" outlineLevel="0" collapsed="false">
      <c r="A60" s="81"/>
      <c r="B60" s="95"/>
      <c r="C60" s="289"/>
      <c r="E60" s="312" t="n">
        <v>15</v>
      </c>
      <c r="F60" s="111"/>
      <c r="G60" s="313" t="n">
        <f aca="false">'Returns Summary'!$Q$8</f>
        <v>0.245698123285151</v>
      </c>
      <c r="H60" s="97"/>
      <c r="I60" s="314" t="n">
        <f aca="false">'Returns Summary'!$Q$12</f>
        <v>0.202072716000879</v>
      </c>
      <c r="K60" s="205"/>
      <c r="L60" s="206"/>
      <c r="M60" s="206"/>
      <c r="N60" s="317"/>
    </row>
    <row r="61" customFormat="false" ht="15.75" hidden="false" customHeight="false" outlineLevel="0" collapsed="false">
      <c r="A61" s="318" t="s">
        <v>295</v>
      </c>
      <c r="B61" s="319"/>
      <c r="C61" s="320" t="n">
        <f aca="false">C31+C44+C51+C55+C59</f>
        <v>174369.618</v>
      </c>
      <c r="E61" s="312" t="n">
        <v>20</v>
      </c>
      <c r="F61" s="111"/>
      <c r="G61" s="313" t="n">
        <f aca="false">'Returns Summary'!$W$8</f>
        <v>0.257197008974528</v>
      </c>
      <c r="H61" s="97"/>
      <c r="I61" s="314" t="n">
        <f aca="false">'Returns Summary'!$W$12</f>
        <v>0.212674651927521</v>
      </c>
      <c r="K61" s="70" t="s">
        <v>296</v>
      </c>
      <c r="L61" s="71"/>
      <c r="M61" s="71"/>
      <c r="N61" s="71"/>
      <c r="O61" s="71"/>
      <c r="P61" s="72"/>
    </row>
    <row r="62" customFormat="false" ht="12" hidden="false" customHeight="false" outlineLevel="0" collapsed="false">
      <c r="A62" s="206"/>
      <c r="B62" s="206"/>
      <c r="C62" s="206"/>
      <c r="E62" s="312"/>
      <c r="F62" s="111"/>
      <c r="G62" s="313"/>
      <c r="H62" s="97"/>
      <c r="I62" s="314"/>
      <c r="K62" s="84" t="s">
        <v>297</v>
      </c>
      <c r="L62" s="78"/>
      <c r="M62" s="78"/>
      <c r="N62" s="321" t="n">
        <v>0.35</v>
      </c>
      <c r="O62" s="78"/>
      <c r="P62" s="93" t="s">
        <v>123</v>
      </c>
    </row>
    <row r="63" customFormat="false" ht="15.75" hidden="false" customHeight="false" outlineLevel="0" collapsed="false">
      <c r="A63" s="70" t="s">
        <v>298</v>
      </c>
      <c r="B63" s="71"/>
      <c r="C63" s="72"/>
      <c r="E63" s="81"/>
      <c r="F63" s="78"/>
      <c r="G63" s="307" t="s">
        <v>286</v>
      </c>
      <c r="H63" s="78"/>
      <c r="I63" s="308" t="s">
        <v>287</v>
      </c>
      <c r="K63" s="84" t="s">
        <v>299</v>
      </c>
      <c r="L63" s="78"/>
      <c r="M63" s="78"/>
      <c r="N63" s="322" t="n">
        <v>0.0825</v>
      </c>
      <c r="O63" s="78"/>
      <c r="P63" s="79"/>
    </row>
    <row r="64" customFormat="false" ht="12" hidden="false" customHeight="false" outlineLevel="0" collapsed="false">
      <c r="A64" s="84" t="s">
        <v>300</v>
      </c>
      <c r="B64" s="78"/>
      <c r="C64" s="107" t="s">
        <v>301</v>
      </c>
      <c r="E64" s="309" t="s">
        <v>290</v>
      </c>
      <c r="F64" s="310"/>
      <c r="G64" s="235" t="s">
        <v>302</v>
      </c>
      <c r="H64" s="310"/>
      <c r="I64" s="236" t="s">
        <v>302</v>
      </c>
      <c r="K64" s="81" t="s">
        <v>303</v>
      </c>
      <c r="L64" s="78"/>
      <c r="M64" s="78"/>
      <c r="N64" s="323" t="n">
        <f aca="false">(1-N63)*N62+N63</f>
        <v>0.403625</v>
      </c>
      <c r="O64" s="78"/>
      <c r="P64" s="106" t="n">
        <f aca="false">AVERAGE('Book Income Statement'!E74:H74)</f>
        <v>4446.39853611201</v>
      </c>
    </row>
    <row r="65" customFormat="false" ht="12" hidden="false" customHeight="false" outlineLevel="0" collapsed="false">
      <c r="A65" s="84" t="s">
        <v>304</v>
      </c>
      <c r="B65" s="78"/>
      <c r="C65" s="324" t="n">
        <v>2.5</v>
      </c>
      <c r="E65" s="312" t="n">
        <v>10</v>
      </c>
      <c r="F65" s="111"/>
      <c r="G65" s="325" t="n">
        <f aca="false">'Returns Summary'!$L$9</f>
        <v>19015.8377753102</v>
      </c>
      <c r="H65" s="325"/>
      <c r="I65" s="326" t="n">
        <f aca="false">'Returns Summary'!$L$13</f>
        <v>5457.05879037246</v>
      </c>
      <c r="K65" s="84"/>
      <c r="L65" s="78"/>
      <c r="M65" s="78"/>
      <c r="N65" s="78"/>
      <c r="O65" s="78"/>
      <c r="P65" s="106"/>
    </row>
    <row r="66" customFormat="false" ht="12" hidden="false" customHeight="false" outlineLevel="0" collapsed="false">
      <c r="A66" s="84" t="s">
        <v>305</v>
      </c>
      <c r="B66" s="78"/>
      <c r="C66" s="107" t="s">
        <v>306</v>
      </c>
      <c r="E66" s="312" t="n">
        <v>15</v>
      </c>
      <c r="F66" s="111"/>
      <c r="G66" s="325" t="n">
        <f aca="false">'Returns Summary'!$Q$9</f>
        <v>52561.8851627808</v>
      </c>
      <c r="H66" s="325"/>
      <c r="I66" s="326" t="n">
        <f aca="false">'Returns Summary'!$Q$13</f>
        <v>28797.5529990294</v>
      </c>
      <c r="K66" s="84" t="s">
        <v>307</v>
      </c>
      <c r="L66" s="78"/>
      <c r="M66" s="78"/>
      <c r="N66" s="327" t="n">
        <v>0</v>
      </c>
      <c r="O66" s="78"/>
      <c r="P66" s="106"/>
    </row>
    <row r="67" customFormat="false" ht="12" hidden="false" customHeight="false" outlineLevel="0" collapsed="false">
      <c r="A67" s="84" t="s">
        <v>308</v>
      </c>
      <c r="B67" s="78"/>
      <c r="C67" s="107" t="s">
        <v>306</v>
      </c>
      <c r="E67" s="328" t="n">
        <v>20</v>
      </c>
      <c r="F67" s="329"/>
      <c r="G67" s="330" t="n">
        <f aca="false">'Returns Summary'!$W$9</f>
        <v>71958.0467291002</v>
      </c>
      <c r="H67" s="330"/>
      <c r="I67" s="331" t="n">
        <f aca="false">'Returns Summary'!$W$13</f>
        <v>38525.1130126154</v>
      </c>
      <c r="K67" s="84" t="s">
        <v>309</v>
      </c>
      <c r="L67" s="78"/>
      <c r="M67" s="78"/>
      <c r="N67" s="327" t="n">
        <v>0</v>
      </c>
      <c r="O67" s="78"/>
      <c r="P67" s="106" t="n">
        <f aca="false">AVERAGE('Tax Calculations'!E10:H10)</f>
        <v>0</v>
      </c>
    </row>
    <row r="68" customFormat="false" ht="12" hidden="false" customHeight="false" outlineLevel="0" collapsed="false">
      <c r="A68" s="84" t="s">
        <v>310</v>
      </c>
      <c r="B68" s="78"/>
      <c r="C68" s="107" t="n">
        <v>15</v>
      </c>
      <c r="E68" s="332"/>
      <c r="F68" s="333"/>
      <c r="G68" s="325"/>
      <c r="H68" s="325"/>
      <c r="I68" s="325"/>
      <c r="K68" s="84" t="s">
        <v>311</v>
      </c>
      <c r="L68" s="78"/>
      <c r="M68" s="78"/>
      <c r="N68" s="327" t="n">
        <v>0.06</v>
      </c>
      <c r="O68" s="78"/>
      <c r="P68" s="96"/>
    </row>
    <row r="69" customFormat="false" ht="12" hidden="false" customHeight="false" outlineLevel="0" collapsed="false">
      <c r="A69" s="84" t="s">
        <v>312</v>
      </c>
      <c r="B69" s="78"/>
      <c r="C69" s="107" t="s">
        <v>313</v>
      </c>
      <c r="K69" s="165" t="s">
        <v>314</v>
      </c>
      <c r="L69" s="126"/>
      <c r="M69" s="334" t="n">
        <v>0</v>
      </c>
      <c r="N69" s="335" t="n">
        <v>0</v>
      </c>
      <c r="O69" s="126"/>
      <c r="P69" s="336"/>
    </row>
    <row r="70" customFormat="false" ht="12" hidden="false" customHeight="false" outlineLevel="0" collapsed="false">
      <c r="A70" s="81" t="s">
        <v>315</v>
      </c>
      <c r="B70" s="78"/>
      <c r="C70" s="107" t="s">
        <v>316</v>
      </c>
      <c r="P70" s="65"/>
    </row>
    <row r="71" customFormat="false" ht="12" hidden="false" customHeight="false" outlineLevel="0" collapsed="false">
      <c r="A71" s="84" t="s">
        <v>317</v>
      </c>
      <c r="B71" s="78"/>
      <c r="C71" s="107" t="s">
        <v>316</v>
      </c>
    </row>
    <row r="72" customFormat="false" ht="12" hidden="false" customHeight="false" outlineLevel="0" collapsed="false">
      <c r="A72" s="81" t="s">
        <v>318</v>
      </c>
      <c r="B72" s="78"/>
      <c r="C72" s="337" t="n">
        <v>0</v>
      </c>
    </row>
    <row r="73" customFormat="false" ht="12" hidden="false" customHeight="false" outlineLevel="0" collapsed="false">
      <c r="A73" s="286" t="s">
        <v>319</v>
      </c>
      <c r="B73" s="78"/>
      <c r="C73" s="79"/>
    </row>
    <row r="74" customFormat="false" ht="12" hidden="false" customHeight="false" outlineLevel="0" collapsed="false">
      <c r="A74" s="81" t="s">
        <v>320</v>
      </c>
      <c r="B74" s="78"/>
      <c r="C74" s="338" t="n">
        <v>1</v>
      </c>
    </row>
    <row r="75" customFormat="false" ht="12" hidden="false" customHeight="false" outlineLevel="0" collapsed="false">
      <c r="A75" s="81" t="s">
        <v>321</v>
      </c>
      <c r="B75" s="78"/>
      <c r="C75" s="173" t="n">
        <v>0.5</v>
      </c>
    </row>
    <row r="76" customFormat="false" ht="12" hidden="false" customHeight="false" outlineLevel="0" collapsed="false">
      <c r="A76" s="286" t="s">
        <v>322</v>
      </c>
      <c r="B76" s="78"/>
      <c r="C76" s="339" t="s">
        <v>323</v>
      </c>
    </row>
    <row r="77" customFormat="false" ht="12" hidden="false" customHeight="false" outlineLevel="0" collapsed="false">
      <c r="A77" s="169" t="s">
        <v>324</v>
      </c>
      <c r="B77" s="126"/>
      <c r="C77" s="340" t="s">
        <v>316</v>
      </c>
    </row>
    <row r="78" customFormat="false" ht="12" hidden="false" customHeight="false" outlineLevel="0" collapsed="false">
      <c r="A78" s="341"/>
    </row>
    <row r="79" customFormat="false" ht="12" hidden="false" customHeight="false" outlineLevel="0" collapsed="false">
      <c r="A79" s="341"/>
      <c r="J79" s="342"/>
      <c r="O79" s="343"/>
    </row>
    <row r="80" customFormat="false" ht="12" hidden="false" customHeight="false" outlineLevel="0" collapsed="false">
      <c r="A80" s="341"/>
      <c r="J80" s="344"/>
    </row>
    <row r="81" customFormat="false" ht="12" hidden="false" customHeight="false" outlineLevel="0" collapsed="false">
      <c r="A81" s="341"/>
      <c r="J81" s="345"/>
    </row>
    <row r="82" customFormat="false" ht="12" hidden="false" customHeight="false" outlineLevel="0" collapsed="false">
      <c r="J82" s="346"/>
    </row>
    <row r="83" customFormat="false" ht="12.75" hidden="false" customHeight="false" outlineLevel="0" collapsed="false">
      <c r="J83" s="347"/>
    </row>
    <row r="84" customFormat="false" ht="16.5" hidden="false" customHeight="false" outlineLevel="0" collapsed="false">
      <c r="E84" s="348" t="s">
        <v>325</v>
      </c>
      <c r="F84" s="349"/>
      <c r="G84" s="349"/>
      <c r="H84" s="350"/>
      <c r="I84" s="351"/>
    </row>
    <row r="85" customFormat="false" ht="12" hidden="false" customHeight="false" outlineLevel="0" collapsed="false">
      <c r="D85" s="63" t="s">
        <v>326</v>
      </c>
      <c r="E85" s="352"/>
      <c r="F85" s="78"/>
      <c r="G85" s="78"/>
      <c r="H85" s="353"/>
      <c r="I85" s="354"/>
    </row>
    <row r="86" customFormat="false" ht="12" hidden="false" customHeight="false" outlineLevel="0" collapsed="false">
      <c r="D86" s="63" t="s">
        <v>327</v>
      </c>
      <c r="E86" s="352" t="s">
        <v>328</v>
      </c>
      <c r="F86" s="276" t="n">
        <f aca="false">C61</f>
        <v>174369.618</v>
      </c>
      <c r="G86" s="78"/>
      <c r="H86" s="353"/>
    </row>
    <row r="87" customFormat="false" ht="12.75" hidden="false" customHeight="false" outlineLevel="0" collapsed="false">
      <c r="A87" s="1"/>
      <c r="B87" s="355" t="s">
        <v>329</v>
      </c>
      <c r="C87" s="1"/>
      <c r="E87" s="352" t="s">
        <v>330</v>
      </c>
      <c r="F87" s="356" t="n">
        <f aca="false">F86-C43</f>
        <v>174369.618</v>
      </c>
      <c r="G87" s="78"/>
      <c r="H87" s="353"/>
    </row>
    <row r="88" customFormat="false" ht="23.25" hidden="false" customHeight="false" outlineLevel="0" collapsed="false">
      <c r="A88" s="1"/>
      <c r="B88" s="2" t="s">
        <v>331</v>
      </c>
      <c r="C88" s="1"/>
      <c r="D88" s="357" t="s">
        <v>288</v>
      </c>
      <c r="E88" s="358" t="s">
        <v>332</v>
      </c>
      <c r="F88" s="359" t="n">
        <f aca="false">C43</f>
        <v>0</v>
      </c>
      <c r="G88" s="360"/>
      <c r="H88" s="361"/>
    </row>
    <row r="89" customFormat="false" ht="12.75" hidden="false" customHeight="false" outlineLevel="0" collapsed="false">
      <c r="A89" s="1"/>
      <c r="B89" s="2" t="s">
        <v>333</v>
      </c>
      <c r="C89" s="1"/>
      <c r="D89" s="357" t="s">
        <v>334</v>
      </c>
      <c r="E89" s="174"/>
      <c r="F89" s="362"/>
      <c r="G89" s="362"/>
    </row>
    <row r="90" customFormat="false" ht="16.5" hidden="false" customHeight="false" outlineLevel="0" collapsed="false">
      <c r="E90" s="363" t="s">
        <v>335</v>
      </c>
      <c r="F90" s="364"/>
      <c r="G90" s="365" t="s">
        <v>336</v>
      </c>
      <c r="H90" s="366"/>
    </row>
    <row r="91" customFormat="false" ht="16.5" hidden="false" customHeight="false" outlineLevel="0" collapsed="false">
      <c r="E91" s="363" t="n">
        <v>12</v>
      </c>
      <c r="F91" s="364" t="n">
        <v>16</v>
      </c>
      <c r="G91" s="367" t="n">
        <v>8</v>
      </c>
      <c r="H91" s="368" t="n">
        <v>10</v>
      </c>
    </row>
    <row r="92" customFormat="false" ht="13.5" hidden="false" customHeight="false" outlineLevel="0" collapsed="false">
      <c r="E92" s="369" t="n">
        <f aca="false">E91*'Book Income Statement'!$C$78-$C$8-'PPA Assumptions &amp;Summary'!$B$13</f>
        <v>-6851.34985175398</v>
      </c>
      <c r="F92" s="369" t="n">
        <f aca="false">F91*'Book Income Statement'!$C$78-$C$8-'PPA Assumptions &amp;Summary'!$B$13</f>
        <v>5396.86995639548</v>
      </c>
      <c r="G92" s="370" t="n">
        <f aca="false">G91*'Book Income Statement'!$C$77-C8-'PPA Assumptions &amp;Summary'!$B$13</f>
        <v>29175.0646431048</v>
      </c>
      <c r="H92" s="370" t="n">
        <f aca="false">H91*'Book Income Statement'!$C$77-C8-'PPA Assumptions &amp;Summary'!$B$13</f>
        <v>47367.8331229315</v>
      </c>
      <c r="I92" s="332"/>
    </row>
    <row r="93" customFormat="false" ht="12" hidden="false" customHeight="false" outlineLevel="0" collapsed="false">
      <c r="I93" s="175"/>
    </row>
    <row r="94" customFormat="false" ht="12" hidden="false" customHeight="false" outlineLevel="0" collapsed="false">
      <c r="E94" s="63" t="s">
        <v>337</v>
      </c>
      <c r="G94" s="332"/>
    </row>
    <row r="95" customFormat="false" ht="12" hidden="false" customHeight="false" outlineLevel="0" collapsed="false">
      <c r="E95" s="371" t="s">
        <v>338</v>
      </c>
      <c r="F95" s="372"/>
      <c r="G95" s="175"/>
      <c r="H95" s="372"/>
    </row>
    <row r="106" customFormat="false" ht="12" hidden="false" customHeight="false" outlineLevel="0" collapsed="false">
      <c r="K106" s="63" t="s">
        <v>339</v>
      </c>
    </row>
    <row r="107" customFormat="false" ht="12" hidden="false" customHeight="false" outlineLevel="0" collapsed="false">
      <c r="K107" s="63" t="s">
        <v>340</v>
      </c>
    </row>
    <row r="108" customFormat="false" ht="12" hidden="false" customHeight="false" outlineLevel="0" collapsed="false">
      <c r="K108" s="63" t="s">
        <v>341</v>
      </c>
    </row>
    <row r="109" customFormat="false" ht="12" hidden="false" customHeight="false" outlineLevel="0" collapsed="false">
      <c r="K109" s="63" t="s">
        <v>342</v>
      </c>
      <c r="N109" s="373"/>
    </row>
    <row r="110" customFormat="false" ht="12" hidden="false" customHeight="false" outlineLevel="0" collapsed="false">
      <c r="K110" s="63" t="s">
        <v>343</v>
      </c>
      <c r="N110" s="373"/>
    </row>
    <row r="111" customFormat="false" ht="12" hidden="false" customHeight="false" outlineLevel="0" collapsed="false">
      <c r="L111" s="373"/>
      <c r="M111" s="373"/>
      <c r="N111" s="373"/>
    </row>
    <row r="65533" customFormat="false" ht="12" hidden="false" customHeight="false" outlineLevel="0" collapsed="false">
      <c r="D65533" s="357" t="s">
        <v>288</v>
      </c>
    </row>
  </sheetData>
  <mergeCells count="3">
    <mergeCell ref="A2:U2"/>
    <mergeCell ref="A3:U3"/>
    <mergeCell ref="A4:U4"/>
  </mergeCells>
  <dataValidations count="9">
    <dataValidation allowBlank="true" errorStyle="stop" operator="between" showDropDown="false" showErrorMessage="true" showInputMessage="false" sqref="I46" type="list">
      <formula1>"Financing,Operations"</formula1>
      <formula2>0</formula2>
    </dataValidation>
    <dataValidation allowBlank="true" errorStyle="stop" operator="between" showDropDown="false" showErrorMessage="true" showInputMessage="false" sqref="C66:C67 C70:C71 C77" type="list">
      <formula1>"Yes,No"</formula1>
      <formula2>0</formula2>
    </dataValidation>
    <dataValidation allowBlank="true" errorStyle="stop" operator="between" showDropDown="false" showErrorMessage="true" showInputMessage="false" sqref="C64" type="list">
      <formula1>"Fixed,Index"</formula1>
      <formula2>0</formula2>
    </dataValidation>
    <dataValidation allowBlank="true" errorStyle="stop" operator="between" showDropDown="false" showErrorMessage="true" showInputMessage="false" sqref="C69" type="list">
      <formula1>"Assumed,Dispatched"</formula1>
      <formula2>0</formula2>
    </dataValidation>
    <dataValidation allowBlank="true" errorStyle="stop" operator="between" showDropDown="false" showErrorMessage="true" showInputMessage="false" sqref="G42:H42" type="list">
      <formula1>"Interest Only,No P&amp;I"</formula1>
      <formula2>0</formula2>
    </dataValidation>
    <dataValidation allowBlank="true" errorStyle="stop" operator="between" showDropDown="false" showErrorMessage="true" showInputMessage="false" sqref="B29" type="list">
      <formula1>"0,.0075,.015,.035,.06"</formula1>
      <formula2>0</formula2>
    </dataValidation>
    <dataValidation allowBlank="true" errorStyle="stop" operator="between" showDropDown="false" showErrorMessage="true" showInputMessage="false" sqref="C65" type="list">
      <formula1>"0,2.5,N/A"</formula1>
      <formula2>0</formula2>
    </dataValidation>
    <dataValidation allowBlank="true" errorStyle="stop" operator="between" showDropDown="false" showErrorMessage="true" showInputMessage="false" sqref="I34" type="list">
      <formula1>"Normal,Alternate"</formula1>
      <formula2>0</formula2>
    </dataValidation>
    <dataValidation allowBlank="true" errorStyle="stop" operator="between" showDropDown="false" showErrorMessage="true" showInputMessage="false" sqref="C76" type="list">
      <formula1>"Kaiser Peak,ECT Peak Curve,Marginal Cost Curve"</formula1>
      <formula2>0</formula2>
    </dataValidation>
  </dataValidations>
  <printOptions headings="false" gridLines="false" gridLinesSet="true" horizontalCentered="false" verticalCentered="false"/>
  <pageMargins left="0.25" right="0.25" top="0.25" bottom="0.5" header="0.511811023622047" footer="0"/>
  <pageSetup paperSize="1" scale="100" fitToWidth="1" fitToHeight="1" pageOrder="overThenDown" orientation="landscape" blackAndWhite="false" draft="false" cellComments="none" horizontalDpi="300" verticalDpi="300" copies="1"/>
  <headerFooter differentFirst="false" differentOddEven="false">
    <oddHeader/>
    <oddFooter>&amp;L&amp;D   &amp;T&amp;R&amp;F
&amp;A &amp;P</oddFooter>
  </headerFooter>
  <colBreaks count="1" manualBreakCount="1">
    <brk id="14" man="true" max="65535" min="0"/>
  </colBreaks>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505">
              <controlPr defaultSize="0" print="false" autoFill="0" autoPict="0" macro="Module5.Print1">
                <anchor moveWithCells="true" sizeWithCells="false">
                  <from>
                    <xdr:col>0</xdr:col>
                    <xdr:colOff>181440</xdr:colOff>
                    <xdr:row>0</xdr:row>
                    <xdr:rowOff>85680</xdr:rowOff>
                  </from>
                  <to>
                    <xdr:col>1</xdr:col>
                    <xdr:colOff>-853560</xdr:colOff>
                    <xdr:row>3</xdr:row>
                    <xdr:rowOff>9720</xdr:rowOff>
                  </to>
                </anchor>
              </controlPr>
            </control>
          </mc:Choice>
        </mc:AlternateContent>
        <mc:AlternateContent xmlns:mc="http://schemas.openxmlformats.org/markup-compatibility/2006">
          <mc:Choice Requires="x14">
            <control shapeId="1002" r:id="rId5" name="Button 527">
              <controlPr defaultSize="0" print="false" autoFill="0" autoPict="0" macro="Module6.Tax">
                <anchor moveWithCells="true" sizeWithCells="false">
                  <from>
                    <xdr:col>0</xdr:col>
                    <xdr:colOff>1760760</xdr:colOff>
                    <xdr:row>1</xdr:row>
                    <xdr:rowOff>209880</xdr:rowOff>
                  </from>
                  <to>
                    <xdr:col>1</xdr:col>
                    <xdr:colOff>-57960</xdr:colOff>
                    <xdr:row>3</xdr:row>
                    <xdr:rowOff>9720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G84"/>
  <sheetViews>
    <sheetView showFormulas="false" showGridLines="true" showRowColHeaders="true" showZeros="true" rightToLeft="false" tabSelected="false" showOutlineSymbols="true" defaultGridColor="true" view="normal" topLeftCell="A1" colorId="64" zoomScale="75" zoomScaleNormal="75" zoomScalePageLayoutView="85" workbookViewId="0">
      <selection pane="topLeft" activeCell="A1" activeCellId="0" sqref="A1"/>
    </sheetView>
  </sheetViews>
  <sheetFormatPr defaultColWidth="9.0546875" defaultRowHeight="12.75" customHeight="true" zeroHeight="false" outlineLevelRow="1" outlineLevelCol="0"/>
  <cols>
    <col collapsed="false" customWidth="true" hidden="false" outlineLevel="0" max="1" min="1" style="7" width="37.28"/>
    <col collapsed="false" customWidth="true" hidden="false" outlineLevel="0" max="2" min="2" style="7" width="8.85"/>
    <col collapsed="false" customWidth="true" hidden="false" outlineLevel="0" max="23" min="3" style="7" width="9.14"/>
    <col collapsed="false" customWidth="true" hidden="true" outlineLevel="0" max="26" min="24" style="7" width="9.14"/>
    <col collapsed="false" customWidth="true" hidden="false" outlineLevel="0" max="33" min="27" style="7" width="9.14"/>
  </cols>
  <sheetData>
    <row r="1" customFormat="false" ht="20.25" hidden="false" customHeight="false" outlineLevel="0" collapsed="false">
      <c r="A1" s="374" t="str">
        <f aca="false">'Project Assumptions'!$A$2</f>
        <v>GLEASON, TN</v>
      </c>
      <c r="B1" s="375"/>
      <c r="E1" s="376"/>
    </row>
    <row r="2" customFormat="false" ht="12.75" hidden="false" customHeight="false" outlineLevel="0" collapsed="false">
      <c r="A2" s="377" t="s">
        <v>344</v>
      </c>
      <c r="B2" s="378"/>
      <c r="E2" s="376"/>
    </row>
    <row r="3" customFormat="false" ht="12.75" hidden="false" customHeight="false" outlineLevel="0" collapsed="false">
      <c r="B3" s="1"/>
      <c r="C3" s="379" t="n">
        <v>1</v>
      </c>
      <c r="D3" s="379" t="n">
        <f aca="false">C3+1</f>
        <v>2</v>
      </c>
      <c r="E3" s="379" t="n">
        <f aca="false">D3+1</f>
        <v>3</v>
      </c>
      <c r="F3" s="379" t="n">
        <f aca="false">E3+1</f>
        <v>4</v>
      </c>
      <c r="G3" s="379" t="n">
        <f aca="false">F3+1</f>
        <v>5</v>
      </c>
      <c r="H3" s="379" t="n">
        <f aca="false">G3+1</f>
        <v>6</v>
      </c>
      <c r="I3" s="379" t="n">
        <f aca="false">H3+1</f>
        <v>7</v>
      </c>
      <c r="J3" s="379" t="n">
        <f aca="false">I3+1</f>
        <v>8</v>
      </c>
      <c r="K3" s="379" t="n">
        <f aca="false">J3+1</f>
        <v>9</v>
      </c>
      <c r="L3" s="379" t="n">
        <f aca="false">K3+1</f>
        <v>10</v>
      </c>
      <c r="M3" s="379" t="n">
        <f aca="false">L3+1</f>
        <v>11</v>
      </c>
      <c r="N3" s="379" t="n">
        <f aca="false">M3+1</f>
        <v>12</v>
      </c>
      <c r="O3" s="379" t="n">
        <f aca="false">N3+1</f>
        <v>13</v>
      </c>
      <c r="P3" s="379" t="n">
        <f aca="false">O3+1</f>
        <v>14</v>
      </c>
      <c r="Q3" s="379" t="n">
        <f aca="false">P3+1</f>
        <v>15</v>
      </c>
      <c r="R3" s="379" t="n">
        <f aca="false">Q3+1</f>
        <v>16</v>
      </c>
      <c r="S3" s="379" t="n">
        <f aca="false">R3+1</f>
        <v>17</v>
      </c>
      <c r="T3" s="379" t="n">
        <f aca="false">S3+1</f>
        <v>18</v>
      </c>
      <c r="U3" s="379" t="n">
        <f aca="false">T3+1</f>
        <v>19</v>
      </c>
      <c r="V3" s="379" t="n">
        <f aca="false">U3+1</f>
        <v>20</v>
      </c>
      <c r="W3" s="379" t="n">
        <f aca="false">V3+1</f>
        <v>21</v>
      </c>
      <c r="X3" s="379" t="n">
        <f aca="false">W3+1</f>
        <v>22</v>
      </c>
      <c r="Y3" s="379" t="n">
        <f aca="false">X3+1</f>
        <v>23</v>
      </c>
      <c r="Z3" s="379" t="n">
        <f aca="false">Y3+1</f>
        <v>24</v>
      </c>
      <c r="AA3" s="379" t="n">
        <f aca="false">Z3+1</f>
        <v>25</v>
      </c>
    </row>
    <row r="4" customFormat="false" ht="12.75" hidden="false" customHeight="false" outlineLevel="0" collapsed="false">
      <c r="A4" s="380"/>
      <c r="B4" s="381"/>
      <c r="C4" s="382" t="n">
        <f aca="false">YEAR(StartDate)</f>
        <v>2000</v>
      </c>
      <c r="D4" s="382" t="n">
        <f aca="false">C4+1</f>
        <v>2001</v>
      </c>
      <c r="E4" s="382" t="n">
        <f aca="false">D4+1</f>
        <v>2002</v>
      </c>
      <c r="F4" s="382" t="n">
        <f aca="false">E4+1</f>
        <v>2003</v>
      </c>
      <c r="G4" s="382" t="n">
        <f aca="false">F4+1</f>
        <v>2004</v>
      </c>
      <c r="H4" s="382" t="n">
        <f aca="false">G4+1</f>
        <v>2005</v>
      </c>
      <c r="I4" s="382" t="n">
        <f aca="false">H4+1</f>
        <v>2006</v>
      </c>
      <c r="J4" s="382" t="n">
        <f aca="false">I4+1</f>
        <v>2007</v>
      </c>
      <c r="K4" s="382" t="n">
        <f aca="false">J4+1</f>
        <v>2008</v>
      </c>
      <c r="L4" s="382" t="n">
        <f aca="false">K4+1</f>
        <v>2009</v>
      </c>
      <c r="M4" s="382" t="n">
        <f aca="false">L4+1</f>
        <v>2010</v>
      </c>
      <c r="N4" s="382" t="n">
        <f aca="false">M4+1</f>
        <v>2011</v>
      </c>
      <c r="O4" s="382" t="n">
        <f aca="false">N4+1</f>
        <v>2012</v>
      </c>
      <c r="P4" s="382" t="n">
        <f aca="false">O4+1</f>
        <v>2013</v>
      </c>
      <c r="Q4" s="382" t="n">
        <f aca="false">P4+1</f>
        <v>2014</v>
      </c>
      <c r="R4" s="382" t="n">
        <f aca="false">Q4+1</f>
        <v>2015</v>
      </c>
      <c r="S4" s="382" t="n">
        <f aca="false">R4+1</f>
        <v>2016</v>
      </c>
      <c r="T4" s="382" t="n">
        <f aca="false">S4+1</f>
        <v>2017</v>
      </c>
      <c r="U4" s="382" t="n">
        <f aca="false">T4+1</f>
        <v>2018</v>
      </c>
      <c r="V4" s="382" t="n">
        <f aca="false">U4+1</f>
        <v>2019</v>
      </c>
      <c r="W4" s="382" t="n">
        <f aca="false">V4+1</f>
        <v>2020</v>
      </c>
      <c r="X4" s="382" t="n">
        <f aca="false">W4+1</f>
        <v>2021</v>
      </c>
      <c r="Y4" s="382" t="n">
        <f aca="false">X4+1</f>
        <v>2022</v>
      </c>
      <c r="Z4" s="382" t="n">
        <f aca="false">Y4+1</f>
        <v>2023</v>
      </c>
      <c r="AA4" s="383" t="n">
        <f aca="false">Z4+1</f>
        <v>2024</v>
      </c>
    </row>
    <row r="5" customFormat="false" ht="12.75" hidden="false" customHeight="false" outlineLevel="0" collapsed="false">
      <c r="A5" s="384" t="s">
        <v>345</v>
      </c>
      <c r="B5" s="385"/>
      <c r="C5" s="386" t="n">
        <f aca="false">ROUND((DATE($D$4,1,1)-StartDate)/30.4375,1)</f>
        <v>7</v>
      </c>
      <c r="D5" s="387" t="n">
        <f aca="false">IF($C$5&lt;12,IF(D$3&gt;ProjectLife+1,0,IF(D$3=ProjectLife+1,12-$C$5,12)),IF(D$3&gt;ProjectLife+1,0,12))</f>
        <v>12</v>
      </c>
      <c r="E5" s="387" t="n">
        <f aca="false">IF($C$5&lt;12,IF(E$3&gt;ProjectLife+1,0,IF(E$3=ProjectLife+1,12-$C$5,12)),IF(E$3&gt;ProjectLife+1,0,12))</f>
        <v>12</v>
      </c>
      <c r="F5" s="387" t="n">
        <f aca="false">IF($C$5&lt;12,IF(F$3&gt;ProjectLife+1,0,IF(F$3=ProjectLife+1,12-$C$5,12)),IF(F$3&gt;ProjectLife+1,0,12))</f>
        <v>12</v>
      </c>
      <c r="G5" s="387" t="n">
        <f aca="false">IF($C$5&lt;12,IF(G$3&gt;ProjectLife+1,0,IF(G$3=ProjectLife+1,12-$C$5,12)),IF(G$3&gt;ProjectLife+1,0,12))</f>
        <v>12</v>
      </c>
      <c r="H5" s="387" t="n">
        <f aca="false">IF($C$5&lt;12,IF(H$3&gt;ProjectLife+1,0,IF(H$3=ProjectLife+1,12-$C$5,12)),IF(H$3&gt;ProjectLife+1,0,12))</f>
        <v>12</v>
      </c>
      <c r="I5" s="387" t="n">
        <f aca="false">IF($C$5&lt;12,IF(I$3&gt;ProjectLife+1,0,IF(I$3=ProjectLife+1,12-$C$5,12)),IF(I$3&gt;ProjectLife+1,0,12))</f>
        <v>12</v>
      </c>
      <c r="J5" s="387" t="n">
        <f aca="false">IF($C$5&lt;12,IF(J$3&gt;ProjectLife+1,0,IF(J$3=ProjectLife+1,12-$C$5,12)),IF(J$3&gt;ProjectLife+1,0,12))</f>
        <v>12</v>
      </c>
      <c r="K5" s="387" t="n">
        <f aca="false">IF($C$5&lt;12,IF(K$3&gt;ProjectLife+1,0,IF(K$3=ProjectLife+1,12-$C$5,12)),IF(K$3&gt;ProjectLife+1,0,12))</f>
        <v>12</v>
      </c>
      <c r="L5" s="387" t="n">
        <f aca="false">IF($C$5&lt;12,IF(L$3&gt;ProjectLife+1,0,IF(L$3=ProjectLife+1,12-$C$5,12)),IF(L$3&gt;ProjectLife+1,0,12))</f>
        <v>12</v>
      </c>
      <c r="M5" s="387" t="n">
        <f aca="false">IF($C$5&lt;12,IF(M$3&gt;ProjectLife+1,0,IF(M$3=ProjectLife+1,12-$C$5,12)),IF(M$3&gt;ProjectLife+1,0,12))</f>
        <v>12</v>
      </c>
      <c r="N5" s="387" t="n">
        <f aca="false">IF($C$5&lt;12,IF(N$3&gt;ProjectLife+1,0,IF(N$3=ProjectLife+1,12-$C$5,12)),IF(N$3&gt;ProjectLife+1,0,12))</f>
        <v>12</v>
      </c>
      <c r="O5" s="387" t="n">
        <f aca="false">IF($C$5&lt;12,IF(O$3&gt;ProjectLife+1,0,IF(O$3=ProjectLife+1,12-$C$5,12)),IF(O$3&gt;ProjectLife+1,0,12))</f>
        <v>12</v>
      </c>
      <c r="P5" s="387" t="n">
        <f aca="false">IF($C$5&lt;12,IF(P$3&gt;ProjectLife+1,0,IF(P$3=ProjectLife+1,12-$C$5,12)),IF(P$3&gt;ProjectLife+1,0,12))</f>
        <v>12</v>
      </c>
      <c r="Q5" s="387" t="n">
        <f aca="false">IF($C$5&lt;12,IF(Q$3&gt;ProjectLife+1,0,IF(Q$3=ProjectLife+1,12-$C$5,12)),IF(Q$3&gt;ProjectLife+1,0,12))</f>
        <v>12</v>
      </c>
      <c r="R5" s="387" t="n">
        <f aca="false">IF($C$5&lt;12,IF(R$3&gt;ProjectLife+1,0,IF(R$3=ProjectLife+1,12-$C$5,12)),IF(R$3&gt;ProjectLife+1,0,12))</f>
        <v>12</v>
      </c>
      <c r="S5" s="387" t="n">
        <f aca="false">IF($C$5&lt;12,IF(S$3&gt;ProjectLife+1,0,IF(S$3=ProjectLife+1,12-$C$5,12)),IF(S$3&gt;ProjectLife+1,0,12))</f>
        <v>12</v>
      </c>
      <c r="T5" s="387" t="n">
        <f aca="false">IF($C$5&lt;12,IF(T$3&gt;ProjectLife+1,0,IF(T$3=ProjectLife+1,12-$C$5,12)),IF(T$3&gt;ProjectLife+1,0,12))</f>
        <v>12</v>
      </c>
      <c r="U5" s="387" t="n">
        <f aca="false">IF($C$5&lt;12,IF(U$3&gt;ProjectLife+1,0,IF(U$3=ProjectLife+1,12-$C$5,12)),IF(U$3&gt;ProjectLife+1,0,12))</f>
        <v>12</v>
      </c>
      <c r="V5" s="387" t="n">
        <f aca="false">IF($C$5&lt;12,IF(V$3&gt;ProjectLife+1,0,IF(V$3=ProjectLife+1,12-$C$5,12)),IF(V$3&gt;ProjectLife+1,0,12))</f>
        <v>12</v>
      </c>
      <c r="W5" s="388" t="n">
        <v>5</v>
      </c>
      <c r="X5" s="387" t="n">
        <f aca="false">IF($C$5&lt;12,IF(X$3&gt;ProjectLife+1,0,IF(X$3=ProjectLife+1,12-$C$5,12)),IF(X$3&gt;ProjectLife+1,0,12))</f>
        <v>0</v>
      </c>
      <c r="Y5" s="387" t="n">
        <f aca="false">IF($C$5&lt;12,IF(Y$3&gt;ProjectLife+1,0,IF(Y$3=ProjectLife+1,12-$C$5,12)),IF(Y$3&gt;ProjectLife+1,0,12))</f>
        <v>0</v>
      </c>
      <c r="Z5" s="387" t="n">
        <f aca="false">IF($C$5&lt;12,IF(Z$3&gt;ProjectLife+1,0,IF(Z$3=ProjectLife+1,12-$C$5,12)),IF(Z$3&gt;ProjectLife+1,0,12))</f>
        <v>0</v>
      </c>
      <c r="AA5" s="389" t="n">
        <f aca="false">IF($C$5&lt;12,IF(AA$3&gt;ProjectLife+1,0,IF(AA$3=ProjectLife+1,12-$C$5,12)),IF(AA$3&gt;ProjectLife+1,0,12))</f>
        <v>0</v>
      </c>
      <c r="AB5" s="385"/>
      <c r="AC5" s="385"/>
      <c r="AD5" s="385"/>
      <c r="AE5" s="385"/>
      <c r="AF5" s="385"/>
      <c r="AG5" s="385"/>
    </row>
    <row r="6" customFormat="false" ht="12.6" hidden="false" customHeight="true" outlineLevel="0" collapsed="false">
      <c r="A6" s="390" t="s">
        <v>346</v>
      </c>
      <c r="B6" s="385"/>
      <c r="C6" s="387" t="n">
        <f aca="false">IF($C$5&lt;12,IF(C$3&gt;PPATerm+1,0,IF(C$3=PPATerm+1,12-$C$5,C$5)),IF(C$3&lt;PPATerm+1,C$5,0))</f>
        <v>7</v>
      </c>
      <c r="D6" s="387" t="n">
        <f aca="false">IF($C$5&lt;12,IF(D$3&gt;PPATerm+1,0,IF(D$3=PPATerm+1,12-$C$5,D$5)),IF(D$3&lt;PPATerm+1,D$5,0))</f>
        <v>12</v>
      </c>
      <c r="E6" s="387" t="n">
        <f aca="false">IF($C$5&lt;12,IF(E$3&gt;PPATerm+1,0,IF(E$3=PPATerm+1,12-$C$5,E$5)),IF(E$3&lt;PPATerm+1,E$5,0))</f>
        <v>12</v>
      </c>
      <c r="F6" s="387" t="n">
        <f aca="false">IF($C$5&lt;12,IF(F$3&gt;PPATerm+1,0,IF(F$3=PPATerm+1,12-$C$5,F$5)),IF(F$3&lt;PPATerm+1,F$5,0))</f>
        <v>5</v>
      </c>
      <c r="G6" s="387" t="n">
        <f aca="false">IF($C$5&lt;12,IF(G$3&gt;PPATerm+1,0,IF(G$3=PPATerm+1,12-$C$5,G$5)),IF(G$3&lt;PPATerm+1,G$5,0))</f>
        <v>0</v>
      </c>
      <c r="H6" s="387" t="n">
        <f aca="false">IF($C$5&lt;12,IF(H$3&gt;PPATerm+1,0,IF(H$3=PPATerm+1,12-$C$5,H$5)),IF(H$3&lt;PPATerm+1,H$5,0))</f>
        <v>0</v>
      </c>
      <c r="I6" s="387" t="n">
        <f aca="false">IF($C$5&lt;12,IF(I$3&gt;PPATerm+1,0,IF(I$3=PPATerm+1,12-$C$5,I$5)),IF(I$3&lt;PPATerm+1,I$5,0))</f>
        <v>0</v>
      </c>
      <c r="J6" s="387" t="n">
        <f aca="false">IF($C$5&lt;12,IF(J$3&gt;PPATerm+1,0,IF(J$3=PPATerm+1,12-$C$5,J$5)),IF(J$3&lt;PPATerm+1,J$5,0))</f>
        <v>0</v>
      </c>
      <c r="K6" s="387" t="n">
        <f aca="false">IF($C$5&lt;12,IF(K$3&gt;PPATerm+1,0,IF(K$3=PPATerm+1,12-$C$5,K$5)),IF(K$3&lt;PPATerm+1,K$5,0))</f>
        <v>0</v>
      </c>
      <c r="L6" s="387" t="n">
        <f aca="false">IF($C$5&lt;12,IF(L$3&gt;PPATerm+1,0,IF(L$3=PPATerm+1,12-$C$5,L$5)),IF(L$3&lt;PPATerm+1,L$5,0))</f>
        <v>0</v>
      </c>
      <c r="M6" s="387" t="n">
        <f aca="false">IF($C$5&lt;12,IF(M$3&gt;PPATerm+1,0,IF(M$3=PPATerm+1,12-$C$5,M$5)),IF(M$3&lt;PPATerm+1,M$5,0))</f>
        <v>0</v>
      </c>
      <c r="N6" s="387" t="n">
        <f aca="false">IF($C$5&lt;12,IF(N$3&gt;PPATerm+1,0,IF(N$3=PPATerm+1,12-$C$5,N$5)),IF(N$3&lt;PPATerm+1,N$5,0))</f>
        <v>0</v>
      </c>
      <c r="O6" s="387" t="n">
        <f aca="false">IF($C$5&lt;12,IF(O$3&gt;PPATerm+1,0,IF(O$3=PPATerm+1,12-$C$5,O$5)),IF(O$3&lt;PPATerm+1,O$5,0))</f>
        <v>0</v>
      </c>
      <c r="P6" s="387" t="n">
        <f aca="false">IF($C$5&lt;12,IF(P$3&gt;PPATerm+1,0,IF(P$3=PPATerm+1,12-$C$5,P$5)),IF(P$3&lt;PPATerm+1,P$5,0))</f>
        <v>0</v>
      </c>
      <c r="Q6" s="387" t="n">
        <f aca="false">IF($C$5&lt;12,IF(Q$3&gt;PPATerm+1,0,IF(Q$3=PPATerm+1,12-$C$5,Q$5)),IF(Q$3&lt;PPATerm+1,Q$5,0))</f>
        <v>0</v>
      </c>
      <c r="R6" s="387" t="n">
        <f aca="false">IF($C$5&lt;12,IF(R$3&gt;PPATerm+1,0,IF(R$3=PPATerm+1,12-$C$5,R$5)),IF(R$3&lt;PPATerm+1,R$5,0))</f>
        <v>0</v>
      </c>
      <c r="S6" s="387" t="n">
        <f aca="false">IF($C$5&lt;12,IF(S$3&gt;PPATerm+1,0,IF(S$3=PPATerm+1,12-$C$5,S$5)),IF(S$3&lt;PPATerm+1,S$5,0))</f>
        <v>0</v>
      </c>
      <c r="T6" s="387" t="n">
        <f aca="false">IF($C$5&lt;12,IF(T$3&gt;PPATerm+1,0,IF(T$3=PPATerm+1,12-$C$5,T$5)),IF(T$3&lt;PPATerm+1,T$5,0))</f>
        <v>0</v>
      </c>
      <c r="U6" s="387" t="n">
        <f aca="false">IF($C$5&lt;12,IF(U$3&gt;PPATerm+1,0,IF(U$3=PPATerm+1,12-$C$5,U$5)),IF(U$3&lt;PPATerm+1,U$5,0))</f>
        <v>0</v>
      </c>
      <c r="V6" s="387" t="n">
        <f aca="false">IF($C$5&lt;12,IF(V$3&gt;PPATerm+1,0,IF(V$3=PPATerm+1,12-$C$5,V$5)),IF(V$3&lt;PPATerm+1,V$5,0))</f>
        <v>0</v>
      </c>
      <c r="W6" s="387" t="n">
        <f aca="false">IF($C$5&lt;12,IF(W$3&gt;PPATerm+1,0,IF(W$3=PPATerm+1,12-$C$5,W$5)),IF(W$3&lt;PPATerm+1,W$5,0))</f>
        <v>0</v>
      </c>
      <c r="X6" s="387" t="n">
        <f aca="false">IF($C$5&lt;12,IF(X$3&gt;PPATerm+1,0,IF(X$3=PPATerm+1,12-$C$5,X$5)),IF(X$3&lt;PPATerm+1,X$5,0))</f>
        <v>0</v>
      </c>
      <c r="Y6" s="387" t="n">
        <f aca="false">IF($C$5&lt;12,IF(Y$3&gt;PPATerm+1,0,IF(Y$3=PPATerm+1,12-$C$5,Y$5)),IF(Y$3&lt;PPATerm+1,Y$5,0))</f>
        <v>0</v>
      </c>
      <c r="Z6" s="387" t="n">
        <f aca="false">IF($C$5&lt;12,IF(Z$3&gt;PPATerm+1,0,IF(Z$3=PPATerm+1,12-$C$5,Z$5)),IF(Z$3&lt;PPATerm+1,Z$5,0))</f>
        <v>0</v>
      </c>
      <c r="AA6" s="389" t="n">
        <f aca="false">IF($C$5&lt;12,IF(AA$3&gt;PPATerm+1,0,IF(AA$3=PPATerm+1,12-$C$5,AA$5)),IF(AA$3&lt;PPATerm+1,AA$5,0))</f>
        <v>0</v>
      </c>
      <c r="AB6" s="1"/>
      <c r="AC6" s="1"/>
      <c r="AD6" s="1"/>
      <c r="AE6" s="1"/>
      <c r="AF6" s="1"/>
      <c r="AG6" s="1"/>
    </row>
    <row r="7" customFormat="false" ht="12.6" hidden="false" customHeight="true" outlineLevel="0" collapsed="false">
      <c r="A7" s="390" t="s">
        <v>347</v>
      </c>
      <c r="B7" s="385"/>
      <c r="C7" s="387" t="n">
        <f aca="false">C5-C6</f>
        <v>0</v>
      </c>
      <c r="D7" s="387" t="n">
        <f aca="false">D5-D6</f>
        <v>0</v>
      </c>
      <c r="E7" s="387" t="n">
        <f aca="false">E5-E6</f>
        <v>0</v>
      </c>
      <c r="F7" s="387" t="n">
        <f aca="false">F5-F6</f>
        <v>7</v>
      </c>
      <c r="G7" s="387" t="n">
        <f aca="false">G5-G6</f>
        <v>12</v>
      </c>
      <c r="H7" s="387" t="n">
        <f aca="false">H5-H6</f>
        <v>12</v>
      </c>
      <c r="I7" s="387" t="n">
        <f aca="false">I5-I6</f>
        <v>12</v>
      </c>
      <c r="J7" s="387" t="n">
        <f aca="false">J5-J6</f>
        <v>12</v>
      </c>
      <c r="K7" s="387" t="n">
        <f aca="false">K5-K6</f>
        <v>12</v>
      </c>
      <c r="L7" s="387" t="n">
        <f aca="false">L5-L6</f>
        <v>12</v>
      </c>
      <c r="M7" s="387" t="n">
        <f aca="false">M5-M6</f>
        <v>12</v>
      </c>
      <c r="N7" s="387" t="n">
        <f aca="false">N5-N6</f>
        <v>12</v>
      </c>
      <c r="O7" s="387" t="n">
        <f aca="false">O5-O6</f>
        <v>12</v>
      </c>
      <c r="P7" s="387" t="n">
        <f aca="false">P5-P6</f>
        <v>12</v>
      </c>
      <c r="Q7" s="387" t="n">
        <f aca="false">Q5-Q6</f>
        <v>12</v>
      </c>
      <c r="R7" s="387" t="n">
        <f aca="false">R5-R6</f>
        <v>12</v>
      </c>
      <c r="S7" s="387" t="n">
        <f aca="false">S5-S6</f>
        <v>12</v>
      </c>
      <c r="T7" s="387" t="n">
        <f aca="false">T5-T6</f>
        <v>12</v>
      </c>
      <c r="U7" s="387" t="n">
        <f aca="false">U5-U6</f>
        <v>12</v>
      </c>
      <c r="V7" s="387" t="n">
        <f aca="false">V5-V6</f>
        <v>12</v>
      </c>
      <c r="W7" s="387" t="n">
        <v>5</v>
      </c>
      <c r="X7" s="387" t="n">
        <f aca="false">X5-X6</f>
        <v>0</v>
      </c>
      <c r="Y7" s="387" t="n">
        <f aca="false">Y5-Y6</f>
        <v>0</v>
      </c>
      <c r="Z7" s="387" t="n">
        <f aca="false">Z5-Z6</f>
        <v>0</v>
      </c>
      <c r="AA7" s="389" t="n">
        <f aca="false">AA5-AA6</f>
        <v>0</v>
      </c>
      <c r="AB7" s="1"/>
      <c r="AC7" s="1"/>
      <c r="AD7" s="1"/>
      <c r="AE7" s="1"/>
      <c r="AF7" s="1"/>
      <c r="AG7" s="1"/>
    </row>
    <row r="8" customFormat="false" ht="12.6" hidden="false" customHeight="true" outlineLevel="0" collapsed="false">
      <c r="A8" s="390" t="s">
        <v>348</v>
      </c>
      <c r="B8" s="385"/>
      <c r="C8" s="391" t="n">
        <f aca="false">IF(C5=0,0,PPACAPACITY/NetMW*(C6/C5))</f>
        <v>1</v>
      </c>
      <c r="D8" s="391" t="n">
        <f aca="false">IF(D5=0,0,PPACAPACITY/NetMW*(D6/D5))</f>
        <v>1</v>
      </c>
      <c r="E8" s="391" t="n">
        <f aca="false">IF(E5=0,0,PPACAPACITY/NetMW*(E6/E5))</f>
        <v>1</v>
      </c>
      <c r="F8" s="391" t="n">
        <f aca="false">IF(F5=0,0,PPACAPACITY/NetMW*(F6/F5))</f>
        <v>0.416666666666667</v>
      </c>
      <c r="G8" s="391" t="n">
        <f aca="false">IF(G5=0,0,PPACAPACITY/NetMW*(G6/G5))</f>
        <v>0</v>
      </c>
      <c r="H8" s="391" t="n">
        <f aca="false">IF(H5=0,0,PPACAPACITY/NetMW*(H6/H5))</f>
        <v>0</v>
      </c>
      <c r="I8" s="391" t="n">
        <f aca="false">IF(I5=0,0,PPACAPACITY/NetMW*(I6/I5))</f>
        <v>0</v>
      </c>
      <c r="J8" s="391" t="n">
        <f aca="false">IF(J5=0,0,PPACAPACITY/NetMW*(J6/J5))</f>
        <v>0</v>
      </c>
      <c r="K8" s="391" t="n">
        <f aca="false">IF(K5=0,0,PPACAPACITY/NetMW*(K6/K5))</f>
        <v>0</v>
      </c>
      <c r="L8" s="391" t="n">
        <f aca="false">IF(L5=0,0,PPACAPACITY/NetMW*(L6/L5))</f>
        <v>0</v>
      </c>
      <c r="M8" s="391" t="n">
        <f aca="false">IF(M5=0,0,PPACAPACITY/NetMW*(M6/M5))</f>
        <v>0</v>
      </c>
      <c r="N8" s="391" t="n">
        <f aca="false">IF(N5=0,0,PPACAPACITY/NetMW*(N6/N5))</f>
        <v>0</v>
      </c>
      <c r="O8" s="391" t="n">
        <f aca="false">IF(O5=0,0,PPACAPACITY/NetMW*(O6/O5))</f>
        <v>0</v>
      </c>
      <c r="P8" s="391" t="n">
        <f aca="false">IF(P5=0,0,PPACAPACITY/NetMW*(P6/P5))</f>
        <v>0</v>
      </c>
      <c r="Q8" s="391" t="n">
        <f aca="false">IF(Q5=0,0,PPACAPACITY/NetMW*(Q6/Q5))</f>
        <v>0</v>
      </c>
      <c r="R8" s="391" t="n">
        <f aca="false">IF(R5=0,0,PPACAPACITY/NetMW*(R6/R5))</f>
        <v>0</v>
      </c>
      <c r="S8" s="391" t="n">
        <f aca="false">IF(S5=0,0,PPACAPACITY/NetMW*(S6/S5))</f>
        <v>0</v>
      </c>
      <c r="T8" s="391" t="n">
        <f aca="false">IF(T5=0,0,PPACAPACITY/NetMW*(T6/T5))</f>
        <v>0</v>
      </c>
      <c r="U8" s="391" t="n">
        <f aca="false">IF(U5=0,0,PPACAPACITY/NetMW*(U6/U5))</f>
        <v>0</v>
      </c>
      <c r="V8" s="391" t="n">
        <f aca="false">IF(V5=0,0,PPACAPACITY/NetMW*(V6/V5))</f>
        <v>0</v>
      </c>
      <c r="W8" s="391" t="n">
        <f aca="false">IF(W5=0,0,PPACAPACITY/NetMW*(W6/W5))</f>
        <v>0</v>
      </c>
      <c r="X8" s="391" t="n">
        <f aca="false">IF(X5=0,0,PPACAPACITY/NetMW*(X6/X5))</f>
        <v>0</v>
      </c>
      <c r="Y8" s="391" t="n">
        <f aca="false">IF(Y5=0,0,PPACAPACITY/NetMW*(Y6/Y5))</f>
        <v>0</v>
      </c>
      <c r="Z8" s="391" t="n">
        <f aca="false">IF(Z5=0,0,PPACAPACITY/NetMW*(Z6/Z5))</f>
        <v>0</v>
      </c>
      <c r="AA8" s="392" t="n">
        <f aca="false">IF(AA5=0,0,PPACAPACITY/NetMW*(AA6/AA5))</f>
        <v>0</v>
      </c>
      <c r="AB8" s="1"/>
      <c r="AC8" s="1"/>
      <c r="AD8" s="1"/>
      <c r="AE8" s="1"/>
      <c r="AF8" s="1"/>
      <c r="AG8" s="1"/>
    </row>
    <row r="9" customFormat="false" ht="17.25" hidden="false" customHeight="true" outlineLevel="1" collapsed="false">
      <c r="A9" s="393" t="s">
        <v>349</v>
      </c>
      <c r="B9" s="394" t="s">
        <v>350</v>
      </c>
      <c r="C9" s="395" t="str">
        <f aca="false">IF(C5=0,"",IF(C7=0,"PPA",IF(C6=0,"MERCH.","BLENDED")))</f>
        <v>PPA</v>
      </c>
      <c r="D9" s="395" t="str">
        <f aca="false">IF(D5=0,"",IF(D7=0,"PPA",IF(D6=0,"MERCH.","BLENDED")))</f>
        <v>PPA</v>
      </c>
      <c r="E9" s="395" t="str">
        <f aca="false">IF(E5=0,"",IF(E7=0,"PPA",IF(E6=0,"MERCH.","BLENDED")))</f>
        <v>PPA</v>
      </c>
      <c r="F9" s="395" t="str">
        <f aca="false">IF(F5=0,"",IF(F7=0,"PPA",IF(F6=0,"MERCH.","BLENDED")))</f>
        <v>BLENDED</v>
      </c>
      <c r="G9" s="395" t="str">
        <f aca="false">IF(G5=0,"",IF(G7=0,"PPA",IF(G6=0,"MERCH.","BLENDED")))</f>
        <v>MERCH.</v>
      </c>
      <c r="H9" s="395" t="str">
        <f aca="false">IF(H5=0,"",IF(H7=0,"PPA",IF(H6=0,"MERCH.","BLENDED")))</f>
        <v>MERCH.</v>
      </c>
      <c r="I9" s="395" t="str">
        <f aca="false">IF(I5=0,"",IF(I7=0,"PPA",IF(I6=0,"MERCH.","BLENDED")))</f>
        <v>MERCH.</v>
      </c>
      <c r="J9" s="395" t="str">
        <f aca="false">IF(J5=0,"",IF(J7=0,"PPA",IF(J6=0,"MERCH.","BLENDED")))</f>
        <v>MERCH.</v>
      </c>
      <c r="K9" s="395" t="str">
        <f aca="false">IF(K5=0,"",IF(K7=0,"PPA",IF(K6=0,"MERCH.","BLENDED")))</f>
        <v>MERCH.</v>
      </c>
      <c r="L9" s="395" t="str">
        <f aca="false">IF(L5=0,"",IF(L7=0,"PPA",IF(L6=0,"MERCH.","BLENDED")))</f>
        <v>MERCH.</v>
      </c>
      <c r="M9" s="395" t="str">
        <f aca="false">IF(M5=0,"",IF(M7=0,"PPA",IF(M6=0,"MERCH.","BLENDED")))</f>
        <v>MERCH.</v>
      </c>
      <c r="N9" s="395" t="str">
        <f aca="false">IF(N5=0,"",IF(N7=0,"PPA",IF(N6=0,"MERCH.","BLENDED")))</f>
        <v>MERCH.</v>
      </c>
      <c r="O9" s="395" t="str">
        <f aca="false">IF(O5=0,"",IF(O7=0,"PPA",IF(O6=0,"MERCH.","BLENDED")))</f>
        <v>MERCH.</v>
      </c>
      <c r="P9" s="395" t="str">
        <f aca="false">IF(P5=0,"",IF(P7=0,"PPA",IF(P6=0,"MERCH.","BLENDED")))</f>
        <v>MERCH.</v>
      </c>
      <c r="Q9" s="395" t="str">
        <f aca="false">IF(Q5=0,"",IF(Q7=0,"PPA",IF(Q6=0,"MERCH.","BLENDED")))</f>
        <v>MERCH.</v>
      </c>
      <c r="R9" s="395" t="str">
        <f aca="false">IF(R5=0,"",IF(R7=0,"PPA",IF(R6=0,"MERCH.","BLENDED")))</f>
        <v>MERCH.</v>
      </c>
      <c r="S9" s="395" t="str">
        <f aca="false">IF(S5=0,"",IF(S7=0,"PPA",IF(S6=0,"MERCH.","BLENDED")))</f>
        <v>MERCH.</v>
      </c>
      <c r="T9" s="395" t="str">
        <f aca="false">IF(T5=0,"",IF(T7=0,"PPA",IF(T6=0,"MERCH.","BLENDED")))</f>
        <v>MERCH.</v>
      </c>
      <c r="U9" s="395" t="str">
        <f aca="false">IF(U5=0,"",IF(U7=0,"PPA",IF(U6=0,"MERCH.","BLENDED")))</f>
        <v>MERCH.</v>
      </c>
      <c r="V9" s="395" t="str">
        <f aca="false">IF(V5=0,"",IF(V7=0,"PPA",IF(V6=0,"MERCH.","BLENDED")))</f>
        <v>MERCH.</v>
      </c>
      <c r="W9" s="395" t="str">
        <f aca="false">IF(W5=0,"",IF(W7=0,"PPA",IF(W6=0,"MERCH.","BLENDED")))</f>
        <v>MERCH.</v>
      </c>
      <c r="X9" s="395" t="str">
        <f aca="false">IF(X5=0,"",IF(X7=0,"PPA",IF(X6=0,"MERCH.","BLENDED")))</f>
        <v/>
      </c>
      <c r="Y9" s="395" t="str">
        <f aca="false">IF(Y5=0,"",IF(Y7=0,"PPA",IF(Y6=0,"MERCH.","BLENDED")))</f>
        <v/>
      </c>
      <c r="Z9" s="395" t="str">
        <f aca="false">IF(Z5=0,"",IF(Z7=0,"PPA",IF(Z6=0,"MERCH.","BLENDED")))</f>
        <v/>
      </c>
      <c r="AA9" s="396" t="str">
        <f aca="false">IF(AA5=0,"",IF(AA7=0,"PPA",IF(AA6=0,"MERCH.","BLENDED")))</f>
        <v/>
      </c>
      <c r="AB9" s="1"/>
      <c r="AC9" s="1"/>
      <c r="AD9" s="1"/>
      <c r="AE9" s="1"/>
      <c r="AF9" s="1"/>
      <c r="AG9" s="1"/>
    </row>
    <row r="10" customFormat="false" ht="12.6" hidden="false" customHeight="true" outlineLevel="1" collapsed="false">
      <c r="A10" s="19"/>
      <c r="B10" s="1"/>
      <c r="C10" s="397"/>
      <c r="D10" s="397"/>
      <c r="E10" s="376"/>
      <c r="F10" s="376"/>
      <c r="G10" s="376"/>
      <c r="H10" s="376"/>
      <c r="I10" s="376"/>
      <c r="J10" s="376"/>
      <c r="K10" s="376"/>
      <c r="L10" s="376"/>
      <c r="M10" s="376"/>
      <c r="N10" s="376"/>
      <c r="O10" s="376"/>
      <c r="P10" s="376"/>
      <c r="Q10" s="376"/>
      <c r="R10" s="376"/>
      <c r="S10" s="376"/>
      <c r="T10" s="376"/>
      <c r="U10" s="376"/>
      <c r="V10" s="376"/>
      <c r="W10" s="376"/>
      <c r="X10" s="376"/>
      <c r="Y10" s="376"/>
      <c r="Z10" s="376"/>
      <c r="AA10" s="376"/>
      <c r="AB10" s="1"/>
      <c r="AC10" s="1"/>
      <c r="AD10" s="1"/>
      <c r="AE10" s="1"/>
      <c r="AF10" s="1"/>
      <c r="AG10" s="1"/>
    </row>
    <row r="11" customFormat="false" ht="12.6" hidden="false" customHeight="true" outlineLevel="1" collapsed="false">
      <c r="A11" s="380" t="s">
        <v>351</v>
      </c>
      <c r="B11" s="381"/>
      <c r="C11" s="398" t="n">
        <f aca="false">IF('Project Assumptions'!$C$77="Yes",C25,C23)</f>
        <v>27.26</v>
      </c>
      <c r="D11" s="398" t="n">
        <f aca="false">IF('Project Assumptions'!$C$77="Yes",D25,D23)</f>
        <v>27.26</v>
      </c>
      <c r="E11" s="398" t="n">
        <f aca="false">IF('Project Assumptions'!$C$77="Yes",E25,E23)</f>
        <v>27.26</v>
      </c>
      <c r="F11" s="398" t="n">
        <f aca="false">IF('Project Assumptions'!$C$77="Yes",F25,F23)</f>
        <v>27.26</v>
      </c>
      <c r="G11" s="398" t="n">
        <f aca="false">IF('Project Assumptions'!$C$77="Yes",G25,G23)</f>
        <v>27.26</v>
      </c>
      <c r="H11" s="398" t="n">
        <f aca="false">IF('Project Assumptions'!$C$77="Yes",H25,H23)</f>
        <v>27.26</v>
      </c>
      <c r="I11" s="398" t="n">
        <f aca="false">IF('Project Assumptions'!$C$77="Yes",I25,I23)</f>
        <v>27.26</v>
      </c>
      <c r="J11" s="398" t="n">
        <f aca="false">IF('Project Assumptions'!$C$77="Yes",J25,J23)</f>
        <v>27.26</v>
      </c>
      <c r="K11" s="398" t="n">
        <f aca="false">IF('Project Assumptions'!$C$77="Yes",K25,K23)</f>
        <v>27.26</v>
      </c>
      <c r="L11" s="398" t="n">
        <f aca="false">IF('Project Assumptions'!$C$77="Yes",L25,L23)</f>
        <v>27.26</v>
      </c>
      <c r="M11" s="398" t="n">
        <f aca="false">IF('Project Assumptions'!$C$77="Yes",M25,M23)</f>
        <v>27.26</v>
      </c>
      <c r="N11" s="398" t="n">
        <f aca="false">IF('Project Assumptions'!$C$77="Yes",N25,N23)</f>
        <v>27.26</v>
      </c>
      <c r="O11" s="398" t="n">
        <f aca="false">IF('Project Assumptions'!$C$77="Yes",O25,O23)</f>
        <v>27.26</v>
      </c>
      <c r="P11" s="398" t="n">
        <f aca="false">IF('Project Assumptions'!$C$77="Yes",P25,P23)</f>
        <v>27.26</v>
      </c>
      <c r="Q11" s="398" t="n">
        <f aca="false">IF('Project Assumptions'!$C$77="Yes",Q25,Q23)</f>
        <v>27.26</v>
      </c>
      <c r="R11" s="398" t="n">
        <f aca="false">IF('Project Assumptions'!$C$77="Yes",R25,R23)</f>
        <v>27.26</v>
      </c>
      <c r="S11" s="398" t="n">
        <f aca="false">IF('Project Assumptions'!$C$77="Yes",S25,S23)</f>
        <v>27.26</v>
      </c>
      <c r="T11" s="398" t="n">
        <f aca="false">IF('Project Assumptions'!$C$77="Yes",T25,T23)</f>
        <v>27.26</v>
      </c>
      <c r="U11" s="398" t="n">
        <f aca="false">IF('Project Assumptions'!$C$77="Yes",U25,U23)</f>
        <v>27.26</v>
      </c>
      <c r="V11" s="398" t="n">
        <f aca="false">IF('Project Assumptions'!$C$77="Yes",V25,V23)</f>
        <v>27.26</v>
      </c>
      <c r="W11" s="398" t="n">
        <f aca="false">IF('Project Assumptions'!$C$77="Yes",W25,W23)</f>
        <v>27.26</v>
      </c>
      <c r="X11" s="398" t="n">
        <f aca="false">IF('Project Assumptions'!$C$77="Yes",X25,X23)</f>
        <v>0</v>
      </c>
      <c r="Y11" s="398" t="n">
        <f aca="false">IF('Project Assumptions'!$C$77="Yes",Y25,Y23)</f>
        <v>0</v>
      </c>
      <c r="Z11" s="398" t="n">
        <f aca="false">IF('Project Assumptions'!$C$77="Yes",Z25,Z23)</f>
        <v>0</v>
      </c>
      <c r="AA11" s="399" t="n">
        <f aca="false">IF('Project Assumptions'!$C$77="Yes",AA25,AA23)</f>
        <v>0</v>
      </c>
      <c r="AB11" s="1"/>
      <c r="AC11" s="1"/>
      <c r="AD11" s="1"/>
      <c r="AE11" s="1"/>
      <c r="AF11" s="1"/>
      <c r="AG11" s="1"/>
    </row>
    <row r="12" customFormat="false" ht="12.6" hidden="false" customHeight="true" outlineLevel="1" collapsed="false">
      <c r="A12" s="400" t="s">
        <v>352</v>
      </c>
      <c r="B12" s="385"/>
      <c r="C12" s="376" t="n">
        <f aca="false">IF(C5=0,0,IF(C$7=0,'Project Assumptions'!$I$29*C$13,IF(C$7=12,CHOOSE('Project Assumptions'!$C$74,C64,C65,C66,C67),('Project Assumptions'!$I$29*C$13*(C$6/C$5))+(CHOOSE('Project Assumptions'!$C$74,C64,C65,C66,C67)*C$7/C$5))))</f>
        <v>4</v>
      </c>
      <c r="D12" s="376" t="n">
        <f aca="false">IF(D5=0,0,IF(D$7=0,'Project Assumptions'!$I$29*D$13,IF(D$7=12,CHOOSE('Project Assumptions'!$C$74,D64,D65,D66,D67),('Project Assumptions'!$I$29*D$13*(D$6/D$5))+(CHOOSE('Project Assumptions'!$C$74,D64,D65,D66,D67)*D$7/D$5))))</f>
        <v>4</v>
      </c>
      <c r="E12" s="376" t="n">
        <f aca="false">IF(E5=0,0,IF(E$7=0,'Project Assumptions'!$I$29*E$13,IF(E$7=12,CHOOSE('Project Assumptions'!$C$74,E64,E65,E66,E67),('Project Assumptions'!$I$29*E$13*(E$6/E$5))+(CHOOSE('Project Assumptions'!$C$74,E64,E65,E66,E67)*E$7/E$5))))</f>
        <v>4</v>
      </c>
      <c r="F12" s="376" t="n">
        <f aca="false">IF(F5=0,0,IF(F$7=0,'Project Assumptions'!$I$29*F$13,IF(F$7=12,CHOOSE('Project Assumptions'!$C$74,F64,F65,F66,F67),('Project Assumptions'!$I$29*F$13*(F$6/F$5))+(CHOOSE('Project Assumptions'!$C$74,F64,F65,F66,F67)*F$7/F$5))))</f>
        <v>4.99152911587431</v>
      </c>
      <c r="G12" s="376" t="n">
        <f aca="false">IF(G5=0,0,IF(G$7=0,'Project Assumptions'!$I$29*G$13,IF(G$7=12,CHOOSE('Project Assumptions'!$C$74,G64,G65,G66,G67),('Project Assumptions'!$I$29*G$13*(G$6/G$5))+(CHOOSE('Project Assumptions'!$C$74,G64,G65,G66,G67)*G$7/G$5))))</f>
        <v>5.77125276655683</v>
      </c>
      <c r="H12" s="376" t="n">
        <f aca="false">IF(H5=0,0,IF(H$7=0,'Project Assumptions'!$I$29*H$13,IF(H$7=12,CHOOSE('Project Assumptions'!$C$74,H64,H65,H66,H67),('Project Assumptions'!$I$29*H$13*(H$6/H$5))+(CHOOSE('Project Assumptions'!$C$74,H64,H65,H66,H67)*H$7/H$5))))</f>
        <v>5.84190086076813</v>
      </c>
      <c r="I12" s="376" t="n">
        <f aca="false">IF(I5=0,0,IF(I$7=0,'Project Assumptions'!$I$29*I$13,IF(I$7=12,CHOOSE('Project Assumptions'!$C$74,I64,I65,I66,I67),('Project Assumptions'!$I$29*I$13*(I$6/I$5))+(CHOOSE('Project Assumptions'!$C$74,I64,I65,I66,I67)*I$7/I$5))))</f>
        <v>5.91159371314221</v>
      </c>
      <c r="J12" s="376" t="n">
        <f aca="false">IF(J5=0,0,IF(J$7=0,'Project Assumptions'!$I$29*J$13,IF(J$7=12,CHOOSE('Project Assumptions'!$C$74,J64,J65,J66,J67),('Project Assumptions'!$I$29*J$13*(J$6/J$5))+(CHOOSE('Project Assumptions'!$C$74,J64,J65,J66,J67)*J$7/J$5))))</f>
        <v>6.08894152453648</v>
      </c>
      <c r="K12" s="376" t="n">
        <f aca="false">IF(K5=0,0,IF(K$7=0,'Project Assumptions'!$I$29*K$13,IF(K$7=12,CHOOSE('Project Assumptions'!$C$74,K64,K65,K66,K67),('Project Assumptions'!$I$29*K$13*(K$6/K$5))+(CHOOSE('Project Assumptions'!$C$74,K64,K65,K66,K67)*K$7/K$5))))</f>
        <v>6.15961673866056</v>
      </c>
      <c r="L12" s="376" t="n">
        <f aca="false">IF(L5=0,0,IF(L$7=0,'Project Assumptions'!$I$29*L$13,IF(L$7=12,CHOOSE('Project Assumptions'!$C$74,L64,L65,L66,L67),('Project Assumptions'!$I$29*L$13*(L$6/L$5))+(CHOOSE('Project Assumptions'!$C$74,L64,L65,L66,L67)*L$7/L$5))))</f>
        <v>6.34440524082038</v>
      </c>
      <c r="M12" s="376" t="n">
        <f aca="false">IF(M5=0,0,IF(M$7=0,'Project Assumptions'!$I$29*M$13,IF(M$7=12,CHOOSE('Project Assumptions'!$C$74,M64,M65,M66,M67),('Project Assumptions'!$I$29*M$13*(M$6/M$5))+(CHOOSE('Project Assumptions'!$C$74,M64,M65,M66,M67)*M$7/M$5))))</f>
        <v>6.41592399080781</v>
      </c>
      <c r="N12" s="376" t="n">
        <f aca="false">IF(N5=0,0,IF(N$7=0,'Project Assumptions'!$I$29*N$13,IF(N$7=12,CHOOSE('Project Assumptions'!$C$74,N64,N65,N66,N67),('Project Assumptions'!$I$29*N$13*(N$6/N$5))+(CHOOSE('Project Assumptions'!$C$74,N64,N65,N66,N67)*N$7/N$5))))</f>
        <v>6.60840171053204</v>
      </c>
      <c r="O12" s="376" t="n">
        <f aca="false">IF(O5=0,0,IF(O$7=0,'Project Assumptions'!$I$29*O$13,IF(O$7=12,CHOOSE('Project Assumptions'!$C$74,O64,O65,O66,O67),('Project Assumptions'!$I$29*O$13*(O$6/O$5))+(CHOOSE('Project Assumptions'!$C$74,O64,O65,O66,O67)*O$7/O$5))))</f>
        <v>6.68060461811008</v>
      </c>
      <c r="P12" s="376" t="n">
        <f aca="false">IF(P5=0,0,IF(P$7=0,'Project Assumptions'!$I$29*P$13,IF(P$7=12,CHOOSE('Project Assumptions'!$C$74,P64,P65,P66,P67),('Project Assumptions'!$I$29*P$13*(P$6/P$5))+(CHOOSE('Project Assumptions'!$C$74,P64,P65,P66,P67)*P$7/P$5))))</f>
        <v>6.75119213860332</v>
      </c>
      <c r="Q12" s="376" t="n">
        <f aca="false">IF(Q5=0,0,IF(Q$7=0,'Project Assumptions'!$I$29*Q$13,IF(Q$7=12,CHOOSE('Project Assumptions'!$C$74,Q64,Q65,Q66,Q67),('Project Assumptions'!$I$29*Q$13*(Q$6/Q$5))+(CHOOSE('Project Assumptions'!$C$74,Q64,Q65,Q66,Q67)*Q$7/Q$5))))</f>
        <v>6.82000236616985</v>
      </c>
      <c r="R12" s="376" t="n">
        <f aca="false">IF(R5=0,0,IF(R$7=0,'Project Assumptions'!$I$29*R$13,IF(R$7=12,CHOOSE('Project Assumptions'!$C$74,R64,R65,R66,R67),('Project Assumptions'!$I$29*R$13*(R$6/R$5))+(CHOOSE('Project Assumptions'!$C$74,R64,R65,R66,R67)*R$7/R$5))))</f>
        <v>6.88686513446563</v>
      </c>
      <c r="S12" s="376" t="n">
        <f aca="false">IF(S5=0,0,IF(S$7=0,'Project Assumptions'!$I$29*S$13,IF(S$7=12,CHOOSE('Project Assumptions'!$C$74,S64,S65,S66,S67),('Project Assumptions'!$I$29*S$13*(S$6/S$5))+(CHOOSE('Project Assumptions'!$C$74,S64,S65,S66,S67)*S$7/S$5))))</f>
        <v>6.95160166672961</v>
      </c>
      <c r="T12" s="376" t="n">
        <f aca="false">IF(T5=0,0,IF(T$7=0,'Project Assumptions'!$I$29*T$13,IF(T$7=12,CHOOSE('Project Assumptions'!$C$74,T64,T65,T66,T67),('Project Assumptions'!$I$29*T$13*(T$6/T$5))+(CHOOSE('Project Assumptions'!$C$74,T64,T65,T66,T67)*T$7/T$5))))</f>
        <v>7.01402421230841</v>
      </c>
      <c r="U12" s="376" t="n">
        <f aca="false">IF(U5=0,0,IF(U$7=0,'Project Assumptions'!$I$29*U$13,IF(U$7=12,CHOOSE('Project Assumptions'!$C$74,U64,U65,U66,U67),('Project Assumptions'!$I$29*U$13*(U$6/U$5))+(CHOOSE('Project Assumptions'!$C$74,U64,U65,U66,U67)*U$7/U$5))))</f>
        <v>7.07393566912187</v>
      </c>
      <c r="V12" s="376" t="n">
        <f aca="false">IF(V5=0,0,IF(V$7=0,'Project Assumptions'!$I$29*V$13,IF(V$7=12,CHOOSE('Project Assumptions'!$C$74,V64,V65,V66,V67),('Project Assumptions'!$I$29*V$13*(V$6/V$5))+(CHOOSE('Project Assumptions'!$C$74,V64,V65,V66,V67)*V$7/V$5))))</f>
        <v>7.13112919155307</v>
      </c>
      <c r="W12" s="376" t="n">
        <f aca="false">IF(W5=0,0,IF(W$7=0,'Project Assumptions'!$I$29*W$13,IF(W$7=12,CHOOSE('Project Assumptions'!$C$74,W64,W65,W66,W67),('Project Assumptions'!$I$29*W$13*(W$6/W$5))+(CHOOSE('Project Assumptions'!$C$74,W64,W65,W66,W67)*W$7/W$5))))</f>
        <v>7.18538778322793</v>
      </c>
      <c r="X12" s="376" t="n">
        <f aca="false">IF(X5=0,0,IF(X$7=0,'Project Assumptions'!$I$29*X$13,IF(X$7=12,CHOOSE('Project Assumptions'!$C$74,X64,X65,X66,X67),('Project Assumptions'!$I$29*X$13*(X$6/X$5))+(CHOOSE('Project Assumptions'!$C$74,X64,X65,X66,X67)*X$7/X$5))))</f>
        <v>0</v>
      </c>
      <c r="Y12" s="376" t="n">
        <f aca="false">IF(Y5=0,0,IF(Y$7=0,'Project Assumptions'!$I$29*Y$13,IF(Y$7=12,CHOOSE('Project Assumptions'!$C$74,Y64,Y65,Y66,Y67),('Project Assumptions'!$I$29*Y$13*(Y$6/Y$5))+(CHOOSE('Project Assumptions'!$C$74,Y64,Y65,Y66,Y67)*Y$7/Y$5))))</f>
        <v>0</v>
      </c>
      <c r="Z12" s="376" t="n">
        <f aca="false">IF(Z5=0,0,IF(Z$7=0,'Project Assumptions'!$I$29*Z$13,IF(Z$7=12,CHOOSE('Project Assumptions'!$C$74,Z64,Z65,Z66,Z67),('Project Assumptions'!$I$29*Z$13*(Z$6/Z$5))+(CHOOSE('Project Assumptions'!$C$74,Z64,Z65,Z66,Z67)*Z$7/Z$5))))</f>
        <v>0</v>
      </c>
      <c r="AA12" s="401" t="n">
        <f aca="false">IF(AA5=0,0,IF(AA$7=0,'Project Assumptions'!$I$29*AA$13,IF(AA$7=12,CHOOSE('Project Assumptions'!$C$74,AA64,AA65,AA66,AA67),('Project Assumptions'!$I$29*AA$13*(AA$6/AA$5))+(CHOOSE('Project Assumptions'!$C$74,AA64,AA65,AA66,AA67)*AA$7/AA$5))))</f>
        <v>0</v>
      </c>
      <c r="AB12" s="1"/>
      <c r="AC12" s="1"/>
      <c r="AD12" s="1"/>
      <c r="AE12" s="1"/>
      <c r="AF12" s="1"/>
      <c r="AG12" s="1"/>
    </row>
    <row r="13" customFormat="false" ht="12.6" hidden="false" customHeight="true" outlineLevel="1" collapsed="false">
      <c r="A13" s="400" t="s">
        <v>353</v>
      </c>
      <c r="B13" s="402" t="n">
        <f aca="false">NPV(B14,C13:G13)</f>
        <v>3.604776202345</v>
      </c>
      <c r="C13" s="403" t="n">
        <v>1</v>
      </c>
      <c r="D13" s="404" t="n">
        <f aca="false">C13*(1+'Project Assumptions'!$I$30)</f>
        <v>1</v>
      </c>
      <c r="E13" s="404" t="n">
        <f aca="false">D13*(1+'Project Assumptions'!$I$30)</f>
        <v>1</v>
      </c>
      <c r="F13" s="404" t="n">
        <f aca="false">E13*(1+'Project Assumptions'!$I$30)</f>
        <v>1</v>
      </c>
      <c r="G13" s="404" t="n">
        <f aca="false">F13*(1+'Project Assumptions'!$I$30)</f>
        <v>1</v>
      </c>
      <c r="H13" s="404" t="n">
        <f aca="false">G13*(1+'Project Assumptions'!$I$30)</f>
        <v>1</v>
      </c>
      <c r="I13" s="404" t="n">
        <f aca="false">H13*(1+'Project Assumptions'!$I$30)</f>
        <v>1</v>
      </c>
      <c r="J13" s="404" t="n">
        <f aca="false">I13*(1+'Project Assumptions'!$I$30)</f>
        <v>1</v>
      </c>
      <c r="K13" s="404" t="n">
        <f aca="false">J13*(1+'Project Assumptions'!$I$30)</f>
        <v>1</v>
      </c>
      <c r="L13" s="404" t="n">
        <f aca="false">K13*(1+'Project Assumptions'!$I$30)</f>
        <v>1</v>
      </c>
      <c r="M13" s="404" t="n">
        <f aca="false">L13*(1+'Project Assumptions'!$I$30)</f>
        <v>1</v>
      </c>
      <c r="N13" s="404" t="n">
        <f aca="false">M13*(1+'Project Assumptions'!$I$30)</f>
        <v>1</v>
      </c>
      <c r="O13" s="404" t="n">
        <f aca="false">N13*(1+'Project Assumptions'!$I$30)</f>
        <v>1</v>
      </c>
      <c r="P13" s="404" t="n">
        <f aca="false">O13*(1+'Project Assumptions'!$I$30)</f>
        <v>1</v>
      </c>
      <c r="Q13" s="404" t="n">
        <f aca="false">P13*(1+'Project Assumptions'!$I$30)</f>
        <v>1</v>
      </c>
      <c r="R13" s="404" t="n">
        <f aca="false">Q13*(1+'Project Assumptions'!$I$30)</f>
        <v>1</v>
      </c>
      <c r="S13" s="404" t="n">
        <f aca="false">R13*(1+'Project Assumptions'!$I$30)</f>
        <v>1</v>
      </c>
      <c r="T13" s="404" t="n">
        <f aca="false">S13*(1+'Project Assumptions'!$I$30)</f>
        <v>1</v>
      </c>
      <c r="U13" s="404" t="n">
        <f aca="false">T13*(1+'Project Assumptions'!$I$30)</f>
        <v>1</v>
      </c>
      <c r="V13" s="404" t="n">
        <f aca="false">U13*(1+'Project Assumptions'!$I$30)</f>
        <v>1</v>
      </c>
      <c r="W13" s="404" t="n">
        <f aca="false">V13*(1+'Project Assumptions'!$I$30)</f>
        <v>1</v>
      </c>
      <c r="X13" s="404" t="n">
        <f aca="false">W13*(1+'Project Assumptions'!$I$30)</f>
        <v>1</v>
      </c>
      <c r="Y13" s="404" t="n">
        <f aca="false">X13*(1+'Project Assumptions'!$I$30)</f>
        <v>1</v>
      </c>
      <c r="Z13" s="404" t="n">
        <f aca="false">Y13*(1+'Project Assumptions'!$I$30)</f>
        <v>1</v>
      </c>
      <c r="AA13" s="405" t="n">
        <f aca="false">Z13*(1+'Project Assumptions'!$I$30)</f>
        <v>1</v>
      </c>
      <c r="AB13" s="1"/>
      <c r="AC13" s="1"/>
      <c r="AD13" s="1"/>
      <c r="AE13" s="1"/>
      <c r="AF13" s="1"/>
      <c r="AG13" s="1"/>
    </row>
    <row r="14" customFormat="false" ht="12.6" hidden="false" customHeight="true" outlineLevel="1" collapsed="false">
      <c r="A14" s="400" t="s">
        <v>354</v>
      </c>
      <c r="B14" s="406" t="n">
        <v>0.12</v>
      </c>
      <c r="C14" s="407" t="n">
        <v>0</v>
      </c>
      <c r="D14" s="408" t="n">
        <f aca="false">+C14</f>
        <v>0</v>
      </c>
      <c r="E14" s="408" t="n">
        <f aca="false">+D14</f>
        <v>0</v>
      </c>
      <c r="F14" s="408" t="n">
        <f aca="false">+E14</f>
        <v>0</v>
      </c>
      <c r="G14" s="408" t="n">
        <f aca="false">+F14</f>
        <v>0</v>
      </c>
      <c r="H14" s="408" t="n">
        <f aca="false">+G14</f>
        <v>0</v>
      </c>
      <c r="I14" s="408" t="n">
        <f aca="false">+H14</f>
        <v>0</v>
      </c>
      <c r="J14" s="408" t="n">
        <f aca="false">+I14</f>
        <v>0</v>
      </c>
      <c r="K14" s="408" t="n">
        <f aca="false">+J14</f>
        <v>0</v>
      </c>
      <c r="L14" s="408" t="n">
        <f aca="false">+K14</f>
        <v>0</v>
      </c>
      <c r="M14" s="408" t="n">
        <f aca="false">+L14</f>
        <v>0</v>
      </c>
      <c r="N14" s="408" t="n">
        <f aca="false">+M14</f>
        <v>0</v>
      </c>
      <c r="O14" s="408" t="n">
        <f aca="false">+N14</f>
        <v>0</v>
      </c>
      <c r="P14" s="408" t="n">
        <f aca="false">+O14</f>
        <v>0</v>
      </c>
      <c r="Q14" s="408" t="n">
        <f aca="false">+P14</f>
        <v>0</v>
      </c>
      <c r="R14" s="408" t="n">
        <f aca="false">+Q14</f>
        <v>0</v>
      </c>
      <c r="S14" s="408" t="n">
        <f aca="false">+R14</f>
        <v>0</v>
      </c>
      <c r="T14" s="408" t="n">
        <f aca="false">+S14</f>
        <v>0</v>
      </c>
      <c r="U14" s="408" t="n">
        <f aca="false">+T14</f>
        <v>0</v>
      </c>
      <c r="V14" s="408" t="n">
        <f aca="false">+U14</f>
        <v>0</v>
      </c>
      <c r="W14" s="408" t="n">
        <f aca="false">+V14</f>
        <v>0</v>
      </c>
      <c r="X14" s="408" t="n">
        <f aca="false">+W14</f>
        <v>0</v>
      </c>
      <c r="Y14" s="408" t="n">
        <f aca="false">+X14</f>
        <v>0</v>
      </c>
      <c r="Z14" s="408" t="n">
        <f aca="false">+Y14</f>
        <v>0</v>
      </c>
      <c r="AA14" s="409" t="n">
        <f aca="false">+Z14</f>
        <v>0</v>
      </c>
      <c r="AB14" s="1"/>
      <c r="AC14" s="1"/>
      <c r="AD14" s="1"/>
      <c r="AE14" s="1"/>
      <c r="AF14" s="1"/>
      <c r="AG14" s="1"/>
    </row>
    <row r="15" customFormat="false" ht="12.6" hidden="false" customHeight="true" outlineLevel="1" collapsed="false">
      <c r="A15" s="400" t="s">
        <v>355</v>
      </c>
      <c r="B15" s="385"/>
      <c r="C15" s="407" t="n">
        <v>0</v>
      </c>
      <c r="D15" s="408" t="n">
        <f aca="false">+C15</f>
        <v>0</v>
      </c>
      <c r="E15" s="408" t="n">
        <f aca="false">+D15</f>
        <v>0</v>
      </c>
      <c r="F15" s="408" t="n">
        <f aca="false">+E15</f>
        <v>0</v>
      </c>
      <c r="G15" s="408" t="n">
        <f aca="false">+F15</f>
        <v>0</v>
      </c>
      <c r="H15" s="408" t="n">
        <f aca="false">+G15</f>
        <v>0</v>
      </c>
      <c r="I15" s="408" t="n">
        <f aca="false">+H15</f>
        <v>0</v>
      </c>
      <c r="J15" s="408" t="n">
        <f aca="false">+I15</f>
        <v>0</v>
      </c>
      <c r="K15" s="408" t="n">
        <f aca="false">+J15</f>
        <v>0</v>
      </c>
      <c r="L15" s="408" t="n">
        <f aca="false">+K15</f>
        <v>0</v>
      </c>
      <c r="M15" s="408" t="n">
        <f aca="false">+L15</f>
        <v>0</v>
      </c>
      <c r="N15" s="408" t="n">
        <f aca="false">+M15</f>
        <v>0</v>
      </c>
      <c r="O15" s="408" t="n">
        <f aca="false">+N15</f>
        <v>0</v>
      </c>
      <c r="P15" s="408" t="n">
        <f aca="false">+O15</f>
        <v>0</v>
      </c>
      <c r="Q15" s="408" t="n">
        <f aca="false">+P15</f>
        <v>0</v>
      </c>
      <c r="R15" s="408" t="n">
        <f aca="false">+Q15</f>
        <v>0</v>
      </c>
      <c r="S15" s="408" t="n">
        <f aca="false">+R15</f>
        <v>0</v>
      </c>
      <c r="T15" s="408" t="n">
        <f aca="false">+S15</f>
        <v>0</v>
      </c>
      <c r="U15" s="408" t="n">
        <f aca="false">+T15</f>
        <v>0</v>
      </c>
      <c r="V15" s="408" t="n">
        <f aca="false">+U15</f>
        <v>0</v>
      </c>
      <c r="W15" s="408" t="n">
        <f aca="false">+V15</f>
        <v>0</v>
      </c>
      <c r="X15" s="408" t="n">
        <f aca="false">+W15</f>
        <v>0</v>
      </c>
      <c r="Y15" s="408" t="n">
        <f aca="false">+X15</f>
        <v>0</v>
      </c>
      <c r="Z15" s="408" t="n">
        <f aca="false">+Y15</f>
        <v>0</v>
      </c>
      <c r="AA15" s="409" t="n">
        <f aca="false">+Z15</f>
        <v>0</v>
      </c>
      <c r="AB15" s="1"/>
      <c r="AC15" s="1"/>
      <c r="AD15" s="1"/>
      <c r="AE15" s="1"/>
      <c r="AF15" s="1"/>
      <c r="AG15" s="1"/>
    </row>
    <row r="16" customFormat="false" ht="12.6" hidden="false" customHeight="true" outlineLevel="1" collapsed="false">
      <c r="A16" s="410" t="s">
        <v>356</v>
      </c>
      <c r="B16" s="385"/>
      <c r="C16" s="408"/>
      <c r="D16" s="408"/>
      <c r="E16" s="408"/>
      <c r="F16" s="408"/>
      <c r="G16" s="408"/>
      <c r="H16" s="408"/>
      <c r="I16" s="408"/>
      <c r="J16" s="408"/>
      <c r="K16" s="408"/>
      <c r="L16" s="408"/>
      <c r="M16" s="408"/>
      <c r="N16" s="408"/>
      <c r="O16" s="408"/>
      <c r="P16" s="408"/>
      <c r="Q16" s="408"/>
      <c r="R16" s="408"/>
      <c r="S16" s="411" t="n">
        <v>0</v>
      </c>
      <c r="T16" s="412" t="n">
        <f aca="false">S16</f>
        <v>0</v>
      </c>
      <c r="U16" s="412" t="n">
        <f aca="false">T16</f>
        <v>0</v>
      </c>
      <c r="V16" s="412" t="n">
        <f aca="false">U16</f>
        <v>0</v>
      </c>
      <c r="W16" s="412"/>
      <c r="X16" s="412"/>
      <c r="Y16" s="412"/>
      <c r="Z16" s="412"/>
      <c r="AA16" s="413"/>
      <c r="AB16" s="1"/>
      <c r="AC16" s="1"/>
      <c r="AD16" s="1"/>
      <c r="AE16" s="1"/>
      <c r="AF16" s="1"/>
      <c r="AG16" s="1"/>
    </row>
    <row r="17" customFormat="false" ht="12.6" hidden="false" customHeight="true" outlineLevel="1" collapsed="false">
      <c r="A17" s="410" t="s">
        <v>354</v>
      </c>
      <c r="B17" s="385"/>
      <c r="C17" s="408"/>
      <c r="D17" s="408"/>
      <c r="E17" s="408"/>
      <c r="F17" s="408"/>
      <c r="G17" s="408"/>
      <c r="H17" s="408"/>
      <c r="I17" s="408"/>
      <c r="J17" s="408"/>
      <c r="K17" s="408"/>
      <c r="L17" s="408"/>
      <c r="M17" s="408"/>
      <c r="N17" s="408"/>
      <c r="O17" s="408"/>
      <c r="P17" s="408"/>
      <c r="Q17" s="408"/>
      <c r="R17" s="407" t="n">
        <v>0</v>
      </c>
      <c r="S17" s="408" t="n">
        <f aca="false">+R17</f>
        <v>0</v>
      </c>
      <c r="T17" s="408" t="n">
        <f aca="false">+S17</f>
        <v>0</v>
      </c>
      <c r="U17" s="408" t="n">
        <f aca="false">+T17</f>
        <v>0</v>
      </c>
      <c r="V17" s="408" t="n">
        <f aca="false">+U17</f>
        <v>0</v>
      </c>
      <c r="W17" s="408"/>
      <c r="X17" s="408"/>
      <c r="Y17" s="408"/>
      <c r="Z17" s="408"/>
      <c r="AA17" s="409"/>
      <c r="AB17" s="1"/>
      <c r="AC17" s="1"/>
      <c r="AD17" s="1"/>
      <c r="AE17" s="1"/>
      <c r="AF17" s="1"/>
      <c r="AG17" s="1"/>
    </row>
    <row r="18" customFormat="false" ht="12.6" hidden="false" customHeight="true" outlineLevel="1" collapsed="false">
      <c r="A18" s="410" t="s">
        <v>355</v>
      </c>
      <c r="B18" s="385"/>
      <c r="C18" s="408"/>
      <c r="D18" s="408"/>
      <c r="E18" s="408"/>
      <c r="F18" s="408"/>
      <c r="G18" s="408"/>
      <c r="H18" s="408"/>
      <c r="I18" s="408"/>
      <c r="J18" s="408"/>
      <c r="K18" s="408"/>
      <c r="L18" s="408"/>
      <c r="M18" s="408"/>
      <c r="N18" s="408"/>
      <c r="O18" s="408"/>
      <c r="P18" s="408"/>
      <c r="Q18" s="408"/>
      <c r="R18" s="407" t="n">
        <v>0</v>
      </c>
      <c r="S18" s="408" t="n">
        <f aca="false">+R18</f>
        <v>0</v>
      </c>
      <c r="T18" s="408" t="n">
        <f aca="false">+S18</f>
        <v>0</v>
      </c>
      <c r="U18" s="408" t="n">
        <f aca="false">+T18</f>
        <v>0</v>
      </c>
      <c r="V18" s="408" t="n">
        <f aca="false">+U18</f>
        <v>0</v>
      </c>
      <c r="W18" s="408"/>
      <c r="X18" s="408"/>
      <c r="Y18" s="408"/>
      <c r="Z18" s="408"/>
      <c r="AA18" s="409"/>
      <c r="AB18" s="1"/>
      <c r="AC18" s="1"/>
      <c r="AD18" s="1"/>
      <c r="AE18" s="1"/>
      <c r="AF18" s="1"/>
      <c r="AG18" s="1"/>
    </row>
    <row r="19" customFormat="false" ht="12.6" hidden="false" customHeight="true" outlineLevel="0" collapsed="false">
      <c r="A19" s="410"/>
      <c r="B19" s="385"/>
      <c r="C19" s="408"/>
      <c r="D19" s="408"/>
      <c r="E19" s="408"/>
      <c r="F19" s="408"/>
      <c r="G19" s="408"/>
      <c r="H19" s="408"/>
      <c r="I19" s="408"/>
      <c r="J19" s="408"/>
      <c r="K19" s="408"/>
      <c r="L19" s="408"/>
      <c r="M19" s="408"/>
      <c r="N19" s="408"/>
      <c r="O19" s="408"/>
      <c r="P19" s="408"/>
      <c r="Q19" s="408"/>
      <c r="R19" s="408"/>
      <c r="S19" s="408"/>
      <c r="T19" s="408"/>
      <c r="U19" s="408"/>
      <c r="V19" s="408"/>
      <c r="W19" s="408"/>
      <c r="X19" s="408"/>
      <c r="Y19" s="408"/>
      <c r="Z19" s="408"/>
      <c r="AA19" s="409"/>
      <c r="AB19" s="1"/>
      <c r="AC19" s="1"/>
      <c r="AD19" s="1"/>
      <c r="AE19" s="1"/>
      <c r="AF19" s="1"/>
      <c r="AG19" s="1"/>
    </row>
    <row r="20" customFormat="false" ht="15.75" hidden="false" customHeight="false" outlineLevel="0" collapsed="false">
      <c r="A20" s="414" t="s">
        <v>357</v>
      </c>
      <c r="B20" s="385"/>
      <c r="C20" s="385"/>
      <c r="D20" s="385"/>
      <c r="E20" s="385"/>
      <c r="F20" s="385"/>
      <c r="G20" s="385"/>
      <c r="H20" s="385"/>
      <c r="I20" s="385"/>
      <c r="J20" s="385"/>
      <c r="K20" s="385"/>
      <c r="L20" s="385"/>
      <c r="M20" s="385"/>
      <c r="N20" s="385"/>
      <c r="O20" s="385"/>
      <c r="P20" s="385"/>
      <c r="Q20" s="385"/>
      <c r="R20" s="385"/>
      <c r="S20" s="385"/>
      <c r="T20" s="385"/>
      <c r="U20" s="385"/>
      <c r="V20" s="385"/>
      <c r="W20" s="385"/>
      <c r="X20" s="385"/>
      <c r="Y20" s="385"/>
      <c r="Z20" s="385"/>
      <c r="AA20" s="415"/>
      <c r="AB20" s="385"/>
      <c r="AC20" s="385"/>
      <c r="AD20" s="385"/>
      <c r="AE20" s="385"/>
      <c r="AF20" s="385"/>
      <c r="AG20" s="385"/>
    </row>
    <row r="21" customFormat="false" ht="12.6" hidden="false" customHeight="true" outlineLevel="0" collapsed="false">
      <c r="A21" s="416" t="s">
        <v>358</v>
      </c>
      <c r="B21" s="417"/>
      <c r="C21" s="418" t="n">
        <f aca="false">IF(C3&gt;ProjectLife+1,0,('Book Income Statement'!D17/Operations!C30*1000))</f>
        <v>55.7348051747489</v>
      </c>
      <c r="D21" s="418" t="n">
        <f aca="false">IF(D3&gt;ProjectLife+1,0,('Book Income Statement'!E17/Operations!D30*1000))</f>
        <v>72.5648495575612</v>
      </c>
      <c r="E21" s="418" t="n">
        <f aca="false">IF(E3&gt;ProjectLife+1,0,('Book Income Statement'!F17/Operations!E30*1000))</f>
        <v>72.7234822344363</v>
      </c>
      <c r="F21" s="418" t="n">
        <f aca="false">IF(F3&gt;ProjectLife+1,0,('Book Income Statement'!G17/Operations!F30*1000))</f>
        <v>80.3138363705154</v>
      </c>
      <c r="G21" s="418" t="n">
        <f aca="false">IF(G3&gt;ProjectLife+1,0,('Book Income Statement'!H17/Operations!G30*1000))</f>
        <v>86.6935088886938</v>
      </c>
      <c r="H21" s="418" t="n">
        <f aca="false">IF(H3&gt;ProjectLife+1,0,('Book Income Statement'!I17/Operations!H30*1000))</f>
        <v>87.4703378988166</v>
      </c>
      <c r="I21" s="418" t="n">
        <f aca="false">IF(I3&gt;ProjectLife+1,0,('Book Income Statement'!J17/Operations!I30*1000))</f>
        <v>88.2405547834398</v>
      </c>
      <c r="J21" s="418" t="n">
        <f aca="false">IF(J3&gt;ProjectLife+1,0,('Book Income Statement'!K17/Operations!J30*1000))</f>
        <v>90.0689078918598</v>
      </c>
      <c r="K21" s="418" t="n">
        <f aca="false">IF(K3&gt;ProjectLife+1,0,('Book Income Statement'!L17/Operations!K30*1000))</f>
        <v>90.8545798837348</v>
      </c>
      <c r="L21" s="418" t="n">
        <f aca="false">IF(L3&gt;ProjectLife+1,0,('Book Income Statement'!M17/Operations!L30*1000))</f>
        <v>92.7613537451638</v>
      </c>
      <c r="M21" s="418" t="n">
        <f aca="false">IF(M3&gt;ProjectLife+1,0,('Book Income Statement'!N17/Operations!M30*1000))</f>
        <v>93.5609594315112</v>
      </c>
      <c r="N21" s="418" t="n">
        <f aca="false">IF(N3&gt;ProjectLife+1,0,('Book Income Statement'!O17/Operations!N30*1000))</f>
        <v>95.5489246793734</v>
      </c>
      <c r="O21" s="418" t="n">
        <f aca="false">IF(O3&gt;ProjectLife+1,0,('Book Income Statement'!P17/Operations!O30*1000))</f>
        <v>96.3612472760398</v>
      </c>
      <c r="P21" s="418" t="n">
        <f aca="false">IF(P3&gt;ProjectLife+1,0,('Book Income Statement'!Q17/Operations!P30*1000))</f>
        <v>97.1608811023472</v>
      </c>
      <c r="Q21" s="418" t="n">
        <f aca="false">IF(Q3&gt;ProjectLife+1,0,('Book Income Statement'!R17/Operations!Q30*1000))</f>
        <v>97.9463337417372</v>
      </c>
      <c r="R21" s="418" t="n">
        <f aca="false">IF(R3&gt;ProjectLife+1,0,('Book Income Statement'!S17/Operations!R30*1000))</f>
        <v>98.7160346525509</v>
      </c>
      <c r="S21" s="418" t="n">
        <f aca="false">IF(S3&gt;ProjectLife+1,0,('Book Income Statement'!T17/Operations!S30*1000))</f>
        <v>99.4683318236984</v>
      </c>
      <c r="T21" s="418" t="n">
        <f aca="false">IF(T3&gt;ProjectLife+1,0,('Book Income Statement'!U17/Operations!T30*1000))</f>
        <v>100.20148829998</v>
      </c>
      <c r="U21" s="418" t="n">
        <f aca="false">IF(U3&gt;ProjectLife+1,0,('Book Income Statement'!V17/Operations!U30*1000))</f>
        <v>100.91367857225</v>
      </c>
      <c r="V21" s="418" t="n">
        <f aca="false">IF(V3&gt;ProjectLife+1,0,('Book Income Statement'!W17/Operations!V30*1000))</f>
        <v>101.602984827438</v>
      </c>
      <c r="W21" s="418" t="n">
        <f aca="false">IF(W3&gt;ProjectLife+1,0,('Book Income Statement'!X17/Operations!W30*1000))</f>
        <v>61.1717909315609</v>
      </c>
      <c r="X21" s="418" t="n">
        <f aca="false">IF(X3&gt;ProjectLife+1,0,('Book Income Statement'!Y17/Operations!X30*1000))</f>
        <v>0</v>
      </c>
      <c r="Y21" s="418" t="n">
        <f aca="false">IF(Y3&gt;ProjectLife+1,0,('Book Income Statement'!Z17/Operations!Y30*1000))</f>
        <v>0</v>
      </c>
      <c r="Z21" s="418" t="n">
        <f aca="false">IF(Z3&gt;ProjectLife+1,0,('Book Income Statement'!AA17/Operations!Z30*1000))</f>
        <v>0</v>
      </c>
      <c r="AA21" s="419" t="n">
        <f aca="false">IF(AA3&gt;ProjectLife+1,0,('Book Income Statement'!AB17/Operations!AA30*1000))</f>
        <v>0</v>
      </c>
      <c r="AB21" s="417"/>
      <c r="AC21" s="417"/>
      <c r="AD21" s="417"/>
      <c r="AE21" s="417"/>
      <c r="AF21" s="417"/>
      <c r="AG21" s="417"/>
    </row>
    <row r="22" customFormat="false" ht="12.6" hidden="false" customHeight="true" outlineLevel="0" collapsed="false">
      <c r="A22" s="420"/>
      <c r="B22" s="417"/>
      <c r="C22" s="418"/>
      <c r="D22" s="418"/>
      <c r="E22" s="418"/>
      <c r="F22" s="418"/>
      <c r="G22" s="418"/>
      <c r="H22" s="418"/>
      <c r="I22" s="418"/>
      <c r="J22" s="418"/>
      <c r="K22" s="418"/>
      <c r="L22" s="418"/>
      <c r="M22" s="418"/>
      <c r="N22" s="418"/>
      <c r="O22" s="418"/>
      <c r="P22" s="418"/>
      <c r="Q22" s="418"/>
      <c r="R22" s="418"/>
      <c r="S22" s="418"/>
      <c r="T22" s="418"/>
      <c r="U22" s="418"/>
      <c r="V22" s="418"/>
      <c r="W22" s="418"/>
      <c r="X22" s="418"/>
      <c r="Y22" s="418"/>
      <c r="Z22" s="418"/>
      <c r="AA22" s="419"/>
      <c r="AB22" s="417"/>
      <c r="AC22" s="417"/>
      <c r="AD22" s="417"/>
      <c r="AE22" s="417"/>
      <c r="AF22" s="417"/>
      <c r="AG22" s="417"/>
    </row>
    <row r="23" customFormat="false" ht="12.6" hidden="false" customHeight="true" outlineLevel="0" collapsed="false">
      <c r="A23" s="416" t="s">
        <v>359</v>
      </c>
      <c r="B23" s="417"/>
      <c r="C23" s="421" t="n">
        <f aca="false">IF(C3&gt;ProjectLife+1,0,IF(Operations!C30=0,0,(Operations!C44*Operations!C32/1000)))</f>
        <v>27.26</v>
      </c>
      <c r="D23" s="421" t="n">
        <f aca="false">IF(D3&gt;ProjectLife+1,0,IF(Operations!D30=0,0,(Operations!D44*Operations!D32/1000)))</f>
        <v>27.26</v>
      </c>
      <c r="E23" s="421" t="n">
        <f aca="false">IF(E3&gt;ProjectLife+1,0,IF(Operations!E30=0,0,(Operations!E44*Operations!E32/1000)))</f>
        <v>27.26</v>
      </c>
      <c r="F23" s="421" t="n">
        <f aca="false">IF(F3&gt;ProjectLife+1,0,IF(Operations!F30=0,0,(Operations!F44*Operations!F32/1000)))</f>
        <v>27.26</v>
      </c>
      <c r="G23" s="421" t="n">
        <f aca="false">IF(G3&gt;ProjectLife+1,0,IF(Operations!G30=0,0,(Operations!G44*Operations!G32/1000)))</f>
        <v>27.26</v>
      </c>
      <c r="H23" s="421" t="n">
        <f aca="false">IF(H3&gt;ProjectLife+1,0,IF(Operations!H30=0,0,(Operations!H44*Operations!H32/1000)))</f>
        <v>27.26</v>
      </c>
      <c r="I23" s="421" t="n">
        <f aca="false">IF(I3&gt;ProjectLife+1,0,IF(Operations!I30=0,0,(Operations!I44*Operations!I32/1000)))</f>
        <v>27.26</v>
      </c>
      <c r="J23" s="421" t="n">
        <f aca="false">IF(J3&gt;ProjectLife+1,0,IF(Operations!J30=0,0,(Operations!J44*Operations!J32/1000)))</f>
        <v>27.26</v>
      </c>
      <c r="K23" s="421" t="n">
        <f aca="false">IF(K3&gt;ProjectLife+1,0,IF(Operations!K30=0,0,(Operations!K44*Operations!K32/1000)))</f>
        <v>27.26</v>
      </c>
      <c r="L23" s="421" t="n">
        <f aca="false">IF(L3&gt;ProjectLife+1,0,IF(Operations!L30=0,0,(Operations!L44*Operations!L32/1000)))</f>
        <v>27.26</v>
      </c>
      <c r="M23" s="421" t="n">
        <f aca="false">IF(M3&gt;ProjectLife+1,0,IF(Operations!M30=0,0,(Operations!M44*Operations!M32/1000)))</f>
        <v>27.26</v>
      </c>
      <c r="N23" s="421" t="n">
        <f aca="false">IF(N3&gt;ProjectLife+1,0,IF(Operations!N30=0,0,(Operations!N44*Operations!N32/1000)))</f>
        <v>27.26</v>
      </c>
      <c r="O23" s="421" t="n">
        <f aca="false">IF(O3&gt;ProjectLife+1,0,IF(Operations!O30=0,0,(Operations!O44*Operations!O32/1000)))</f>
        <v>27.26</v>
      </c>
      <c r="P23" s="421" t="n">
        <f aca="false">IF(P3&gt;ProjectLife+1,0,IF(Operations!P30=0,0,(Operations!P44*Operations!P32/1000)))</f>
        <v>27.26</v>
      </c>
      <c r="Q23" s="421" t="n">
        <f aca="false">IF(Q3&gt;ProjectLife+1,0,IF(Operations!Q30=0,0,(Operations!Q44*Operations!Q32/1000)))</f>
        <v>27.26</v>
      </c>
      <c r="R23" s="421" t="n">
        <f aca="false">IF(R3&gt;ProjectLife+1,0,IF(Operations!R30=0,0,(Operations!R44*Operations!R32/1000)))</f>
        <v>27.26</v>
      </c>
      <c r="S23" s="421" t="n">
        <f aca="false">IF(S3&gt;ProjectLife+1,0,IF(Operations!S30=0,0,(Operations!S44*Operations!S32/1000)))</f>
        <v>27.26</v>
      </c>
      <c r="T23" s="421" t="n">
        <f aca="false">IF(T3&gt;ProjectLife+1,0,IF(Operations!T30=0,0,(Operations!T44*Operations!T32/1000)))</f>
        <v>27.26</v>
      </c>
      <c r="U23" s="421" t="n">
        <f aca="false">IF(U3&gt;ProjectLife+1,0,IF(Operations!U30=0,0,(Operations!U44*Operations!U32/1000)))</f>
        <v>27.26</v>
      </c>
      <c r="V23" s="421" t="n">
        <f aca="false">IF(V3&gt;ProjectLife+1,0,IF(Operations!V30=0,0,(Operations!V44*Operations!V32/1000)))</f>
        <v>27.26</v>
      </c>
      <c r="W23" s="421" t="n">
        <f aca="false">IF(W3&gt;ProjectLife+1,0,IF(Operations!W30=0,0,(Operations!W44*Operations!W32/1000)))</f>
        <v>27.26</v>
      </c>
      <c r="X23" s="421" t="n">
        <f aca="false">IF(X3&gt;ProjectLife+1,0,IF(Operations!X30=0,0,(Operations!X44*Operations!X32/1000)))</f>
        <v>0</v>
      </c>
      <c r="Y23" s="421" t="n">
        <f aca="false">IF(Y3&gt;ProjectLife+1,0,IF(Operations!Y30=0,0,(Operations!Y44*Operations!Y32/1000)))</f>
        <v>0</v>
      </c>
      <c r="Z23" s="421" t="n">
        <f aca="false">IF(Z3&gt;ProjectLife+1,0,IF(Operations!Z30=0,0,(Operations!Z44*Operations!Z32/1000)))</f>
        <v>0</v>
      </c>
      <c r="AA23" s="422" t="n">
        <f aca="false">IF(AA3&gt;ProjectLife+1,0,IF(Operations!AA30=0,0,(Operations!AA44*Operations!AA32/1000)))</f>
        <v>0</v>
      </c>
      <c r="AB23" s="417"/>
      <c r="AC23" s="417"/>
      <c r="AD23" s="417"/>
      <c r="AE23" s="417"/>
      <c r="AF23" s="417"/>
      <c r="AG23" s="417"/>
    </row>
    <row r="24" customFormat="false" ht="12.6" hidden="false" customHeight="true" outlineLevel="0" collapsed="false">
      <c r="A24" s="416" t="s">
        <v>360</v>
      </c>
      <c r="B24" s="417"/>
      <c r="C24" s="423" t="n">
        <f aca="false">IF(C3&gt;ProjectLife+1,0,IF(Operations!C30=0,0,(VEP)*((1+VEP_ESCAL)^('PPA Assumptions &amp;Summary'!C4-'Project Assumptions'!$N$6))))</f>
        <v>1.25328952614379</v>
      </c>
      <c r="D24" s="423" t="n">
        <f aca="false">IF(D3&gt;ProjectLife+1,0,IF(Operations!D30=0,0,(VEP)*((1+VEP_ESCAL)^('PPA Assumptions &amp;Summary'!D4-'Project Assumptions'!$N$6))))</f>
        <v>1.2908882119281</v>
      </c>
      <c r="E24" s="423" t="n">
        <f aca="false">IF(E3&gt;ProjectLife+1,0,IF(Operations!E30=0,0,(VEP)*((1+VEP_ESCAL)^('PPA Assumptions &amp;Summary'!E4-'Project Assumptions'!$N$6))))</f>
        <v>1.32961485828595</v>
      </c>
      <c r="F24" s="423" t="n">
        <f aca="false">IF(F3&gt;ProjectLife+1,0,IF(Operations!F30=0,0,(VEP)*((1+VEP_ESCAL)^('PPA Assumptions &amp;Summary'!F4-'Project Assumptions'!$N$6))))</f>
        <v>1.36950330403453</v>
      </c>
      <c r="G24" s="423" t="n">
        <f aca="false">IF(G3&gt;ProjectLife+1,0,IF(Operations!G30=0,0,(VEP)*((1+VEP_ESCAL)^('PPA Assumptions &amp;Summary'!G4-'Project Assumptions'!$N$6))))</f>
        <v>1.41058840315556</v>
      </c>
      <c r="H24" s="423" t="n">
        <f aca="false">IF(H3&gt;ProjectLife+1,0,IF(Operations!H30=0,0,(VEP)*((1+VEP_ESCAL)^('PPA Assumptions &amp;Summary'!H4-'Project Assumptions'!$N$6))))</f>
        <v>1.45290605525023</v>
      </c>
      <c r="I24" s="423" t="n">
        <f aca="false">IF(I3&gt;ProjectLife+1,0,IF(Operations!I30=0,0,(VEP)*((1+VEP_ESCAL)^('PPA Assumptions &amp;Summary'!I4-'Project Assumptions'!$N$6))))</f>
        <v>1.49649323690774</v>
      </c>
      <c r="J24" s="423" t="n">
        <f aca="false">IF(J3&gt;ProjectLife+1,0,IF(Operations!J30=0,0,(VEP)*((1+VEP_ESCAL)^('PPA Assumptions &amp;Summary'!J4-'Project Assumptions'!$N$6))))</f>
        <v>1.54138803401497</v>
      </c>
      <c r="K24" s="423" t="n">
        <f aca="false">IF(K3&gt;ProjectLife+1,0,IF(Operations!K30=0,0,(VEP)*((1+VEP_ESCAL)^('PPA Assumptions &amp;Summary'!K4-'Project Assumptions'!$N$6))))</f>
        <v>1.58762967503542</v>
      </c>
      <c r="L24" s="423" t="n">
        <f aca="false">IF(L3&gt;ProjectLife+1,0,IF(Operations!L30=0,0,(VEP)*((1+VEP_ESCAL)^('PPA Assumptions &amp;Summary'!L4-'Project Assumptions'!$N$6))))</f>
        <v>1.63525856528648</v>
      </c>
      <c r="M24" s="423" t="n">
        <f aca="false">IF(M3&gt;ProjectLife+1,0,IF(Operations!M30=0,0,(VEP)*((1+VEP_ESCAL)^('PPA Assumptions &amp;Summary'!M4-'Project Assumptions'!$N$6))))</f>
        <v>1.68431632224507</v>
      </c>
      <c r="N24" s="423" t="n">
        <f aca="false">IF(N3&gt;ProjectLife+1,0,IF(Operations!N30=0,0,(VEP)*((1+VEP_ESCAL)^('PPA Assumptions &amp;Summary'!N4-'Project Assumptions'!$N$6))))</f>
        <v>1.73484581191243</v>
      </c>
      <c r="O24" s="423" t="n">
        <f aca="false">IF(O3&gt;ProjectLife+1,0,IF(Operations!O30=0,0,(VEP)*((1+VEP_ESCAL)^('PPA Assumptions &amp;Summary'!O4-'Project Assumptions'!$N$6))))</f>
        <v>1.7868911862698</v>
      </c>
      <c r="P24" s="423" t="n">
        <f aca="false">IF(P3&gt;ProjectLife+1,0,IF(Operations!P30=0,0,(VEP)*((1+VEP_ESCAL)^('PPA Assumptions &amp;Summary'!P4-'Project Assumptions'!$N$6))))</f>
        <v>1.84049792185789</v>
      </c>
      <c r="Q24" s="423" t="n">
        <f aca="false">IF(Q3&gt;ProjectLife+1,0,IF(Operations!Q30=0,0,(VEP)*((1+VEP_ESCAL)^('PPA Assumptions &amp;Summary'!Q4-'Project Assumptions'!$N$6))))</f>
        <v>1.89571285951363</v>
      </c>
      <c r="R24" s="423" t="n">
        <f aca="false">IF(R3&gt;ProjectLife+1,0,IF(Operations!R30=0,0,(VEP)*((1+VEP_ESCAL)^('PPA Assumptions &amp;Summary'!R4-'Project Assumptions'!$N$6))))</f>
        <v>1.95258424529904</v>
      </c>
      <c r="S24" s="423" t="n">
        <f aca="false">IF(S3&gt;ProjectLife+1,0,IF(Operations!S30=0,0,(VEP)*((1+VEP_ESCAL)^('PPA Assumptions &amp;Summary'!S4-'Project Assumptions'!$N$6))))</f>
        <v>2.01116177265801</v>
      </c>
      <c r="T24" s="423" t="n">
        <f aca="false">IF(T3&gt;ProjectLife+1,0,IF(Operations!T30=0,0,(VEP)*((1+VEP_ESCAL)^('PPA Assumptions &amp;Summary'!T4-'Project Assumptions'!$N$6))))</f>
        <v>2.07149662583775</v>
      </c>
      <c r="U24" s="423" t="n">
        <f aca="false">IF(U3&gt;ProjectLife+1,0,IF(Operations!U30=0,0,(VEP)*((1+VEP_ESCAL)^('PPA Assumptions &amp;Summary'!U4-'Project Assumptions'!$N$6))))</f>
        <v>2.13364152461288</v>
      </c>
      <c r="V24" s="423" t="n">
        <f aca="false">IF(V3&gt;ProjectLife+1,0,IF(Operations!V30=0,0,(VEP)*((1+VEP_ESCAL)^('PPA Assumptions &amp;Summary'!V4-'Project Assumptions'!$N$6))))</f>
        <v>2.19765077035127</v>
      </c>
      <c r="W24" s="423" t="n">
        <f aca="false">IF(W3&gt;ProjectLife+1,0,IF(Operations!W30=0,0,(VEP)*((1+VEP_ESCAL)^('PPA Assumptions &amp;Summary'!W4-'Project Assumptions'!$N$6))))</f>
        <v>2.26358029346181</v>
      </c>
      <c r="X24" s="423" t="n">
        <f aca="false">IF(X3&gt;ProjectLife+1,0,IF(Operations!X30=0,0,(VEP)*((1+VEP_ESCAL)^('PPA Assumptions &amp;Summary'!X4-'Project Assumptions'!$N$6))))</f>
        <v>0</v>
      </c>
      <c r="Y24" s="423" t="n">
        <f aca="false">IF(Y3&gt;ProjectLife+1,0,IF(Operations!Y30=0,0,(VEP)*((1+VEP_ESCAL)^('PPA Assumptions &amp;Summary'!Y4-'Project Assumptions'!$N$6))))</f>
        <v>0</v>
      </c>
      <c r="Z24" s="423" t="n">
        <f aca="false">IF(Z3&gt;ProjectLife+1,0,IF(Operations!Z30=0,0,(VEP)*((1+VEP_ESCAL)^('PPA Assumptions &amp;Summary'!Z4-'Project Assumptions'!$N$6))))</f>
        <v>0</v>
      </c>
      <c r="AA24" s="423" t="n">
        <f aca="false">IF(AA3&gt;ProjectLife+1,0,IF(Operations!AA30=0,0,(VEP)*((1+VEP_ESCAL)^('PPA Assumptions &amp;Summary'!AA4-'Project Assumptions'!$N$6))))</f>
        <v>0</v>
      </c>
      <c r="AB24" s="417"/>
      <c r="AC24" s="417"/>
      <c r="AD24" s="417"/>
      <c r="AE24" s="417"/>
      <c r="AF24" s="417"/>
      <c r="AG24" s="417"/>
    </row>
    <row r="25" customFormat="false" ht="12.6" hidden="false" customHeight="true" outlineLevel="0" collapsed="false">
      <c r="A25" s="424" t="s">
        <v>361</v>
      </c>
      <c r="B25" s="425"/>
      <c r="C25" s="426" t="n">
        <f aca="false">IF(C3&gt;ProjectLife+1,0,SUM(C23:C24))</f>
        <v>28.5132895261438</v>
      </c>
      <c r="D25" s="426" t="n">
        <f aca="false">IF(D3&gt;ProjectLife+1,0,SUM(D23:D24))</f>
        <v>28.5508882119281</v>
      </c>
      <c r="E25" s="426" t="n">
        <f aca="false">IF(E3&gt;ProjectLife+1,0,SUM(E23:E24))</f>
        <v>28.5896148582859</v>
      </c>
      <c r="F25" s="426" t="n">
        <f aca="false">IF(F3&gt;ProjectLife+1,0,SUM(F23:F24))</f>
        <v>28.6295033040345</v>
      </c>
      <c r="G25" s="426" t="n">
        <f aca="false">IF(G3&gt;ProjectLife+1,0,SUM(G23:G24))</f>
        <v>28.6705884031556</v>
      </c>
      <c r="H25" s="426" t="n">
        <f aca="false">IF(H3&gt;ProjectLife+1,0,SUM(H23:H24))</f>
        <v>28.7129060552502</v>
      </c>
      <c r="I25" s="426" t="n">
        <f aca="false">IF(I3&gt;ProjectLife+1,0,SUM(I23:I24))</f>
        <v>28.7564932369077</v>
      </c>
      <c r="J25" s="426" t="n">
        <f aca="false">IF(J3&gt;ProjectLife+1,0,SUM(J23:J24))</f>
        <v>28.801388034015</v>
      </c>
      <c r="K25" s="426" t="n">
        <f aca="false">IF(K3&gt;ProjectLife+1,0,SUM(K23:K24))</f>
        <v>28.8476296750354</v>
      </c>
      <c r="L25" s="426" t="n">
        <f aca="false">IF(L3&gt;ProjectLife+1,0,SUM(L23:L24))</f>
        <v>28.8952585652865</v>
      </c>
      <c r="M25" s="426" t="n">
        <f aca="false">IF(M3&gt;ProjectLife+1,0,SUM(M23:M24))</f>
        <v>28.9443163222451</v>
      </c>
      <c r="N25" s="426" t="n">
        <f aca="false">IF(N3&gt;ProjectLife+1,0,SUM(N23:N24))</f>
        <v>28.9948458119124</v>
      </c>
      <c r="O25" s="426" t="n">
        <f aca="false">IF(O3&gt;ProjectLife+1,0,SUM(O23:O24))</f>
        <v>29.0468911862698</v>
      </c>
      <c r="P25" s="426" t="n">
        <f aca="false">IF(P3&gt;ProjectLife+1,0,SUM(P23:P24))</f>
        <v>29.1004979218579</v>
      </c>
      <c r="Q25" s="426" t="n">
        <f aca="false">IF(Q3&gt;ProjectLife+1,0,SUM(Q23:Q24))</f>
        <v>29.1557128595136</v>
      </c>
      <c r="R25" s="426" t="n">
        <f aca="false">IF(R3&gt;ProjectLife+1,0,SUM(R23:R24))</f>
        <v>29.212584245299</v>
      </c>
      <c r="S25" s="426" t="n">
        <f aca="false">IF(S3&gt;ProjectLife+1,0,SUM(S23:S24))</f>
        <v>29.271161772658</v>
      </c>
      <c r="T25" s="426" t="n">
        <f aca="false">IF(T3&gt;ProjectLife+1,0,SUM(T23:T24))</f>
        <v>29.3314966258378</v>
      </c>
      <c r="U25" s="426" t="n">
        <f aca="false">IF(U3&gt;ProjectLife+1,0,SUM(U23:U24))</f>
        <v>29.3936415246129</v>
      </c>
      <c r="V25" s="426" t="n">
        <f aca="false">IF(V3&gt;ProjectLife+1,0,SUM(V23:V24))</f>
        <v>29.4576507703513</v>
      </c>
      <c r="W25" s="426" t="n">
        <f aca="false">IF(W3&gt;ProjectLife+1,0,SUM(W23:W24))</f>
        <v>29.5235802934618</v>
      </c>
      <c r="X25" s="426" t="n">
        <f aca="false">IF(X3&gt;ProjectLife+1,0,SUM(X23:X24))</f>
        <v>0</v>
      </c>
      <c r="Y25" s="426" t="n">
        <f aca="false">IF(Y3&gt;ProjectLife+1,0,SUM(Y23:Y24))</f>
        <v>0</v>
      </c>
      <c r="Z25" s="426" t="n">
        <f aca="false">IF(Z3&gt;ProjectLife+1,0,SUM(Z23:Z24))</f>
        <v>0</v>
      </c>
      <c r="AA25" s="427" t="n">
        <f aca="false">IF(AA3&gt;ProjectLife+1,0,SUM(AA23:AA24))</f>
        <v>0</v>
      </c>
      <c r="AB25" s="417"/>
      <c r="AC25" s="417"/>
      <c r="AD25" s="417"/>
      <c r="AE25" s="417"/>
      <c r="AF25" s="417"/>
      <c r="AG25" s="417"/>
    </row>
    <row r="26" customFormat="false" ht="12.6" hidden="false" customHeight="true" outlineLevel="0" collapsed="false">
      <c r="A26" s="428"/>
      <c r="B26" s="417"/>
      <c r="C26" s="429"/>
      <c r="D26" s="429"/>
      <c r="E26" s="429"/>
      <c r="F26" s="429"/>
      <c r="G26" s="429"/>
      <c r="H26" s="429"/>
      <c r="I26" s="429"/>
      <c r="J26" s="429"/>
      <c r="K26" s="429"/>
      <c r="L26" s="429"/>
      <c r="M26" s="429"/>
      <c r="N26" s="429"/>
      <c r="O26" s="429"/>
      <c r="P26" s="429"/>
      <c r="Q26" s="429"/>
      <c r="R26" s="429"/>
      <c r="S26" s="429"/>
      <c r="T26" s="429"/>
      <c r="U26" s="429"/>
      <c r="V26" s="429"/>
      <c r="W26" s="429"/>
      <c r="X26" s="429"/>
      <c r="Y26" s="429"/>
      <c r="Z26" s="429"/>
      <c r="AA26" s="429"/>
      <c r="AB26" s="417"/>
      <c r="AC26" s="417"/>
      <c r="AD26" s="417"/>
      <c r="AE26" s="417"/>
      <c r="AF26" s="417"/>
      <c r="AG26" s="417"/>
    </row>
    <row r="27" customFormat="false" ht="15.75" hidden="false" customHeight="false" outlineLevel="0" collapsed="false">
      <c r="A27" s="430" t="s">
        <v>362</v>
      </c>
      <c r="B27" s="431"/>
      <c r="C27" s="431"/>
      <c r="D27" s="431"/>
      <c r="E27" s="431"/>
      <c r="F27" s="431"/>
      <c r="G27" s="431"/>
      <c r="H27" s="431"/>
      <c r="I27" s="431"/>
      <c r="J27" s="431"/>
      <c r="K27" s="431"/>
      <c r="L27" s="431"/>
      <c r="M27" s="431"/>
      <c r="N27" s="431"/>
      <c r="O27" s="431"/>
      <c r="P27" s="431"/>
      <c r="Q27" s="431"/>
      <c r="R27" s="431"/>
      <c r="S27" s="431"/>
      <c r="T27" s="431"/>
      <c r="U27" s="431"/>
      <c r="V27" s="431"/>
      <c r="W27" s="431"/>
      <c r="X27" s="431"/>
      <c r="Y27" s="431"/>
      <c r="Z27" s="431"/>
      <c r="AA27" s="432"/>
      <c r="AB27" s="385"/>
      <c r="AC27" s="385"/>
      <c r="AD27" s="385"/>
      <c r="AE27" s="385"/>
      <c r="AF27" s="385"/>
      <c r="AG27" s="385"/>
    </row>
    <row r="28" customFormat="false" ht="11.25" hidden="false" customHeight="false" outlineLevel="0" collapsed="false">
      <c r="A28" s="433" t="s">
        <v>363</v>
      </c>
      <c r="B28" s="434" t="s">
        <v>364</v>
      </c>
      <c r="C28" s="434"/>
      <c r="D28" s="434"/>
      <c r="E28" s="434"/>
      <c r="F28" s="434"/>
      <c r="G28" s="434"/>
      <c r="H28" s="434"/>
      <c r="I28" s="434"/>
      <c r="J28" s="434"/>
      <c r="K28" s="434"/>
      <c r="L28" s="434"/>
      <c r="M28" s="434"/>
      <c r="N28" s="434"/>
      <c r="O28" s="434"/>
      <c r="P28" s="434"/>
      <c r="Q28" s="434"/>
      <c r="R28" s="434"/>
      <c r="S28" s="434"/>
      <c r="T28" s="434"/>
      <c r="U28" s="434"/>
      <c r="V28" s="434"/>
      <c r="W28" s="434"/>
      <c r="X28" s="434"/>
      <c r="Y28" s="434"/>
      <c r="Z28" s="434"/>
      <c r="AA28" s="435"/>
      <c r="AB28" s="385"/>
      <c r="AC28" s="385"/>
      <c r="AD28" s="385"/>
      <c r="AE28" s="385"/>
      <c r="AF28" s="385"/>
      <c r="AG28" s="385"/>
    </row>
    <row r="29" customFormat="false" ht="12.75" hidden="false" customHeight="false" outlineLevel="0" collapsed="false">
      <c r="A29" s="410" t="s">
        <v>365</v>
      </c>
      <c r="B29" s="436" t="n">
        <f aca="false">AVERAGE(C29:V29)</f>
        <v>1056.30278157272</v>
      </c>
      <c r="C29" s="30" t="n">
        <f aca="false">'Book Income Statement'!D28</f>
        <v>767.01319</v>
      </c>
      <c r="D29" s="30" t="n">
        <f aca="false">'Book Income Statement'!E28</f>
        <v>790.0235857</v>
      </c>
      <c r="E29" s="30" t="n">
        <f aca="false">'Book Income Statement'!F28</f>
        <v>813.724293271</v>
      </c>
      <c r="F29" s="30" t="n">
        <f aca="false">'Book Income Statement'!G28</f>
        <v>856.317454350767</v>
      </c>
      <c r="G29" s="30" t="n">
        <f aca="false">'Book Income Statement'!H28</f>
        <v>887.983455317987</v>
      </c>
      <c r="H29" s="30" t="n">
        <f aca="false">'Book Income Statement'!I28</f>
        <v>914.622958977526</v>
      </c>
      <c r="I29" s="30" t="n">
        <f aca="false">'Book Income Statement'!J28</f>
        <v>942.061647746852</v>
      </c>
      <c r="J29" s="30" t="n">
        <f aca="false">'Book Income Statement'!K28</f>
        <v>970.323497179258</v>
      </c>
      <c r="K29" s="30" t="n">
        <f aca="false">'Book Income Statement'!L28</f>
        <v>999.433202094635</v>
      </c>
      <c r="L29" s="30" t="n">
        <f aca="false">'Book Income Statement'!M28</f>
        <v>1029.41619815747</v>
      </c>
      <c r="M29" s="30" t="n">
        <f aca="false">'Book Income Statement'!N28</f>
        <v>1060.2986841022</v>
      </c>
      <c r="N29" s="30" t="n">
        <f aca="false">'Book Income Statement'!O28</f>
        <v>1092.10764462526</v>
      </c>
      <c r="O29" s="30" t="n">
        <f aca="false">'Book Income Statement'!P28</f>
        <v>1124.87087396402</v>
      </c>
      <c r="P29" s="30" t="n">
        <f aca="false">'Book Income Statement'!Q28</f>
        <v>1158.61700018294</v>
      </c>
      <c r="Q29" s="30" t="n">
        <f aca="false">'Book Income Statement'!R28</f>
        <v>1193.37551018843</v>
      </c>
      <c r="R29" s="30" t="n">
        <f aca="false">'Book Income Statement'!S28</f>
        <v>1229.17677549408</v>
      </c>
      <c r="S29" s="30" t="n">
        <f aca="false">'Book Income Statement'!T28</f>
        <v>1266.05207875891</v>
      </c>
      <c r="T29" s="30" t="n">
        <f aca="false">'Book Income Statement'!U28</f>
        <v>1304.03364112167</v>
      </c>
      <c r="U29" s="30" t="n">
        <f aca="false">'Book Income Statement'!V28</f>
        <v>1343.15465035532</v>
      </c>
      <c r="V29" s="30" t="n">
        <f aca="false">'Book Income Statement'!W28</f>
        <v>1383.44928986598</v>
      </c>
      <c r="W29" s="30" t="n">
        <f aca="false">'Book Income Statement'!X28</f>
        <v>1424.95276856196</v>
      </c>
      <c r="X29" s="30" t="n">
        <f aca="false">'Book Income Statement'!Y28</f>
        <v>0</v>
      </c>
      <c r="Y29" s="30" t="n">
        <f aca="false">'Book Income Statement'!Z28</f>
        <v>0</v>
      </c>
      <c r="Z29" s="30" t="n">
        <f aca="false">'Book Income Statement'!AA28</f>
        <v>0</v>
      </c>
      <c r="AA29" s="437"/>
    </row>
    <row r="30" customFormat="false" ht="12.75" hidden="false" customHeight="false" outlineLevel="0" collapsed="false">
      <c r="A30" s="410" t="s">
        <v>366</v>
      </c>
      <c r="B30" s="438" t="n">
        <f aca="false">AVERAGE(C30:V30)</f>
        <v>3177.86944376093</v>
      </c>
      <c r="C30" s="30" t="n">
        <f aca="false">'Book Income Statement'!D34</f>
        <v>2365.3332</v>
      </c>
      <c r="D30" s="30" t="n">
        <f aca="false">'Book Income Statement'!E34</f>
        <v>2436.293196</v>
      </c>
      <c r="E30" s="30" t="n">
        <f aca="false">'Book Income Statement'!F34</f>
        <v>2509.38199188</v>
      </c>
      <c r="F30" s="30" t="n">
        <f aca="false">'Book Income Statement'!G34</f>
        <v>2584.6634516364</v>
      </c>
      <c r="G30" s="30" t="n">
        <f aca="false">'Book Income Statement'!H34</f>
        <v>2662.20335518549</v>
      </c>
      <c r="H30" s="30" t="n">
        <f aca="false">'Book Income Statement'!I34</f>
        <v>2742.06945584106</v>
      </c>
      <c r="I30" s="30" t="n">
        <f aca="false">'Book Income Statement'!J34</f>
        <v>2824.33153951629</v>
      </c>
      <c r="J30" s="30" t="n">
        <f aca="false">'Book Income Statement'!K34</f>
        <v>2909.06148570178</v>
      </c>
      <c r="K30" s="30" t="n">
        <f aca="false">'Book Income Statement'!L34</f>
        <v>2996.33333027283</v>
      </c>
      <c r="L30" s="30" t="n">
        <f aca="false">'Book Income Statement'!M34</f>
        <v>3086.22333018102</v>
      </c>
      <c r="M30" s="30" t="n">
        <f aca="false">'Book Income Statement'!N34</f>
        <v>3178.81003008645</v>
      </c>
      <c r="N30" s="30" t="n">
        <f aca="false">'Book Income Statement'!O34</f>
        <v>3274.17433098904</v>
      </c>
      <c r="O30" s="30" t="n">
        <f aca="false">'Book Income Statement'!P34</f>
        <v>3372.39956091871</v>
      </c>
      <c r="P30" s="30" t="n">
        <f aca="false">'Book Income Statement'!Q34</f>
        <v>3473.57154774627</v>
      </c>
      <c r="Q30" s="30" t="n">
        <f aca="false">'Book Income Statement'!R34</f>
        <v>3577.77869417866</v>
      </c>
      <c r="R30" s="30" t="n">
        <f aca="false">'Book Income Statement'!S34</f>
        <v>3685.11205500402</v>
      </c>
      <c r="S30" s="30" t="n">
        <f aca="false">'Book Income Statement'!T34</f>
        <v>3795.66541665414</v>
      </c>
      <c r="T30" s="30" t="n">
        <f aca="false">'Book Income Statement'!U34</f>
        <v>3909.53537915377</v>
      </c>
      <c r="U30" s="30" t="n">
        <f aca="false">'Book Income Statement'!V34</f>
        <v>4026.82144052838</v>
      </c>
      <c r="V30" s="30" t="n">
        <f aca="false">'Book Income Statement'!W34</f>
        <v>4147.62608374423</v>
      </c>
      <c r="W30" s="30" t="n">
        <f aca="false">'Book Income Statement'!X34</f>
        <v>4272.05486625656</v>
      </c>
      <c r="X30" s="30" t="n">
        <f aca="false">'Book Income Statement'!Y34</f>
        <v>0</v>
      </c>
      <c r="Y30" s="30" t="n">
        <f aca="false">'Book Income Statement'!Z34</f>
        <v>0</v>
      </c>
      <c r="Z30" s="30" t="n">
        <f aca="false">'Book Income Statement'!AA34</f>
        <v>0</v>
      </c>
      <c r="AA30" s="437"/>
    </row>
    <row r="31" customFormat="false" ht="12.75" hidden="false" customHeight="false" outlineLevel="0" collapsed="false">
      <c r="A31" s="410" t="s">
        <v>367</v>
      </c>
      <c r="B31" s="438" t="n">
        <f aca="false">AVERAGE(C31:V31)</f>
        <v>3312.96774453896</v>
      </c>
      <c r="C31" s="30" t="n">
        <f aca="false">'Book Income Statement'!D42+'Book Income Statement'!D51</f>
        <v>1283.06191176471</v>
      </c>
      <c r="D31" s="30" t="n">
        <f aca="false">'Book Income Statement'!E42+'Book Income Statement'!E51</f>
        <v>2212.47574705882</v>
      </c>
      <c r="E31" s="30" t="n">
        <f aca="false">'Book Income Statement'!F42+'Book Income Statement'!F51</f>
        <v>2278.85001947059</v>
      </c>
      <c r="F31" s="30" t="n">
        <f aca="false">'Book Income Statement'!G42+'Book Income Statement'!G51</f>
        <v>2604.26658005471</v>
      </c>
      <c r="G31" s="30" t="n">
        <f aca="false">'Book Income Statement'!H42+'Book Income Statement'!H51</f>
        <v>2871.51071445635</v>
      </c>
      <c r="H31" s="30" t="n">
        <f aca="false">'Book Income Statement'!I42+'Book Income Statement'!I51</f>
        <v>2957.65603589004</v>
      </c>
      <c r="I31" s="30" t="n">
        <f aca="false">'Book Income Statement'!J42+'Book Income Statement'!J51</f>
        <v>3046.38571696674</v>
      </c>
      <c r="J31" s="30" t="n">
        <f aca="false">'Book Income Statement'!K42+'Book Income Statement'!K51</f>
        <v>3137.77728847574</v>
      </c>
      <c r="K31" s="30" t="n">
        <f aca="false">'Book Income Statement'!L42+'Book Income Statement'!L51</f>
        <v>3231.91060713001</v>
      </c>
      <c r="L31" s="30" t="n">
        <f aca="false">'Book Income Statement'!M42+'Book Income Statement'!M51</f>
        <v>3328.86792534391</v>
      </c>
      <c r="M31" s="30" t="n">
        <f aca="false">'Book Income Statement'!N42+'Book Income Statement'!N51</f>
        <v>3428.73396310423</v>
      </c>
      <c r="N31" s="30" t="n">
        <f aca="false">'Book Income Statement'!O42+'Book Income Statement'!O51</f>
        <v>3531.59598199736</v>
      </c>
      <c r="O31" s="30" t="n">
        <f aca="false">'Book Income Statement'!P42+'Book Income Statement'!P51</f>
        <v>3637.54386145728</v>
      </c>
      <c r="P31" s="30" t="n">
        <f aca="false">'Book Income Statement'!Q42+'Book Income Statement'!Q51</f>
        <v>3746.670177301</v>
      </c>
      <c r="Q31" s="30" t="n">
        <f aca="false">'Book Income Statement'!R42+'Book Income Statement'!R51</f>
        <v>3859.07028262003</v>
      </c>
      <c r="R31" s="30" t="n">
        <f aca="false">'Book Income Statement'!S42+'Book Income Statement'!S51</f>
        <v>3974.84239109863</v>
      </c>
      <c r="S31" s="30" t="n">
        <f aca="false">'Book Income Statement'!T42+'Book Income Statement'!T51</f>
        <v>4094.08766283159</v>
      </c>
      <c r="T31" s="30" t="n">
        <f aca="false">'Book Income Statement'!U42+'Book Income Statement'!U51</f>
        <v>4216.91029271654</v>
      </c>
      <c r="U31" s="30" t="n">
        <f aca="false">'Book Income Statement'!V42+'Book Income Statement'!V51</f>
        <v>4343.41760149803</v>
      </c>
      <c r="V31" s="30" t="n">
        <f aca="false">'Book Income Statement'!W42+'Book Income Statement'!W51</f>
        <v>4473.72012954297</v>
      </c>
      <c r="W31" s="30" t="n">
        <f aca="false">'Book Income Statement'!X42+'Book Income Statement'!X51</f>
        <v>1995.93358394033</v>
      </c>
      <c r="X31" s="30" t="n">
        <f aca="false">'Book Income Statement'!Y42+'Book Income Statement'!Y51</f>
        <v>0</v>
      </c>
      <c r="Y31" s="30" t="n">
        <f aca="false">'Book Income Statement'!Z42+'Book Income Statement'!Z51</f>
        <v>0</v>
      </c>
      <c r="Z31" s="30" t="n">
        <f aca="false">'Book Income Statement'!AA42+'Book Income Statement'!AA51</f>
        <v>0</v>
      </c>
      <c r="AA31" s="437"/>
    </row>
    <row r="32" customFormat="false" ht="12.75" hidden="false" customHeight="false" outlineLevel="0" collapsed="false">
      <c r="A32" s="410" t="s">
        <v>368</v>
      </c>
      <c r="B32" s="438" t="n">
        <f aca="false">AVERAGE(C32:V32)</f>
        <v>245.60635648</v>
      </c>
      <c r="C32" s="30" t="n">
        <f aca="false">'Book Income Statement'!D53</f>
        <v>245.60635648</v>
      </c>
      <c r="D32" s="30" t="n">
        <f aca="false">'Book Income Statement'!E53</f>
        <v>245.60635648</v>
      </c>
      <c r="E32" s="30" t="n">
        <f aca="false">'Book Income Statement'!F53</f>
        <v>245.60635648</v>
      </c>
      <c r="F32" s="30" t="n">
        <f aca="false">'Book Income Statement'!G53</f>
        <v>245.60635648</v>
      </c>
      <c r="G32" s="30" t="n">
        <f aca="false">'Book Income Statement'!H53</f>
        <v>245.60635648</v>
      </c>
      <c r="H32" s="30" t="n">
        <f aca="false">'Book Income Statement'!I53</f>
        <v>245.60635648</v>
      </c>
      <c r="I32" s="30" t="n">
        <f aca="false">'Book Income Statement'!J53</f>
        <v>245.60635648</v>
      </c>
      <c r="J32" s="30" t="n">
        <f aca="false">'Book Income Statement'!K53</f>
        <v>245.60635648</v>
      </c>
      <c r="K32" s="30" t="n">
        <f aca="false">'Book Income Statement'!L53</f>
        <v>245.60635648</v>
      </c>
      <c r="L32" s="30" t="n">
        <f aca="false">'Book Income Statement'!M53</f>
        <v>245.60635648</v>
      </c>
      <c r="M32" s="30" t="n">
        <f aca="false">'Book Income Statement'!N53</f>
        <v>245.60635648</v>
      </c>
      <c r="N32" s="30" t="n">
        <f aca="false">'Book Income Statement'!O53</f>
        <v>245.60635648</v>
      </c>
      <c r="O32" s="30" t="n">
        <f aca="false">'Book Income Statement'!P53</f>
        <v>245.60635648</v>
      </c>
      <c r="P32" s="30" t="n">
        <f aca="false">'Book Income Statement'!Q53</f>
        <v>245.60635648</v>
      </c>
      <c r="Q32" s="30" t="n">
        <f aca="false">'Book Income Statement'!R53</f>
        <v>245.60635648</v>
      </c>
      <c r="R32" s="30" t="n">
        <f aca="false">'Book Income Statement'!S53</f>
        <v>245.60635648</v>
      </c>
      <c r="S32" s="30" t="n">
        <f aca="false">'Book Income Statement'!T53</f>
        <v>245.60635648</v>
      </c>
      <c r="T32" s="30" t="n">
        <f aca="false">'Book Income Statement'!U53</f>
        <v>245.60635648</v>
      </c>
      <c r="U32" s="30" t="n">
        <f aca="false">'Book Income Statement'!V53</f>
        <v>245.60635648</v>
      </c>
      <c r="V32" s="30" t="n">
        <f aca="false">'Book Income Statement'!W53</f>
        <v>245.60635648</v>
      </c>
      <c r="W32" s="30" t="n">
        <f aca="false">'Book Income Statement'!X53</f>
        <v>245.60635648</v>
      </c>
      <c r="X32" s="30" t="n">
        <f aca="false">'Book Income Statement'!Y53</f>
        <v>0</v>
      </c>
      <c r="Y32" s="30" t="n">
        <f aca="false">'Book Income Statement'!Z53</f>
        <v>0</v>
      </c>
      <c r="Z32" s="30" t="n">
        <f aca="false">'Book Income Statement'!AA53</f>
        <v>0</v>
      </c>
      <c r="AA32" s="437"/>
    </row>
    <row r="33" customFormat="false" ht="12.75" hidden="false" customHeight="false" outlineLevel="0" collapsed="false">
      <c r="A33" s="410" t="s">
        <v>369</v>
      </c>
      <c r="B33" s="438" t="n">
        <f aca="false">AVERAGE(C33:V33)</f>
        <v>0</v>
      </c>
      <c r="C33" s="30" t="n">
        <f aca="false">'Book Income Statement'!D58</f>
        <v>0</v>
      </c>
      <c r="D33" s="30" t="n">
        <f aca="false">'Book Income Statement'!E58</f>
        <v>0</v>
      </c>
      <c r="E33" s="30" t="n">
        <f aca="false">'Book Income Statement'!F58</f>
        <v>0</v>
      </c>
      <c r="F33" s="30" t="n">
        <f aca="false">'Book Income Statement'!G58</f>
        <v>0</v>
      </c>
      <c r="G33" s="30" t="n">
        <f aca="false">'Book Income Statement'!H58</f>
        <v>0</v>
      </c>
      <c r="H33" s="30" t="n">
        <f aca="false">'Book Income Statement'!I58</f>
        <v>0</v>
      </c>
      <c r="I33" s="30" t="n">
        <f aca="false">'Book Income Statement'!J58</f>
        <v>0</v>
      </c>
      <c r="J33" s="30" t="n">
        <f aca="false">'Book Income Statement'!K58</f>
        <v>0</v>
      </c>
      <c r="K33" s="30" t="n">
        <f aca="false">'Book Income Statement'!L58</f>
        <v>0</v>
      </c>
      <c r="L33" s="30" t="n">
        <f aca="false">'Book Income Statement'!M58</f>
        <v>0</v>
      </c>
      <c r="M33" s="30" t="n">
        <f aca="false">'Book Income Statement'!N58</f>
        <v>0</v>
      </c>
      <c r="N33" s="30" t="n">
        <f aca="false">'Book Income Statement'!O58</f>
        <v>0</v>
      </c>
      <c r="O33" s="30" t="n">
        <f aca="false">'Book Income Statement'!P58</f>
        <v>0</v>
      </c>
      <c r="P33" s="30" t="n">
        <f aca="false">'Book Income Statement'!Q58</f>
        <v>0</v>
      </c>
      <c r="Q33" s="30" t="n">
        <f aca="false">'Book Income Statement'!R58</f>
        <v>0</v>
      </c>
      <c r="R33" s="30" t="n">
        <f aca="false">'Book Income Statement'!S58</f>
        <v>0</v>
      </c>
      <c r="S33" s="30" t="n">
        <f aca="false">'Book Income Statement'!T58</f>
        <v>0</v>
      </c>
      <c r="T33" s="30" t="n">
        <f aca="false">'Book Income Statement'!U58</f>
        <v>0</v>
      </c>
      <c r="U33" s="30" t="n">
        <f aca="false">'Book Income Statement'!V58</f>
        <v>0</v>
      </c>
      <c r="V33" s="30" t="n">
        <f aca="false">'Book Income Statement'!W58</f>
        <v>0</v>
      </c>
      <c r="W33" s="30" t="n">
        <f aca="false">'Book Income Statement'!X58</f>
        <v>0</v>
      </c>
      <c r="X33" s="30" t="n">
        <f aca="false">'Book Income Statement'!Y58</f>
        <v>0</v>
      </c>
      <c r="Y33" s="30" t="n">
        <f aca="false">'Book Income Statement'!Z58</f>
        <v>0</v>
      </c>
      <c r="Z33" s="30" t="n">
        <f aca="false">'Book Income Statement'!AA58</f>
        <v>0</v>
      </c>
      <c r="AA33" s="437"/>
    </row>
    <row r="34" customFormat="false" ht="12.75" hidden="false" customHeight="false" outlineLevel="0" collapsed="false">
      <c r="A34" s="410" t="s">
        <v>370</v>
      </c>
      <c r="B34" s="439" t="n">
        <f aca="false">AVERAGE(C34:V34)</f>
        <v>12266.226377329</v>
      </c>
      <c r="C34" s="440" t="n">
        <f aca="false">'Returns Summary'!C23</f>
        <v>15384.892950567</v>
      </c>
      <c r="D34" s="440" t="n">
        <f aca="false">'Returns Summary'!D23</f>
        <v>15033.102246252</v>
      </c>
      <c r="E34" s="440" t="n">
        <f aca="false">'Returns Summary'!E23</f>
        <v>16642.969744437</v>
      </c>
      <c r="F34" s="440" t="n">
        <f aca="false">'Returns Summary'!F23</f>
        <v>18104.3397166927</v>
      </c>
      <c r="G34" s="440" t="n">
        <f aca="false">'Returns Summary'!G23</f>
        <v>13636.8593263192</v>
      </c>
      <c r="H34" s="440" t="n">
        <f aca="false">'Returns Summary'!H23</f>
        <v>13224.3304529663</v>
      </c>
      <c r="I34" s="440" t="n">
        <f aca="false">'Returns Summary'!I23</f>
        <v>13517.9985325134</v>
      </c>
      <c r="J34" s="440" t="n">
        <f aca="false">'Returns Summary'!J23</f>
        <v>13047.7027484132</v>
      </c>
      <c r="K34" s="440" t="n">
        <f aca="false">'Returns Summary'!K23</f>
        <v>16500.723369313</v>
      </c>
      <c r="L34" s="440" t="n">
        <f aca="false">'Returns Summary'!L23</f>
        <v>18401.2876887544</v>
      </c>
      <c r="M34" s="440" t="n">
        <f aca="false">'Returns Summary'!M23</f>
        <v>7619.44140361926</v>
      </c>
      <c r="N34" s="440" t="n">
        <f aca="false">'Returns Summary'!N23</f>
        <v>8094.57071353038</v>
      </c>
      <c r="O34" s="440" t="n">
        <f aca="false">'Returns Summary'!O23</f>
        <v>7805.73615979428</v>
      </c>
      <c r="P34" s="440" t="n">
        <f aca="false">'Returns Summary'!P23</f>
        <v>7516.90160605818</v>
      </c>
      <c r="Q34" s="440" t="n">
        <f aca="false">'Returns Summary'!Q23</f>
        <v>7228.06705232208</v>
      </c>
      <c r="R34" s="440" t="n">
        <f aca="false">'Returns Summary'!R23</f>
        <v>6939.23249858598</v>
      </c>
      <c r="S34" s="440" t="n">
        <f aca="false">'Returns Summary'!S23</f>
        <v>10181.3827093499</v>
      </c>
      <c r="T34" s="440" t="n">
        <f aca="false">'Returns Summary'!T23</f>
        <v>11016.1075076777</v>
      </c>
      <c r="U34" s="440" t="n">
        <f aca="false">'Returns Summary'!U23</f>
        <v>12441.495437411</v>
      </c>
      <c r="V34" s="440" t="n">
        <f aca="false">'Returns Summary'!V23</f>
        <v>12987.3856820027</v>
      </c>
      <c r="W34" s="440" t="n">
        <f aca="false">'Returns Summary'!W23</f>
        <v>0</v>
      </c>
      <c r="X34" s="440" t="n">
        <f aca="false">'Returns Summary'!X23</f>
        <v>0</v>
      </c>
      <c r="Y34" s="440" t="n">
        <f aca="false">'Returns Summary'!Y23</f>
        <v>0</v>
      </c>
      <c r="Z34" s="440" t="n">
        <f aca="false">'Returns Summary'!Z23</f>
        <v>0</v>
      </c>
      <c r="AA34" s="437"/>
    </row>
    <row r="35" customFormat="false" ht="12.75" hidden="false" customHeight="false" outlineLevel="0" collapsed="false">
      <c r="A35" s="410" t="s">
        <v>371</v>
      </c>
      <c r="B35" s="265"/>
      <c r="C35" s="30" t="n">
        <f aca="false">SUM(C29:C34)</f>
        <v>20045.9076088117</v>
      </c>
      <c r="D35" s="30" t="n">
        <f aca="false">SUM(D29:D34)</f>
        <v>20717.5011314908</v>
      </c>
      <c r="E35" s="30" t="n">
        <f aca="false">SUM(E29:E34)</f>
        <v>22490.5324055386</v>
      </c>
      <c r="F35" s="30" t="n">
        <f aca="false">SUM(F29:F34)</f>
        <v>24395.1935592146</v>
      </c>
      <c r="G35" s="30" t="n">
        <f aca="false">SUM(G29:G34)</f>
        <v>20304.1632077591</v>
      </c>
      <c r="H35" s="30" t="n">
        <f aca="false">SUM(H29:H34)</f>
        <v>20084.2852601549</v>
      </c>
      <c r="I35" s="30" t="n">
        <f aca="false">SUM(I29:I34)</f>
        <v>20576.3837932233</v>
      </c>
      <c r="J35" s="30" t="n">
        <f aca="false">SUM(J29:J34)</f>
        <v>20310.47137625</v>
      </c>
      <c r="K35" s="30" t="n">
        <f aca="false">SUM(K29:K34)</f>
        <v>23974.0068652905</v>
      </c>
      <c r="L35" s="30" t="n">
        <f aca="false">SUM(L29:L34)</f>
        <v>26091.4014989168</v>
      </c>
      <c r="M35" s="30" t="n">
        <f aca="false">SUM(M29:M34)</f>
        <v>15532.8904373921</v>
      </c>
      <c r="N35" s="30" t="n">
        <f aca="false">SUM(N29:N34)</f>
        <v>16238.055027622</v>
      </c>
      <c r="O35" s="30" t="n">
        <f aca="false">SUM(O29:O34)</f>
        <v>16186.1568126143</v>
      </c>
      <c r="P35" s="30" t="n">
        <f aca="false">SUM(P29:P34)</f>
        <v>16141.3666877684</v>
      </c>
      <c r="Q35" s="30" t="n">
        <f aca="false">SUM(Q29:Q34)</f>
        <v>16103.8978957892</v>
      </c>
      <c r="R35" s="30" t="n">
        <f aca="false">SUM(R29:R34)</f>
        <v>16073.9700766627</v>
      </c>
      <c r="S35" s="30" t="n">
        <f aca="false">SUM(S29:S34)</f>
        <v>19582.7942240745</v>
      </c>
      <c r="T35" s="30" t="n">
        <f aca="false">SUM(T29:T34)</f>
        <v>20692.1931771497</v>
      </c>
      <c r="U35" s="30" t="n">
        <f aca="false">SUM(U29:U34)</f>
        <v>22400.4954862728</v>
      </c>
      <c r="V35" s="30" t="n">
        <f aca="false">SUM(V29:V34)</f>
        <v>23237.7875416359</v>
      </c>
      <c r="W35" s="30" t="n">
        <f aca="false">SUM(W29:W34)</f>
        <v>7938.54757523885</v>
      </c>
      <c r="X35" s="30" t="n">
        <f aca="false">SUM(X29:X34)</f>
        <v>0</v>
      </c>
      <c r="Y35" s="30" t="n">
        <f aca="false">SUM(Y29:Y34)</f>
        <v>0</v>
      </c>
      <c r="Z35" s="30" t="n">
        <f aca="false">SUM(Z29:Z34)</f>
        <v>0</v>
      </c>
      <c r="AA35" s="437"/>
    </row>
    <row r="36" customFormat="false" ht="12.75" hidden="false" customHeight="false" outlineLevel="0" collapsed="false">
      <c r="A36" s="410"/>
      <c r="B36" s="265"/>
      <c r="C36" s="30"/>
      <c r="D36" s="30"/>
      <c r="E36" s="30"/>
      <c r="F36" s="30"/>
      <c r="G36" s="30"/>
      <c r="H36" s="30"/>
      <c r="I36" s="30"/>
      <c r="J36" s="30"/>
      <c r="K36" s="30"/>
      <c r="L36" s="30"/>
      <c r="M36" s="30"/>
      <c r="N36" s="30"/>
      <c r="O36" s="30"/>
      <c r="P36" s="30"/>
      <c r="Q36" s="30"/>
      <c r="R36" s="30"/>
      <c r="S36" s="30"/>
      <c r="T36" s="30"/>
      <c r="U36" s="30"/>
      <c r="V36" s="30"/>
      <c r="W36" s="30"/>
      <c r="X36" s="30"/>
      <c r="Y36" s="30"/>
      <c r="Z36" s="30"/>
      <c r="AA36" s="437"/>
    </row>
    <row r="37" customFormat="false" ht="12.75" hidden="false" customHeight="false" outlineLevel="0" collapsed="false">
      <c r="A37" s="441" t="s">
        <v>372</v>
      </c>
      <c r="B37" s="434" t="s">
        <v>364</v>
      </c>
      <c r="C37" s="442"/>
      <c r="D37" s="442"/>
      <c r="E37" s="442"/>
      <c r="F37" s="442"/>
      <c r="G37" s="442"/>
      <c r="H37" s="442"/>
      <c r="I37" s="442"/>
      <c r="J37" s="442"/>
      <c r="K37" s="442"/>
      <c r="L37" s="442"/>
      <c r="M37" s="442"/>
      <c r="N37" s="442"/>
      <c r="O37" s="442"/>
      <c r="P37" s="442"/>
      <c r="Q37" s="442"/>
      <c r="R37" s="442"/>
      <c r="S37" s="442"/>
      <c r="T37" s="442"/>
      <c r="U37" s="442"/>
      <c r="V37" s="442"/>
      <c r="W37" s="442"/>
      <c r="X37" s="442"/>
      <c r="Y37" s="442"/>
      <c r="Z37" s="442"/>
      <c r="AA37" s="437"/>
    </row>
    <row r="38" customFormat="false" ht="12.75" hidden="false" customHeight="false" outlineLevel="0" collapsed="false">
      <c r="A38" s="410" t="s">
        <v>373</v>
      </c>
      <c r="B38" s="436" t="n">
        <f aca="false">AVERAGE(C38:V38)</f>
        <v>1939.28786429393</v>
      </c>
      <c r="C38" s="442" t="n">
        <f aca="false">'Book Income Statement'!D38+'Book Income Statement'!D37+'Book Income Statement'!D41+'Book Income Statement'!D39</f>
        <v>855.268578431373</v>
      </c>
      <c r="D38" s="442" t="n">
        <f aca="false">'Book Income Statement'!E38+'Book Income Statement'!E37+'Book Income Statement'!E41+'Book Income Statement'!E39</f>
        <v>1510.15994705882</v>
      </c>
      <c r="E38" s="442" t="n">
        <f aca="false">'Book Income Statement'!F38+'Book Income Statement'!F37+'Book Income Statement'!F41+'Book Income Statement'!F39</f>
        <v>1555.46474547059</v>
      </c>
      <c r="F38" s="442" t="n">
        <f aca="false">'Book Income Statement'!G38+'Book Income Statement'!G37+'Book Income Statement'!G41+'Book Income Statement'!G39</f>
        <v>1602.12868783471</v>
      </c>
      <c r="G38" s="442" t="n">
        <f aca="false">'Book Income Statement'!H38+'Book Income Statement'!H37+'Book Income Statement'!H41+'Book Income Statement'!H39</f>
        <v>1650.19254846975</v>
      </c>
      <c r="H38" s="442" t="n">
        <f aca="false">'Book Income Statement'!I38+'Book Income Statement'!I37+'Book Income Statement'!I41+'Book Income Statement'!I39</f>
        <v>1699.69832492384</v>
      </c>
      <c r="I38" s="442" t="n">
        <f aca="false">'Book Income Statement'!J38+'Book Income Statement'!J37+'Book Income Statement'!J41+'Book Income Statement'!J39</f>
        <v>1750.68927467156</v>
      </c>
      <c r="J38" s="442" t="n">
        <f aca="false">'Book Income Statement'!K38+'Book Income Statement'!K37+'Book Income Statement'!K41+'Book Income Statement'!K39</f>
        <v>1803.2099529117</v>
      </c>
      <c r="K38" s="442" t="n">
        <f aca="false">'Book Income Statement'!L38+'Book Income Statement'!L37+'Book Income Statement'!L41+'Book Income Statement'!L39</f>
        <v>1857.30625149905</v>
      </c>
      <c r="L38" s="442" t="n">
        <f aca="false">'Book Income Statement'!M38+'Book Income Statement'!M37+'Book Income Statement'!M41+'Book Income Statement'!M39</f>
        <v>1913.02543904402</v>
      </c>
      <c r="M38" s="442" t="n">
        <f aca="false">'Book Income Statement'!N38+'Book Income Statement'!N37+'Book Income Statement'!N41+'Book Income Statement'!N39</f>
        <v>1970.41620221535</v>
      </c>
      <c r="N38" s="442" t="n">
        <f aca="false">'Book Income Statement'!O38+'Book Income Statement'!O37+'Book Income Statement'!O41+'Book Income Statement'!O39</f>
        <v>2029.52868828181</v>
      </c>
      <c r="O38" s="442" t="n">
        <f aca="false">'Book Income Statement'!P38+'Book Income Statement'!P37+'Book Income Statement'!P41+'Book Income Statement'!P39</f>
        <v>2090.41454893026</v>
      </c>
      <c r="P38" s="442" t="n">
        <f aca="false">'Book Income Statement'!Q38+'Book Income Statement'!Q37+'Book Income Statement'!Q41+'Book Income Statement'!Q39</f>
        <v>2153.12698539817</v>
      </c>
      <c r="Q38" s="442" t="n">
        <f aca="false">'Book Income Statement'!R38+'Book Income Statement'!R37+'Book Income Statement'!R41+'Book Income Statement'!R39</f>
        <v>2217.72079496011</v>
      </c>
      <c r="R38" s="442" t="n">
        <f aca="false">'Book Income Statement'!S38+'Book Income Statement'!S37+'Book Income Statement'!S41+'Book Income Statement'!S39</f>
        <v>2284.25241880892</v>
      </c>
      <c r="S38" s="442" t="n">
        <f aca="false">'Book Income Statement'!T38+'Book Income Statement'!T37+'Book Income Statement'!T41+'Book Income Statement'!T39</f>
        <v>2352.77999137318</v>
      </c>
      <c r="T38" s="442" t="n">
        <f aca="false">'Book Income Statement'!U38+'Book Income Statement'!U37+'Book Income Statement'!U41+'Book Income Statement'!U39</f>
        <v>2423.36339111438</v>
      </c>
      <c r="U38" s="442" t="n">
        <f aca="false">'Book Income Statement'!V38+'Book Income Statement'!V37+'Book Income Statement'!V41+'Book Income Statement'!V39</f>
        <v>2496.06429284781</v>
      </c>
      <c r="V38" s="442" t="n">
        <f aca="false">'Book Income Statement'!W38+'Book Income Statement'!W37+'Book Income Statement'!W41+'Book Income Statement'!W39</f>
        <v>2570.94622163325</v>
      </c>
      <c r="W38" s="442" t="n">
        <f aca="false">'Book Income Statement'!X38+'Book Income Statement'!X37+'Book Income Statement'!X41+'Book Income Statement'!X39</f>
        <v>1103.3644201176</v>
      </c>
      <c r="X38" s="442" t="n">
        <f aca="false">'Book Income Statement'!Y38+'Book Income Statement'!Y37+'Book Income Statement'!Y41+'Book Income Statement'!Y39</f>
        <v>0</v>
      </c>
      <c r="Y38" s="442" t="n">
        <f aca="false">'Book Income Statement'!Z38+'Book Income Statement'!Z37+'Book Income Statement'!Z41+'Book Income Statement'!Z39</f>
        <v>0</v>
      </c>
      <c r="Z38" s="442" t="n">
        <f aca="false">'Book Income Statement'!AA38+'Book Income Statement'!AA37+'Book Income Statement'!AA41+'Book Income Statement'!AA39</f>
        <v>0</v>
      </c>
      <c r="AA38" s="437"/>
    </row>
    <row r="39" customFormat="false" ht="12.75" hidden="false" customHeight="false" outlineLevel="0" collapsed="false">
      <c r="A39" s="410" t="s">
        <v>374</v>
      </c>
      <c r="B39" s="439" t="n">
        <f aca="false">AVERAGE(C39:V39)</f>
        <v>903.388344119478</v>
      </c>
      <c r="C39" s="442" t="n">
        <f aca="false">SUM('Book Income Statement'!D45:D50)</f>
        <v>427.793333333333</v>
      </c>
      <c r="D39" s="442" t="n">
        <f aca="false">SUM('Book Income Statement'!E45:E50)</f>
        <v>702.3158</v>
      </c>
      <c r="E39" s="442" t="n">
        <f aca="false">SUM('Book Income Statement'!F45:F50)</f>
        <v>723.385274</v>
      </c>
      <c r="F39" s="442" t="n">
        <f aca="false">SUM('Book Income Statement'!G45:G50)</f>
        <v>745.08683222</v>
      </c>
      <c r="G39" s="442" t="n">
        <f aca="false">SUM('Book Income Statement'!H45:H50)</f>
        <v>767.4394371866</v>
      </c>
      <c r="H39" s="442" t="n">
        <f aca="false">SUM('Book Income Statement'!I45:I50)</f>
        <v>790.462620302198</v>
      </c>
      <c r="I39" s="442" t="n">
        <f aca="false">SUM('Book Income Statement'!J45:J50)</f>
        <v>814.176498911264</v>
      </c>
      <c r="J39" s="442" t="n">
        <f aca="false">SUM('Book Income Statement'!K45:K50)</f>
        <v>838.601793878602</v>
      </c>
      <c r="K39" s="442" t="n">
        <f aca="false">SUM('Book Income Statement'!L45:L50)</f>
        <v>863.75984769496</v>
      </c>
      <c r="L39" s="442" t="n">
        <f aca="false">SUM('Book Income Statement'!M45:M50)</f>
        <v>889.672643125809</v>
      </c>
      <c r="M39" s="442" t="n">
        <f aca="false">SUM('Book Income Statement'!N45:N50)</f>
        <v>916.362822419583</v>
      </c>
      <c r="N39" s="442" t="n">
        <f aca="false">SUM('Book Income Statement'!O45:O50)</f>
        <v>943.853707092171</v>
      </c>
      <c r="O39" s="442" t="n">
        <f aca="false">SUM('Book Income Statement'!P45:P50)</f>
        <v>972.169318304936</v>
      </c>
      <c r="P39" s="442" t="n">
        <f aca="false">SUM('Book Income Statement'!Q45:Q50)</f>
        <v>1001.33439785408</v>
      </c>
      <c r="Q39" s="442" t="n">
        <f aca="false">SUM('Book Income Statement'!R45:R50)</f>
        <v>1031.37442978971</v>
      </c>
      <c r="R39" s="442" t="n">
        <f aca="false">SUM('Book Income Statement'!S45:S50)</f>
        <v>1062.3156626834</v>
      </c>
      <c r="S39" s="442" t="n">
        <f aca="false">SUM('Book Income Statement'!T45:T50)</f>
        <v>1094.1851325639</v>
      </c>
      <c r="T39" s="442" t="n">
        <f aca="false">SUM('Book Income Statement'!U45:U50)</f>
        <v>1127.01068654082</v>
      </c>
      <c r="U39" s="442" t="n">
        <f aca="false">SUM('Book Income Statement'!V45:V50)</f>
        <v>1160.82100713704</v>
      </c>
      <c r="V39" s="442" t="n">
        <f aca="false">SUM('Book Income Statement'!W45:W50)</f>
        <v>1195.64563735115</v>
      </c>
      <c r="W39" s="442" t="n">
        <f aca="false">SUM('Book Income Statement'!X45:X50)</f>
        <v>589.093281041341</v>
      </c>
      <c r="X39" s="442" t="n">
        <f aca="false">SUM('Book Income Statement'!Y45:Y50)</f>
        <v>0</v>
      </c>
      <c r="Y39" s="442" t="n">
        <f aca="false">SUM('Book Income Statement'!Z45:Z50)</f>
        <v>0</v>
      </c>
      <c r="Z39" s="442" t="n">
        <f aca="false">SUM('Book Income Statement'!AA45:AA50)</f>
        <v>0</v>
      </c>
      <c r="AA39" s="437"/>
    </row>
    <row r="40" customFormat="false" ht="12.75" hidden="false" customHeight="false" outlineLevel="0" collapsed="false">
      <c r="A40" s="400"/>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437"/>
    </row>
    <row r="41" customFormat="false" ht="12.75" hidden="false" customHeight="false" outlineLevel="0" collapsed="false">
      <c r="A41" s="433" t="s">
        <v>375</v>
      </c>
      <c r="B41" s="434" t="s">
        <v>364</v>
      </c>
      <c r="C41" s="442"/>
      <c r="D41" s="442"/>
      <c r="E41" s="442"/>
      <c r="F41" s="442"/>
      <c r="G41" s="442"/>
      <c r="H41" s="442"/>
      <c r="I41" s="442"/>
      <c r="J41" s="442"/>
      <c r="K41" s="442"/>
      <c r="L41" s="442"/>
      <c r="M41" s="442"/>
      <c r="N41" s="442"/>
      <c r="O41" s="442"/>
      <c r="P41" s="442"/>
      <c r="Q41" s="442"/>
      <c r="R41" s="442"/>
      <c r="S41" s="442"/>
      <c r="T41" s="442"/>
      <c r="U41" s="442"/>
      <c r="V41" s="442"/>
      <c r="W41" s="442"/>
      <c r="X41" s="442"/>
      <c r="Y41" s="442"/>
      <c r="Z41" s="442"/>
      <c r="AA41" s="437"/>
    </row>
    <row r="42" customFormat="false" ht="12.6" hidden="false" customHeight="true" outlineLevel="0" collapsed="false">
      <c r="A42" s="410" t="s">
        <v>376</v>
      </c>
      <c r="B42" s="443" t="n">
        <f aca="false">AVERAGE(C42:V42)</f>
        <v>0.177074527742974</v>
      </c>
      <c r="C42" s="444" t="n">
        <f aca="false">IF(Operations!C3&gt;'Project Assumptions'!$I$15,0,C29/'Project Assumptions'!$I$10/SUM('Book Income Statement'!D6:D8))</f>
        <v>0.214849633053221</v>
      </c>
      <c r="D42" s="444" t="n">
        <f aca="false">IF(Operations!D3&gt;'Project Assumptions'!$I$15,0,D29/'Project Assumptions'!$I$10/SUM('Book Income Statement'!E6:E8))</f>
        <v>0.12908882119281</v>
      </c>
      <c r="E42" s="444" t="n">
        <f aca="false">IF(Operations!E3&gt;'Project Assumptions'!$I$15,0,E29/'Project Assumptions'!$I$10/SUM('Book Income Statement'!F6:F8))</f>
        <v>0.132961485828595</v>
      </c>
      <c r="F42" s="444" t="n">
        <f aca="false">IF(Operations!F3&gt;'Project Assumptions'!$I$15,0,F29/'Project Assumptions'!$I$10/SUM('Book Income Statement'!G6:G8))</f>
        <v>0.139921152671694</v>
      </c>
      <c r="G42" s="444" t="n">
        <f aca="false">IF(Operations!G3&gt;'Project Assumptions'!$I$15,0,G29/'Project Assumptions'!$I$10/SUM('Book Income Statement'!H6:H8))</f>
        <v>0.145095335836272</v>
      </c>
      <c r="H42" s="444" t="n">
        <f aca="false">IF(Operations!H3&gt;'Project Assumptions'!$I$15,0,H29/'Project Assumptions'!$I$10/SUM('Book Income Statement'!I6:I8))</f>
        <v>0.149448195911361</v>
      </c>
      <c r="I42" s="444" t="n">
        <f aca="false">IF(Operations!I3&gt;'Project Assumptions'!$I$15,0,I29/'Project Assumptions'!$I$10/SUM('Book Income Statement'!J6:J8))</f>
        <v>0.153931641788701</v>
      </c>
      <c r="J42" s="444" t="n">
        <f aca="false">IF(Operations!J3&gt;'Project Assumptions'!$I$15,0,J29/'Project Assumptions'!$I$10/SUM('Book Income Statement'!K6:K8))</f>
        <v>0.158549591042362</v>
      </c>
      <c r="K42" s="444" t="n">
        <f aca="false">IF(Operations!K3&gt;'Project Assumptions'!$I$15,0,K29/'Project Assumptions'!$I$10/SUM('Book Income Statement'!L6:L8))</f>
        <v>0.163306078773633</v>
      </c>
      <c r="L42" s="444" t="n">
        <f aca="false">IF(Operations!L3&gt;'Project Assumptions'!$I$15,0,L29/'Project Assumptions'!$I$10/SUM('Book Income Statement'!M6:M8))</f>
        <v>0.168205261136842</v>
      </c>
      <c r="M42" s="444" t="n">
        <f aca="false">IF(Operations!M3&gt;'Project Assumptions'!$I$15,0,M29/'Project Assumptions'!$I$10/SUM('Book Income Statement'!N6:N8))</f>
        <v>0.173251418970948</v>
      </c>
      <c r="N42" s="444" t="n">
        <f aca="false">IF(Operations!N3&gt;'Project Assumptions'!$I$15,0,N29/'Project Assumptions'!$I$10/SUM('Book Income Statement'!O6:O8))</f>
        <v>0.178448961540076</v>
      </c>
      <c r="O42" s="444" t="n">
        <f aca="false">IF(Operations!O3&gt;'Project Assumptions'!$I$15,0,O29/'Project Assumptions'!$I$10/SUM('Book Income Statement'!P6:P8))</f>
        <v>0.183802430386278</v>
      </c>
      <c r="P42" s="444" t="n">
        <f aca="false">IF(Operations!P3&gt;'Project Assumptions'!$I$15,0,P29/'Project Assumptions'!$I$10/SUM('Book Income Statement'!Q6:Q8))</f>
        <v>0.189316503297867</v>
      </c>
      <c r="Q42" s="444" t="n">
        <f aca="false">IF(Operations!Q3&gt;'Project Assumptions'!$I$15,0,Q29/'Project Assumptions'!$I$10/SUM('Book Income Statement'!R6:R8))</f>
        <v>0.194995998396803</v>
      </c>
      <c r="R42" s="444" t="n">
        <f aca="false">IF(Operations!R3&gt;'Project Assumptions'!$I$15,0,R29/'Project Assumptions'!$I$10/SUM('Book Income Statement'!S6:S8))</f>
        <v>0.200845878348707</v>
      </c>
      <c r="S42" s="444" t="n">
        <f aca="false">IF(Operations!S3&gt;'Project Assumptions'!$I$15,0,S29/'Project Assumptions'!$I$10/SUM('Book Income Statement'!T6:T8))</f>
        <v>0.206871254699168</v>
      </c>
      <c r="T42" s="444" t="n">
        <f aca="false">IF(Operations!T3&gt;'Project Assumptions'!$I$15,0,T29/'Project Assumptions'!$I$10/SUM('Book Income Statement'!U6:U8))</f>
        <v>0.213077392340143</v>
      </c>
      <c r="U42" s="444" t="n">
        <f aca="false">IF(Operations!U3&gt;'Project Assumptions'!$I$15,0,U29/'Project Assumptions'!$I$10/SUM('Book Income Statement'!V6:V8))</f>
        <v>0.219469714110347</v>
      </c>
      <c r="V42" s="444" t="n">
        <f aca="false">IF(Operations!V3&gt;'Project Assumptions'!$I$15,0,V29/'Project Assumptions'!$I$10/SUM('Book Income Statement'!W6:W8))</f>
        <v>0.226053805533658</v>
      </c>
      <c r="W42" s="444" t="n">
        <f aca="false">IF(Operations!W3&gt;'Project Assumptions'!$I$15+1,0,W29/'Project Assumptions'!$I$10/SUM('Book Income Statement'!X6:X8))</f>
        <v>0.558805007279202</v>
      </c>
      <c r="X42" s="444" t="e">
        <f aca="false">IF(Operations!X3&gt;'Project Assumptions'!$I$15,0,X29/'Project Assumptions'!$I$10/SUM('Book Income Statement'!Y6:Y8))</f>
        <v>#DIV/0!</v>
      </c>
      <c r="Y42" s="444" t="e">
        <f aca="false">IF(Operations!Y3&gt;'Project Assumptions'!$I$15,0,Y29/'Project Assumptions'!$I$10/SUM('Book Income Statement'!Z6:Z8))</f>
        <v>#DIV/0!</v>
      </c>
      <c r="Z42" s="444" t="e">
        <f aca="false">IF(Operations!Z3&gt;'Project Assumptions'!$I$15,0,Z29/'Project Assumptions'!$I$10/SUM('Book Income Statement'!AA6:AA8))</f>
        <v>#DIV/0!</v>
      </c>
      <c r="AA42" s="437"/>
      <c r="AB42" s="1"/>
      <c r="AC42" s="1"/>
      <c r="AD42" s="1"/>
      <c r="AE42" s="1"/>
      <c r="AF42" s="1"/>
      <c r="AG42" s="1"/>
    </row>
    <row r="43" customFormat="false" ht="12.6" hidden="false" customHeight="true" outlineLevel="0" collapsed="false">
      <c r="A43" s="410" t="s">
        <v>377</v>
      </c>
      <c r="B43" s="445" t="n">
        <f aca="false">AVERAGE(C43:V43)</f>
        <v>0.533063011352159</v>
      </c>
      <c r="C43" s="444" t="n">
        <f aca="false">IF(Operations!C3&gt;'Project Assumptions'!$I$15,0,C30/'Project Assumptions'!$I$10/SUM('Book Income Statement'!D6:D8))</f>
        <v>0.662558319327731</v>
      </c>
      <c r="D43" s="444" t="n">
        <f aca="false">IF(Operations!D3&gt;'Project Assumptions'!$I$15,0,D30/'Project Assumptions'!$I$10/SUM('Book Income Statement'!E6:E8))</f>
        <v>0.398087123529412</v>
      </c>
      <c r="E43" s="444" t="n">
        <f aca="false">IF(Operations!E3&gt;'Project Assumptions'!$I$15,0,E30/'Project Assumptions'!$I$10/SUM('Book Income Statement'!F6:F8))</f>
        <v>0.410029737235294</v>
      </c>
      <c r="F43" s="444" t="n">
        <f aca="false">IF(Operations!F3&gt;'Project Assumptions'!$I$15,0,F30/'Project Assumptions'!$I$10/SUM('Book Income Statement'!G6:G8))</f>
        <v>0.422330629352353</v>
      </c>
      <c r="G43" s="444" t="n">
        <f aca="false">IF(Operations!G3&gt;'Project Assumptions'!$I$15,0,G30/'Project Assumptions'!$I$10/SUM('Book Income Statement'!H6:H8))</f>
        <v>0.435000548232924</v>
      </c>
      <c r="H43" s="444" t="n">
        <f aca="false">IF(Operations!H3&gt;'Project Assumptions'!$I$15,0,H30/'Project Assumptions'!$I$10/SUM('Book Income Statement'!I6:I8))</f>
        <v>0.448050564679911</v>
      </c>
      <c r="I43" s="444" t="n">
        <f aca="false">IF(Operations!I3&gt;'Project Assumptions'!$I$15,0,I30/'Project Assumptions'!$I$10/SUM('Book Income Statement'!J6:J8))</f>
        <v>0.461492081620309</v>
      </c>
      <c r="J43" s="444" t="n">
        <f aca="false">IF(Operations!J3&gt;'Project Assumptions'!$I$15,0,J30/'Project Assumptions'!$I$10/SUM('Book Income Statement'!K6:K8))</f>
        <v>0.475336844068918</v>
      </c>
      <c r="K43" s="444" t="n">
        <f aca="false">IF(Operations!K3&gt;'Project Assumptions'!$I$15,0,K30/'Project Assumptions'!$I$10/SUM('Book Income Statement'!L6:L8))</f>
        <v>0.489596949390985</v>
      </c>
      <c r="L43" s="444" t="n">
        <f aca="false">IF(Operations!L3&gt;'Project Assumptions'!$I$15,0,L30/'Project Assumptions'!$I$10/SUM('Book Income Statement'!M6:M8))</f>
        <v>0.504284857872715</v>
      </c>
      <c r="M43" s="444" t="n">
        <f aca="false">IF(Operations!M3&gt;'Project Assumptions'!$I$15,0,M30/'Project Assumptions'!$I$10/SUM('Book Income Statement'!N6:N8))</f>
        <v>0.519413403608897</v>
      </c>
      <c r="N43" s="444" t="n">
        <f aca="false">IF(Operations!N3&gt;'Project Assumptions'!$I$15,0,N30/'Project Assumptions'!$I$10/SUM('Book Income Statement'!O6:O8))</f>
        <v>0.534995805717163</v>
      </c>
      <c r="O43" s="444" t="n">
        <f aca="false">IF(Operations!O3&gt;'Project Assumptions'!$I$15,0,O30/'Project Assumptions'!$I$10/SUM('Book Income Statement'!P6:P8))</f>
        <v>0.551045679888678</v>
      </c>
      <c r="P43" s="444" t="n">
        <f aca="false">IF(Operations!P3&gt;'Project Assumptions'!$I$15,0,P30/'Project Assumptions'!$I$10/SUM('Book Income Statement'!Q6:Q8))</f>
        <v>0.567577050285339</v>
      </c>
      <c r="Q43" s="444" t="n">
        <f aca="false">IF(Operations!Q3&gt;'Project Assumptions'!$I$15,0,Q30/'Project Assumptions'!$I$10/SUM('Book Income Statement'!R6:R8))</f>
        <v>0.584604361793899</v>
      </c>
      <c r="R43" s="444" t="n">
        <f aca="false">IF(Operations!R3&gt;'Project Assumptions'!$I$15,0,R30/'Project Assumptions'!$I$10/SUM('Book Income Statement'!S6:S8))</f>
        <v>0.602142492647716</v>
      </c>
      <c r="S43" s="444" t="n">
        <f aca="false">IF(Operations!S3&gt;'Project Assumptions'!$I$15,0,S30/'Project Assumptions'!$I$10/SUM('Book Income Statement'!T6:T8))</f>
        <v>0.620206767427147</v>
      </c>
      <c r="T43" s="444" t="n">
        <f aca="false">IF(Operations!T3&gt;'Project Assumptions'!$I$15,0,T30/'Project Assumptions'!$I$10/SUM('Book Income Statement'!U6:U8))</f>
        <v>0.638812970449962</v>
      </c>
      <c r="U43" s="444" t="n">
        <f aca="false">IF(Operations!U3&gt;'Project Assumptions'!$I$15,0,U30/'Project Assumptions'!$I$10/SUM('Book Income Statement'!V6:V8))</f>
        <v>0.657977359563461</v>
      </c>
      <c r="V43" s="444" t="n">
        <f aca="false">IF(Operations!V3&gt;'Project Assumptions'!$I$15,0,V30/'Project Assumptions'!$I$10/SUM('Book Income Statement'!W6:W8))</f>
        <v>0.677716680350365</v>
      </c>
      <c r="W43" s="444" t="n">
        <f aca="false">IF(Operations!W3&gt;'Project Assumptions'!$I$15+1,0,W30/'Project Assumptions'!$I$10/SUM('Book Income Statement'!X6:X8))</f>
        <v>1.6753156338261</v>
      </c>
      <c r="X43" s="444" t="e">
        <f aca="false">IF(Operations!X3&gt;'Project Assumptions'!$I$15,0,X30/'Project Assumptions'!$I$10/SUM('Book Income Statement'!Y6:Y8))</f>
        <v>#DIV/0!</v>
      </c>
      <c r="Y43" s="444" t="e">
        <f aca="false">IF(Operations!Y3&gt;'Project Assumptions'!$I$15,0,Y30/'Project Assumptions'!$I$10/SUM('Book Income Statement'!Z6:Z8))</f>
        <v>#DIV/0!</v>
      </c>
      <c r="Z43" s="444" t="e">
        <f aca="false">IF(Operations!Z3&gt;'Project Assumptions'!$I$15,0,Z30/'Project Assumptions'!$I$10/SUM('Book Income Statement'!AA6:AA8))</f>
        <v>#DIV/0!</v>
      </c>
      <c r="AA43" s="437"/>
      <c r="AB43" s="1"/>
      <c r="AC43" s="1"/>
      <c r="AD43" s="1"/>
      <c r="AE43" s="1"/>
      <c r="AF43" s="1"/>
      <c r="AG43" s="1"/>
    </row>
    <row r="44" customFormat="false" ht="14.25" hidden="false" customHeight="true" outlineLevel="0" collapsed="false">
      <c r="A44" s="410" t="s">
        <v>378</v>
      </c>
      <c r="B44" s="446" t="n">
        <f aca="false">AVERAGE(C44:V44)</f>
        <v>0.548822121608635</v>
      </c>
      <c r="C44" s="447" t="n">
        <f aca="false">IF(Operations!C3&gt;'Project Assumptions'!$I$15,0,C31/('Project Assumptions'!$I$10*SUM('Book Income Statement'!D6:D8)))</f>
        <v>0.359401095732411</v>
      </c>
      <c r="D44" s="447" t="n">
        <f aca="false">IF(Operations!D3&gt;'Project Assumptions'!$I$15,0,D31/('Project Assumptions'!$I$10*SUM('Book Income Statement'!E6:E8)))</f>
        <v>0.361515644944252</v>
      </c>
      <c r="E44" s="447" t="n">
        <f aca="false">IF(Operations!E3&gt;'Project Assumptions'!$I$15,0,E31/('Project Assumptions'!$I$10*SUM('Book Income Statement'!F6:F8)))</f>
        <v>0.37236111429258</v>
      </c>
      <c r="F44" s="447" t="n">
        <f aca="false">IF(Operations!F3&gt;'Project Assumptions'!$I$15,0,F31/('Project Assumptions'!$I$10*SUM('Book Income Statement'!G6:G8)))</f>
        <v>0.4255337549109</v>
      </c>
      <c r="G44" s="447" t="n">
        <f aca="false">IF(Operations!G3&gt;'Project Assumptions'!$I$15,0,G31/('Project Assumptions'!$I$10*SUM('Book Income Statement'!H6:H8)))</f>
        <v>0.46920109713339</v>
      </c>
      <c r="H44" s="447" t="n">
        <f aca="false">IF(Operations!H3&gt;'Project Assumptions'!$I$15,0,H31/('Project Assumptions'!$I$10*SUM('Book Income Statement'!I6:I8)))</f>
        <v>0.483277130047392</v>
      </c>
      <c r="I44" s="447" t="n">
        <f aca="false">IF(Operations!I3&gt;'Project Assumptions'!$I$15,0,I31/('Project Assumptions'!$I$10*SUM('Book Income Statement'!J6:J8)))</f>
        <v>0.497775443948814</v>
      </c>
      <c r="J44" s="447" t="n">
        <f aca="false">IF(Operations!J3&gt;'Project Assumptions'!$I$15,0,J31/('Project Assumptions'!$I$10*SUM('Book Income Statement'!K6:K8)))</f>
        <v>0.512708707267278</v>
      </c>
      <c r="K44" s="447" t="n">
        <f aca="false">IF(Operations!K3&gt;'Project Assumptions'!$I$15,0,K31/('Project Assumptions'!$I$10*SUM('Book Income Statement'!L6:L8)))</f>
        <v>0.528089968485296</v>
      </c>
      <c r="L44" s="447" t="n">
        <f aca="false">IF(Operations!L3&gt;'Project Assumptions'!$I$15,0,L31/('Project Assumptions'!$I$10*SUM('Book Income Statement'!M6:M8)))</f>
        <v>0.543932667539855</v>
      </c>
      <c r="M44" s="447" t="n">
        <f aca="false">IF(Operations!M3&gt;'Project Assumptions'!$I$15,0,M31/('Project Assumptions'!$I$10*SUM('Book Income Statement'!N6:N8)))</f>
        <v>0.560250647566051</v>
      </c>
      <c r="N44" s="447" t="n">
        <f aca="false">IF(Operations!N3&gt;'Project Assumptions'!$I$15,0,N31/('Project Assumptions'!$I$10*SUM('Book Income Statement'!O6:O8)))</f>
        <v>0.577058166993033</v>
      </c>
      <c r="O44" s="447" t="n">
        <f aca="false">IF(Operations!O3&gt;'Project Assumptions'!$I$15,0,O31/('Project Assumptions'!$I$10*SUM('Book Income Statement'!P6:P8)))</f>
        <v>0.594369912002823</v>
      </c>
      <c r="P44" s="447" t="n">
        <f aca="false">IF(Operations!P3&gt;'Project Assumptions'!$I$15,0,P31/('Project Assumptions'!$I$10*SUM('Book Income Statement'!Q6:Q8)))</f>
        <v>0.612201009362908</v>
      </c>
      <c r="Q44" s="447" t="n">
        <f aca="false">IF(Operations!Q3&gt;'Project Assumptions'!$I$15,0,Q31/('Project Assumptions'!$I$10*SUM('Book Income Statement'!R6:R8)))</f>
        <v>0.630567039643795</v>
      </c>
      <c r="R44" s="447" t="n">
        <f aca="false">IF(Operations!R3&gt;'Project Assumptions'!$I$15,0,R31/('Project Assumptions'!$I$10*SUM('Book Income Statement'!S6:S8)))</f>
        <v>0.649484050833109</v>
      </c>
      <c r="S44" s="447" t="n">
        <f aca="false">IF(Operations!S3&gt;'Project Assumptions'!$I$15,0,S31/('Project Assumptions'!$I$10*SUM('Book Income Statement'!T6:T8)))</f>
        <v>0.668968572358103</v>
      </c>
      <c r="T44" s="447" t="n">
        <f aca="false">IF(Operations!T3&gt;'Project Assumptions'!$I$15,0,T31/('Project Assumptions'!$I$10*SUM('Book Income Statement'!U6:U8)))</f>
        <v>0.689037629528846</v>
      </c>
      <c r="U44" s="447" t="n">
        <f aca="false">IF(Operations!U3&gt;'Project Assumptions'!$I$15,0,U31/('Project Assumptions'!$I$10*SUM('Book Income Statement'!V6:V8)))</f>
        <v>0.709708758414711</v>
      </c>
      <c r="V44" s="447" t="n">
        <f aca="false">IF(Operations!V3&gt;'Project Assumptions'!$I$15,0,V31/('Project Assumptions'!$I$10*SUM('Book Income Statement'!W6:W8)))</f>
        <v>0.731000021167153</v>
      </c>
      <c r="W44" s="447" t="n">
        <f aca="false">IF(Operations!W3&gt;'Project Assumptions'!$I$15+1,0,W31/('Project Assumptions'!$I$10*SUM('Book Income Statement'!X6:X8)))</f>
        <v>0.78271905252562</v>
      </c>
      <c r="X44" s="447" t="e">
        <f aca="false">IF(Operations!X3&gt;'Project Assumptions'!$I$15,0,X31/('Project Assumptions'!$I$10*SUM('Book Income Statement'!Y6:Y8)))</f>
        <v>#DIV/0!</v>
      </c>
      <c r="Y44" s="447" t="e">
        <f aca="false">IF(Operations!Y3&gt;'Project Assumptions'!$I$15,0,Y31/('Project Assumptions'!$I$10*SUM('Book Income Statement'!Z6:Z8)))</f>
        <v>#DIV/0!</v>
      </c>
      <c r="Z44" s="447" t="e">
        <f aca="false">IF(Operations!Z3&gt;'Project Assumptions'!$I$15,0,Z31/('Project Assumptions'!$I$10*SUM('Book Income Statement'!AA6:AA8)))</f>
        <v>#DIV/0!</v>
      </c>
      <c r="AA44" s="437"/>
      <c r="AB44" s="1"/>
      <c r="AC44" s="1"/>
      <c r="AD44" s="1"/>
      <c r="AE44" s="1"/>
      <c r="AF44" s="1"/>
      <c r="AG44" s="1"/>
    </row>
    <row r="45" customFormat="false" ht="12.6" hidden="false" customHeight="true" outlineLevel="0" collapsed="false">
      <c r="A45" s="410" t="s">
        <v>379</v>
      </c>
      <c r="B45" s="445" t="n">
        <f aca="false">AVERAGE(C45:V45)</f>
        <v>1.25895966070377</v>
      </c>
      <c r="C45" s="444" t="n">
        <f aca="false">SUM(C42:C44)</f>
        <v>1.23680904811336</v>
      </c>
      <c r="D45" s="444" t="n">
        <f aca="false">SUM(D42:D44)</f>
        <v>0.888691589666474</v>
      </c>
      <c r="E45" s="444" t="n">
        <f aca="false">SUM(E42:E44)</f>
        <v>0.915352337356469</v>
      </c>
      <c r="F45" s="444" t="n">
        <f aca="false">SUM(F42:F44)</f>
        <v>0.987785536934947</v>
      </c>
      <c r="G45" s="444" t="n">
        <f aca="false">SUM(G42:G44)</f>
        <v>1.04929698120259</v>
      </c>
      <c r="H45" s="444" t="n">
        <f aca="false">SUM(H42:H44)</f>
        <v>1.08077589063866</v>
      </c>
      <c r="I45" s="444" t="n">
        <f aca="false">SUM(I42:I44)</f>
        <v>1.11319916735782</v>
      </c>
      <c r="J45" s="444" t="n">
        <f aca="false">SUM(J42:J44)</f>
        <v>1.14659514237856</v>
      </c>
      <c r="K45" s="444" t="n">
        <f aca="false">SUM(K42:K44)</f>
        <v>1.18099299664992</v>
      </c>
      <c r="L45" s="444" t="n">
        <f aca="false">SUM(L42:L44)</f>
        <v>1.21642278654941</v>
      </c>
      <c r="M45" s="444" t="n">
        <f aca="false">SUM(M42:M44)</f>
        <v>1.25291547014589</v>
      </c>
      <c r="N45" s="444" t="n">
        <f aca="false">SUM(N42:N44)</f>
        <v>1.29050293425027</v>
      </c>
      <c r="O45" s="444" t="n">
        <f aca="false">SUM(O42:O44)</f>
        <v>1.32921802227778</v>
      </c>
      <c r="P45" s="444" t="n">
        <f aca="false">SUM(P42:P44)</f>
        <v>1.36909456294611</v>
      </c>
      <c r="Q45" s="444" t="n">
        <f aca="false">SUM(Q42:Q44)</f>
        <v>1.4101673998345</v>
      </c>
      <c r="R45" s="444" t="n">
        <f aca="false">SUM(R42:R44)</f>
        <v>1.45247242182953</v>
      </c>
      <c r="S45" s="444" t="n">
        <f aca="false">SUM(S42:S44)</f>
        <v>1.49604659448442</v>
      </c>
      <c r="T45" s="444" t="n">
        <f aca="false">SUM(T42:T44)</f>
        <v>1.54092799231895</v>
      </c>
      <c r="U45" s="444" t="n">
        <f aca="false">SUM(U42:U44)</f>
        <v>1.58715583208852</v>
      </c>
      <c r="V45" s="444" t="n">
        <f aca="false">SUM(V42:V44)</f>
        <v>1.63477050705117</v>
      </c>
      <c r="W45" s="444" t="n">
        <f aca="false">SUM(W42:W44)</f>
        <v>3.01683969363092</v>
      </c>
      <c r="X45" s="444" t="e">
        <f aca="false">SUM(X42:X44)</f>
        <v>#DIV/0!</v>
      </c>
      <c r="Y45" s="444" t="e">
        <f aca="false">SUM(Y42:Y44)</f>
        <v>#DIV/0!</v>
      </c>
      <c r="Z45" s="444" t="e">
        <f aca="false">SUM(Z42:Z44)</f>
        <v>#DIV/0!</v>
      </c>
      <c r="AA45" s="437"/>
      <c r="AB45" s="1"/>
      <c r="AC45" s="1"/>
      <c r="AD45" s="1"/>
      <c r="AE45" s="1"/>
      <c r="AF45" s="1"/>
      <c r="AG45" s="1"/>
    </row>
    <row r="46" customFormat="false" ht="12.6" hidden="false" customHeight="true" outlineLevel="0" collapsed="false">
      <c r="A46" s="410"/>
      <c r="B46" s="448"/>
      <c r="C46" s="449"/>
      <c r="D46" s="449"/>
      <c r="E46" s="449"/>
      <c r="F46" s="449"/>
      <c r="G46" s="449"/>
      <c r="H46" s="449"/>
      <c r="I46" s="449"/>
      <c r="J46" s="449"/>
      <c r="K46" s="449"/>
      <c r="L46" s="449"/>
      <c r="M46" s="449"/>
      <c r="N46" s="449"/>
      <c r="O46" s="449"/>
      <c r="P46" s="449"/>
      <c r="Q46" s="449"/>
      <c r="R46" s="449"/>
      <c r="S46" s="449"/>
      <c r="T46" s="449"/>
      <c r="U46" s="449"/>
      <c r="V46" s="449"/>
      <c r="W46" s="449"/>
      <c r="X46" s="449"/>
      <c r="Y46" s="449"/>
      <c r="Z46" s="449"/>
      <c r="AA46" s="437"/>
      <c r="AB46" s="1"/>
      <c r="AC46" s="1"/>
      <c r="AD46" s="1"/>
      <c r="AE46" s="1"/>
      <c r="AF46" s="1"/>
      <c r="AG46" s="1"/>
    </row>
    <row r="47" customFormat="false" ht="12.6" hidden="false" customHeight="true" outlineLevel="0" collapsed="false">
      <c r="A47" s="410" t="s">
        <v>380</v>
      </c>
      <c r="B47" s="445" t="n">
        <f aca="false">AVERAGE(C47:V47)</f>
        <v>1.25895966070377</v>
      </c>
      <c r="C47" s="444" t="n">
        <f aca="false">C45</f>
        <v>1.23680904811336</v>
      </c>
      <c r="D47" s="444" t="n">
        <f aca="false">D45</f>
        <v>0.888691589666474</v>
      </c>
      <c r="E47" s="444" t="n">
        <f aca="false">E45</f>
        <v>0.915352337356469</v>
      </c>
      <c r="F47" s="444" t="n">
        <f aca="false">F45</f>
        <v>0.987785536934947</v>
      </c>
      <c r="G47" s="444" t="n">
        <f aca="false">G45</f>
        <v>1.04929698120259</v>
      </c>
      <c r="H47" s="444" t="n">
        <f aca="false">H45</f>
        <v>1.08077589063866</v>
      </c>
      <c r="I47" s="444" t="n">
        <f aca="false">I45</f>
        <v>1.11319916735782</v>
      </c>
      <c r="J47" s="444" t="n">
        <f aca="false">J45</f>
        <v>1.14659514237856</v>
      </c>
      <c r="K47" s="444" t="n">
        <f aca="false">K45</f>
        <v>1.18099299664992</v>
      </c>
      <c r="L47" s="444" t="n">
        <f aca="false">L45</f>
        <v>1.21642278654941</v>
      </c>
      <c r="M47" s="444" t="n">
        <f aca="false">M45</f>
        <v>1.25291547014589</v>
      </c>
      <c r="N47" s="444" t="n">
        <f aca="false">N45</f>
        <v>1.29050293425027</v>
      </c>
      <c r="O47" s="444" t="n">
        <f aca="false">O45</f>
        <v>1.32921802227778</v>
      </c>
      <c r="P47" s="444" t="n">
        <f aca="false">P45</f>
        <v>1.36909456294611</v>
      </c>
      <c r="Q47" s="444" t="n">
        <f aca="false">Q45</f>
        <v>1.4101673998345</v>
      </c>
      <c r="R47" s="444" t="n">
        <f aca="false">R45</f>
        <v>1.45247242182953</v>
      </c>
      <c r="S47" s="444" t="n">
        <f aca="false">S45</f>
        <v>1.49604659448442</v>
      </c>
      <c r="T47" s="444" t="n">
        <f aca="false">T45</f>
        <v>1.54092799231895</v>
      </c>
      <c r="U47" s="444" t="n">
        <f aca="false">U45</f>
        <v>1.58715583208852</v>
      </c>
      <c r="V47" s="444" t="n">
        <f aca="false">V45</f>
        <v>1.63477050705117</v>
      </c>
      <c r="W47" s="444" t="n">
        <f aca="false">W45</f>
        <v>3.01683969363092</v>
      </c>
      <c r="X47" s="444" t="e">
        <f aca="false">X45</f>
        <v>#DIV/0!</v>
      </c>
      <c r="Y47" s="444" t="e">
        <f aca="false">Y45</f>
        <v>#DIV/0!</v>
      </c>
      <c r="Z47" s="444" t="e">
        <f aca="false">Z45</f>
        <v>#DIV/0!</v>
      </c>
      <c r="AA47" s="437"/>
      <c r="AB47" s="1"/>
      <c r="AC47" s="1"/>
      <c r="AD47" s="1"/>
      <c r="AE47" s="1"/>
      <c r="AF47" s="1"/>
      <c r="AG47" s="1"/>
    </row>
    <row r="48" customFormat="false" ht="12.6" hidden="false" customHeight="true" outlineLevel="0" collapsed="false">
      <c r="A48" s="410" t="s">
        <v>381</v>
      </c>
      <c r="B48" s="445" t="n">
        <f aca="false">AVERAGE(C48:V48)</f>
        <v>0.0415650346517274</v>
      </c>
      <c r="C48" s="450" t="n">
        <f aca="false">IF(Operations!C3&gt;'Project Assumptions'!$I$15,0,C32/'Project Assumptions'!$I$10/SUM('Book Income Statement'!D6:D8))</f>
        <v>0.0687972987338936</v>
      </c>
      <c r="D48" s="450" t="n">
        <f aca="false">IF(Operations!D3&gt;'Project Assumptions'!$I$15,0,D32/'Project Assumptions'!$I$10/SUM('Book Income Statement'!E6:E8))</f>
        <v>0.0401317575947712</v>
      </c>
      <c r="E48" s="450" t="n">
        <f aca="false">IF(Operations!E3&gt;'Project Assumptions'!$I$15,0,E32/'Project Assumptions'!$I$10/SUM('Book Income Statement'!F6:F8))</f>
        <v>0.0401317575947712</v>
      </c>
      <c r="F48" s="450" t="n">
        <f aca="false">IF(Operations!F3&gt;'Project Assumptions'!$I$15,0,F32/'Project Assumptions'!$I$10/SUM('Book Income Statement'!G6:G8))</f>
        <v>0.0401317575947712</v>
      </c>
      <c r="G48" s="450" t="n">
        <f aca="false">IF(Operations!G3&gt;'Project Assumptions'!$I$15,0,G32/'Project Assumptions'!$I$10/SUM('Book Income Statement'!H6:H8))</f>
        <v>0.0401317575947712</v>
      </c>
      <c r="H48" s="450" t="n">
        <f aca="false">IF(Operations!H3&gt;'Project Assumptions'!$I$15,0,H32/'Project Assumptions'!$I$10/SUM('Book Income Statement'!I6:I8))</f>
        <v>0.0401317575947712</v>
      </c>
      <c r="I48" s="450" t="n">
        <f aca="false">IF(Operations!I3&gt;'Project Assumptions'!$I$15,0,I32/'Project Assumptions'!$I$10/SUM('Book Income Statement'!J6:J8))</f>
        <v>0.0401317575947712</v>
      </c>
      <c r="J48" s="450" t="n">
        <f aca="false">IF(Operations!J3&gt;'Project Assumptions'!$I$15,0,J32/'Project Assumptions'!$I$10/SUM('Book Income Statement'!K6:K8))</f>
        <v>0.0401317575947712</v>
      </c>
      <c r="K48" s="450" t="n">
        <f aca="false">IF(Operations!K3&gt;'Project Assumptions'!$I$15,0,K32/'Project Assumptions'!$I$10/SUM('Book Income Statement'!L6:L8))</f>
        <v>0.0401317575947712</v>
      </c>
      <c r="L48" s="450" t="n">
        <f aca="false">IF(Operations!L3&gt;'Project Assumptions'!$I$15,0,L32/'Project Assumptions'!$I$10/SUM('Book Income Statement'!M6:M8))</f>
        <v>0.0401317575947712</v>
      </c>
      <c r="M48" s="450" t="n">
        <f aca="false">IF(Operations!M3&gt;'Project Assumptions'!$I$15,0,M32/'Project Assumptions'!$I$10/SUM('Book Income Statement'!N6:N8))</f>
        <v>0.0401317575947712</v>
      </c>
      <c r="N48" s="450" t="n">
        <f aca="false">IF(Operations!N3&gt;'Project Assumptions'!$I$15,0,N32/'Project Assumptions'!$I$10/SUM('Book Income Statement'!O6:O8))</f>
        <v>0.0401317575947712</v>
      </c>
      <c r="O48" s="450" t="n">
        <f aca="false">IF(Operations!O3&gt;'Project Assumptions'!$I$15,0,O32/'Project Assumptions'!$I$10/SUM('Book Income Statement'!P6:P8))</f>
        <v>0.0401317575947712</v>
      </c>
      <c r="P48" s="450" t="n">
        <f aca="false">IF(Operations!P3&gt;'Project Assumptions'!$I$15,0,P32/'Project Assumptions'!$I$10/SUM('Book Income Statement'!Q6:Q8))</f>
        <v>0.0401317575947712</v>
      </c>
      <c r="Q48" s="450" t="n">
        <f aca="false">IF(Operations!Q3&gt;'Project Assumptions'!$I$15,0,Q32/'Project Assumptions'!$I$10/SUM('Book Income Statement'!R6:R8))</f>
        <v>0.0401317575947712</v>
      </c>
      <c r="R48" s="450" t="n">
        <f aca="false">IF(Operations!R3&gt;'Project Assumptions'!$I$15,0,R32/'Project Assumptions'!$I$10/SUM('Book Income Statement'!S6:S8))</f>
        <v>0.0401317575947712</v>
      </c>
      <c r="S48" s="450" t="n">
        <f aca="false">IF(Operations!S3&gt;'Project Assumptions'!$I$15,0,S32/'Project Assumptions'!$I$10/SUM('Book Income Statement'!T6:T8))</f>
        <v>0.0401317575947712</v>
      </c>
      <c r="T48" s="450" t="n">
        <f aca="false">IF(Operations!T3&gt;'Project Assumptions'!$I$15,0,T32/'Project Assumptions'!$I$10/SUM('Book Income Statement'!U6:U8))</f>
        <v>0.0401317575947712</v>
      </c>
      <c r="U48" s="450" t="n">
        <f aca="false">IF(Operations!U3&gt;'Project Assumptions'!$I$15,0,U32/'Project Assumptions'!$I$10/SUM('Book Income Statement'!V6:V8))</f>
        <v>0.0401317575947712</v>
      </c>
      <c r="V48" s="450" t="n">
        <f aca="false">IF(Operations!V3&gt;'Project Assumptions'!$I$15,0,V32/'Project Assumptions'!$I$10/SUM('Book Income Statement'!W6:W8))</f>
        <v>0.0401317575947712</v>
      </c>
      <c r="W48" s="450" t="n">
        <f aca="false">IF(Operations!W3&gt;'Project Assumptions'!$I$15,0,W32/'Project Assumptions'!$I$10/SUM('Book Income Statement'!X6:X8))</f>
        <v>0</v>
      </c>
      <c r="X48" s="450" t="e">
        <f aca="false">IF(Operations!X3&gt;'Project Assumptions'!$I$15,0,X32/'Project Assumptions'!$I$10/SUM('Book Income Statement'!Y6:Y8))</f>
        <v>#DIV/0!</v>
      </c>
      <c r="Y48" s="450" t="e">
        <f aca="false">IF(Operations!Y3&gt;'Project Assumptions'!$I$15,0,Y32/'Project Assumptions'!$I$10/SUM('Book Income Statement'!Z6:Z8))</f>
        <v>#DIV/0!</v>
      </c>
      <c r="Z48" s="450" t="e">
        <f aca="false">IF(Operations!Z3&gt;'Project Assumptions'!$I$15,0,Z32/'Project Assumptions'!$I$10/SUM('Book Income Statement'!AA6:AA8))</f>
        <v>#DIV/0!</v>
      </c>
      <c r="AA48" s="437"/>
      <c r="AB48" s="1"/>
      <c r="AC48" s="1"/>
      <c r="AD48" s="1"/>
      <c r="AE48" s="1"/>
      <c r="AF48" s="1"/>
      <c r="AG48" s="1"/>
    </row>
    <row r="49" customFormat="false" ht="12.6" hidden="false" customHeight="true" outlineLevel="0" collapsed="false">
      <c r="A49" s="410" t="s">
        <v>382</v>
      </c>
      <c r="B49" s="445" t="n">
        <f aca="false">AVERAGE(C49:V49)</f>
        <v>0</v>
      </c>
      <c r="C49" s="450" t="n">
        <f aca="false">IF(Operations!C3&gt;'Project Assumptions'!$I$15,0,C33/'Project Assumptions'!$I$10/SUM('Book Income Statement'!D6:D8))</f>
        <v>0</v>
      </c>
      <c r="D49" s="450" t="n">
        <f aca="false">IF(Operations!D3&gt;'Project Assumptions'!$I$15,0,D33/'Project Assumptions'!$I$10/SUM('Book Income Statement'!E6:E8))</f>
        <v>0</v>
      </c>
      <c r="E49" s="450" t="n">
        <f aca="false">IF(Operations!E3&gt;'Project Assumptions'!$I$15,0,E33/'Project Assumptions'!$I$10/SUM('Book Income Statement'!F6:F8))</f>
        <v>0</v>
      </c>
      <c r="F49" s="450" t="n">
        <f aca="false">IF(Operations!F3&gt;'Project Assumptions'!$I$15,0,F33/'Project Assumptions'!$I$10/SUM('Book Income Statement'!G6:G8))</f>
        <v>0</v>
      </c>
      <c r="G49" s="450" t="n">
        <f aca="false">IF(Operations!G3&gt;'Project Assumptions'!$I$15,0,G33/'Project Assumptions'!$I$10/SUM('Book Income Statement'!H6:H8))</f>
        <v>0</v>
      </c>
      <c r="H49" s="450" t="n">
        <f aca="false">IF(Operations!H3&gt;'Project Assumptions'!$I$15,0,H33/'Project Assumptions'!$I$10/SUM('Book Income Statement'!I6:I8))</f>
        <v>0</v>
      </c>
      <c r="I49" s="450" t="n">
        <f aca="false">IF(Operations!I3&gt;'Project Assumptions'!$I$15,0,I33/'Project Assumptions'!$I$10/SUM('Book Income Statement'!J6:J8))</f>
        <v>0</v>
      </c>
      <c r="J49" s="450" t="n">
        <f aca="false">IF(Operations!J3&gt;'Project Assumptions'!$I$15,0,J33/'Project Assumptions'!$I$10/SUM('Book Income Statement'!K6:K8))</f>
        <v>0</v>
      </c>
      <c r="K49" s="450" t="n">
        <f aca="false">IF(Operations!K3&gt;'Project Assumptions'!$I$15,0,K33/'Project Assumptions'!$I$10/SUM('Book Income Statement'!L6:L8))</f>
        <v>0</v>
      </c>
      <c r="L49" s="450" t="n">
        <f aca="false">IF(Operations!L3&gt;'Project Assumptions'!$I$15,0,L33/'Project Assumptions'!$I$10/SUM('Book Income Statement'!M6:M8))</f>
        <v>0</v>
      </c>
      <c r="M49" s="450" t="n">
        <f aca="false">IF(Operations!M3&gt;'Project Assumptions'!$I$15,0,M33/'Project Assumptions'!$I$10/SUM('Book Income Statement'!N6:N8))</f>
        <v>0</v>
      </c>
      <c r="N49" s="450" t="n">
        <f aca="false">IF(Operations!N3&gt;'Project Assumptions'!$I$15,0,N33/'Project Assumptions'!$I$10/SUM('Book Income Statement'!O6:O8))</f>
        <v>0</v>
      </c>
      <c r="O49" s="450" t="n">
        <f aca="false">IF(Operations!O3&gt;'Project Assumptions'!$I$15,0,O33/'Project Assumptions'!$I$10/SUM('Book Income Statement'!P6:P8))</f>
        <v>0</v>
      </c>
      <c r="P49" s="450" t="n">
        <f aca="false">IF(Operations!P3&gt;'Project Assumptions'!$I$15,0,P33/'Project Assumptions'!$I$10/SUM('Book Income Statement'!Q6:Q8))</f>
        <v>0</v>
      </c>
      <c r="Q49" s="450" t="n">
        <f aca="false">IF(Operations!Q3&gt;'Project Assumptions'!$I$15,0,Q33/'Project Assumptions'!$I$10/SUM('Book Income Statement'!R6:R8))</f>
        <v>0</v>
      </c>
      <c r="R49" s="450" t="n">
        <f aca="false">IF(Operations!R3&gt;'Project Assumptions'!$I$15,0,R33/'Project Assumptions'!$I$10/SUM('Book Income Statement'!S6:S8))</f>
        <v>0</v>
      </c>
      <c r="S49" s="450" t="n">
        <f aca="false">IF(Operations!S3&gt;'Project Assumptions'!$I$15,0,S33/'Project Assumptions'!$I$10/SUM('Book Income Statement'!T6:T8))</f>
        <v>0</v>
      </c>
      <c r="T49" s="450" t="n">
        <f aca="false">IF(Operations!T3&gt;'Project Assumptions'!$I$15,0,T33/'Project Assumptions'!$I$10/SUM('Book Income Statement'!U6:U8))</f>
        <v>0</v>
      </c>
      <c r="U49" s="450" t="n">
        <f aca="false">IF(Operations!U3&gt;'Project Assumptions'!$I$15,0,U33/'Project Assumptions'!$I$10/SUM('Book Income Statement'!V6:V8))</f>
        <v>0</v>
      </c>
      <c r="V49" s="450" t="n">
        <f aca="false">IF(Operations!V3&gt;'Project Assumptions'!$I$15,0,V33/'Project Assumptions'!$I$10/SUM('Book Income Statement'!W6:W8))</f>
        <v>0</v>
      </c>
      <c r="W49" s="450" t="n">
        <f aca="false">IF(Operations!W3&gt;'Project Assumptions'!$I$15,0,W33/'Project Assumptions'!$I$10/SUM('Book Income Statement'!X6:X8))</f>
        <v>0</v>
      </c>
      <c r="X49" s="450" t="e">
        <f aca="false">IF(Operations!X3&gt;'Project Assumptions'!$I$15,0,X33/'Project Assumptions'!$I$10/SUM('Book Income Statement'!Y6:Y8))</f>
        <v>#DIV/0!</v>
      </c>
      <c r="Y49" s="450" t="e">
        <f aca="false">IF(Operations!Y3&gt;'Project Assumptions'!$I$15,0,Y33/'Project Assumptions'!$I$10/SUM('Book Income Statement'!Z6:Z8))</f>
        <v>#DIV/0!</v>
      </c>
      <c r="Z49" s="450" t="e">
        <f aca="false">IF(Operations!Z3&gt;'Project Assumptions'!$I$15,0,Z33/'Project Assumptions'!$I$10/SUM('Book Income Statement'!AA6:AA8))</f>
        <v>#DIV/0!</v>
      </c>
      <c r="AA49" s="437"/>
      <c r="AB49" s="1"/>
      <c r="AC49" s="1"/>
      <c r="AD49" s="1"/>
      <c r="AE49" s="1"/>
      <c r="AF49" s="1"/>
      <c r="AG49" s="1"/>
    </row>
    <row r="50" customFormat="false" ht="15" hidden="false" customHeight="true" outlineLevel="0" collapsed="false">
      <c r="A50" s="410" t="s">
        <v>383</v>
      </c>
      <c r="B50" s="446" t="n">
        <f aca="false">AVERAGE(C50:V50)</f>
        <v>2.09406647709955</v>
      </c>
      <c r="C50" s="447" t="n">
        <f aca="false">IF(Operations!C3&gt;'Project Assumptions'!$I$15,0,'Returns Summary'!C23/'Project Assumptions'!$I$10/SUM('Book Income Statement'!D6:D8))</f>
        <v>4.30949382368824</v>
      </c>
      <c r="D50" s="447" t="n">
        <f aca="false">IF(Operations!D3&gt;'Project Assumptions'!$I$15,0,'Returns Summary'!D23/'Project Assumptions'!$I$10/SUM('Book Income Statement'!E6:E8))</f>
        <v>2.45638925592353</v>
      </c>
      <c r="E50" s="447" t="n">
        <f aca="false">IF(Operations!E3&gt;'Project Assumptions'!$I$15,0,'Returns Summary'!E23/'Project Assumptions'!$I$10/SUM('Book Income Statement'!F6:F8))</f>
        <v>2.719439500725</v>
      </c>
      <c r="F50" s="447" t="n">
        <f aca="false">IF(Operations!F3&gt;'Project Assumptions'!$I$15,0,'Returns Summary'!F23/'Project Assumptions'!$I$10/SUM('Book Income Statement'!G6:G8))</f>
        <v>2.95822544390404</v>
      </c>
      <c r="G50" s="447" t="n">
        <f aca="false">IF(Operations!G3&gt;'Project Assumptions'!$I$15,0,'Returns Summary'!G23/'Project Assumptions'!$I$10/SUM('Book Income Statement'!H6:H8))</f>
        <v>2.22824498796066</v>
      </c>
      <c r="H50" s="447" t="n">
        <f aca="false">IF(Operations!H3&gt;'Project Assumptions'!$I$15,0,'Returns Summary'!H23/'Project Assumptions'!$I$10/SUM('Book Income Statement'!I6:I8))</f>
        <v>2.16083830930822</v>
      </c>
      <c r="I50" s="447" t="n">
        <f aca="false">IF(Operations!I3&gt;'Project Assumptions'!$I$15,0,'Returns Summary'!I23/'Project Assumptions'!$I$10/SUM('Book Income Statement'!J6:J8))</f>
        <v>2.20882328962637</v>
      </c>
      <c r="J50" s="447" t="n">
        <f aca="false">IF(Operations!J3&gt;'Project Assumptions'!$I$15,0,'Returns Summary'!J23/'Project Assumptions'!$I$10/SUM('Book Income Statement'!K6:K8))</f>
        <v>2.13197757327013</v>
      </c>
      <c r="K50" s="447" t="n">
        <f aca="false">IF(Operations!K3&gt;'Project Assumptions'!$I$15,0,'Returns Summary'!K23/'Project Assumptions'!$I$10/SUM('Book Income Statement'!L6:L8))</f>
        <v>2.69619662897272</v>
      </c>
      <c r="L50" s="447" t="n">
        <f aca="false">IF(Operations!L3&gt;'Project Assumptions'!$I$15,0,'Returns Summary'!L23/'Project Assumptions'!$I$10/SUM('Book Income Statement'!M6:M8))</f>
        <v>3.00674635437163</v>
      </c>
      <c r="M50" s="447" t="n">
        <f aca="false">IF(Operations!M3&gt;'Project Assumptions'!$I$15,0,'Returns Summary'!M23/'Project Assumptions'!$I$10/SUM('Book Income Statement'!N6:N8))</f>
        <v>1.24500676529726</v>
      </c>
      <c r="N50" s="447" t="n">
        <f aca="false">IF(Operations!N3&gt;'Project Assumptions'!$I$15,0,'Returns Summary'!N23/'Project Assumptions'!$I$10/SUM('Book Income Statement'!O6:O8))</f>
        <v>1.32264227345268</v>
      </c>
      <c r="O50" s="447" t="n">
        <f aca="false">IF(Operations!O3&gt;'Project Assumptions'!$I$15,0,'Returns Summary'!O23/'Project Assumptions'!$I$10/SUM('Book Income Statement'!P6:P8))</f>
        <v>1.27544708493371</v>
      </c>
      <c r="P50" s="447" t="n">
        <f aca="false">IF(Operations!P3&gt;'Project Assumptions'!$I$15,0,'Returns Summary'!P23/'Project Assumptions'!$I$10/SUM('Book Income Statement'!Q6:Q8))</f>
        <v>1.22825189641474</v>
      </c>
      <c r="Q50" s="447" t="n">
        <f aca="false">IF(Operations!Q3&gt;'Project Assumptions'!$I$15,0,'Returns Summary'!Q23/'Project Assumptions'!$I$10/SUM('Book Income Statement'!R6:R8))</f>
        <v>1.18105670789576</v>
      </c>
      <c r="R50" s="447" t="n">
        <f aca="false">IF(Operations!R3&gt;'Project Assumptions'!$I$15,0,'Returns Summary'!R23/'Project Assumptions'!$I$10/SUM('Book Income Statement'!S6:S8))</f>
        <v>1.13386151937679</v>
      </c>
      <c r="S50" s="447" t="n">
        <f aca="false">IF(Operations!S3&gt;'Project Assumptions'!$I$15,0,'Returns Summary'!S23/'Project Assumptions'!$I$10/SUM('Book Income Statement'!T6:T8))</f>
        <v>1.66362462571076</v>
      </c>
      <c r="T50" s="447" t="n">
        <f aca="false">IF(Operations!T3&gt;'Project Assumptions'!$I$15,0,'Returns Summary'!T23/'Project Assumptions'!$I$10/SUM('Book Income Statement'!U6:U8))</f>
        <v>1.800017566614</v>
      </c>
      <c r="U50" s="447" t="n">
        <f aca="false">IF(Operations!U3&gt;'Project Assumptions'!$I$15,0,'Returns Summary'!U23/'Project Assumptions'!$I$10/SUM('Book Income Statement'!V6:V8))</f>
        <v>2.03292409108024</v>
      </c>
      <c r="V50" s="447" t="n">
        <f aca="false">IF(Operations!V3&gt;'Project Assumptions'!$I$15,0,'Returns Summary'!V23/'Project Assumptions'!$I$10/SUM('Book Income Statement'!W6:W8))</f>
        <v>2.1221218434645</v>
      </c>
      <c r="W50" s="447" t="n">
        <f aca="false">IF(Operations!W3&gt;'Project Assumptions'!$I$15+1,0,'Returns Summary'!W23/'Project Assumptions'!$I$10/SUM('Book Income Statement'!X6:X8))</f>
        <v>0</v>
      </c>
      <c r="X50" s="447" t="e">
        <f aca="false">IF(Operations!X3&gt;'Project Assumptions'!$I$15,0,'Returns Summary'!X23/'Project Assumptions'!$I$10/SUM('Book Income Statement'!Y6:Y8))</f>
        <v>#DIV/0!</v>
      </c>
      <c r="Y50" s="447" t="e">
        <f aca="false">IF(Operations!Y3&gt;'Project Assumptions'!$I$15,0,'Returns Summary'!Y23/'Project Assumptions'!$I$10/SUM('Book Income Statement'!Z6:Z8))</f>
        <v>#DIV/0!</v>
      </c>
      <c r="Z50" s="447" t="e">
        <f aca="false">IF(Operations!Z3&gt;'Project Assumptions'!$I$15,0,'Returns Summary'!Z23/'Project Assumptions'!$I$10/SUM('Book Income Statement'!AA6:AA8))</f>
        <v>#DIV/0!</v>
      </c>
      <c r="AA50" s="437"/>
      <c r="AB50" s="1"/>
      <c r="AC50" s="1"/>
      <c r="AD50" s="1"/>
      <c r="AE50" s="1"/>
      <c r="AF50" s="1"/>
      <c r="AG50" s="1"/>
    </row>
    <row r="51" customFormat="false" ht="12.6" hidden="false" customHeight="true" outlineLevel="0" collapsed="false">
      <c r="A51" s="410" t="s">
        <v>384</v>
      </c>
      <c r="B51" s="445" t="n">
        <f aca="false">AVERAGE(C51:V51)</f>
        <v>3.39459117245504</v>
      </c>
      <c r="C51" s="444" t="n">
        <f aca="false">SUM(C47:C50)</f>
        <v>5.61510017053549</v>
      </c>
      <c r="D51" s="444" t="n">
        <f aca="false">SUM(D47:D50)</f>
        <v>3.38521260318477</v>
      </c>
      <c r="E51" s="444" t="n">
        <f aca="false">SUM(E47:E50)</f>
        <v>3.67492359567624</v>
      </c>
      <c r="F51" s="444" t="n">
        <f aca="false">SUM(F47:F50)</f>
        <v>3.98614273843376</v>
      </c>
      <c r="G51" s="444" t="n">
        <f aca="false">SUM(G47:G50)</f>
        <v>3.31767372675802</v>
      </c>
      <c r="H51" s="444" t="n">
        <f aca="false">SUM(H47:H50)</f>
        <v>3.28174595754166</v>
      </c>
      <c r="I51" s="444" t="n">
        <f aca="false">SUM(I47:I50)</f>
        <v>3.36215421457896</v>
      </c>
      <c r="J51" s="444" t="n">
        <f aca="false">SUM(J47:J50)</f>
        <v>3.31870447324346</v>
      </c>
      <c r="K51" s="444" t="n">
        <f aca="false">SUM(K47:K50)</f>
        <v>3.91732138321741</v>
      </c>
      <c r="L51" s="444" t="n">
        <f aca="false">SUM(L47:L50)</f>
        <v>4.26330089851582</v>
      </c>
      <c r="M51" s="444" t="n">
        <f aca="false">SUM(M47:M50)</f>
        <v>2.53805399303793</v>
      </c>
      <c r="N51" s="444" t="n">
        <f aca="false">SUM(N47:N50)</f>
        <v>2.65327696529772</v>
      </c>
      <c r="O51" s="444" t="n">
        <f aca="false">SUM(O47:O50)</f>
        <v>2.64479686480626</v>
      </c>
      <c r="P51" s="444" t="n">
        <f aca="false">SUM(P47:P50)</f>
        <v>2.63747821695562</v>
      </c>
      <c r="Q51" s="444" t="n">
        <f aca="false">SUM(Q47:Q50)</f>
        <v>2.63135586532503</v>
      </c>
      <c r="R51" s="444" t="n">
        <f aca="false">SUM(R47:R50)</f>
        <v>2.6264656988011</v>
      </c>
      <c r="S51" s="444" t="n">
        <f aca="false">SUM(S47:S50)</f>
        <v>3.19980297778995</v>
      </c>
      <c r="T51" s="444" t="n">
        <f aca="false">SUM(T47:T50)</f>
        <v>3.38107731652772</v>
      </c>
      <c r="U51" s="444" t="n">
        <f aca="false">SUM(U47:U50)</f>
        <v>3.66021168076353</v>
      </c>
      <c r="V51" s="444" t="n">
        <f aca="false">SUM(V47:V50)</f>
        <v>3.79702410811045</v>
      </c>
      <c r="W51" s="444" t="n">
        <f aca="false">SUM(W47:W50)</f>
        <v>3.01683969363092</v>
      </c>
      <c r="X51" s="444" t="e">
        <f aca="false">SUM(X47:X50)</f>
        <v>#DIV/0!</v>
      </c>
      <c r="Y51" s="444" t="e">
        <f aca="false">SUM(Y47:Y50)</f>
        <v>#DIV/0!</v>
      </c>
      <c r="Z51" s="444" t="e">
        <f aca="false">SUM(Z47:Z50)</f>
        <v>#DIV/0!</v>
      </c>
      <c r="AA51" s="437"/>
      <c r="AB51" s="1"/>
      <c r="AC51" s="1"/>
      <c r="AD51" s="1"/>
      <c r="AE51" s="1"/>
      <c r="AF51" s="1"/>
      <c r="AG51" s="1"/>
    </row>
    <row r="52" customFormat="false" ht="12.6" hidden="false" customHeight="true" outlineLevel="0" collapsed="false">
      <c r="A52" s="410"/>
      <c r="B52" s="448"/>
      <c r="C52" s="451"/>
      <c r="D52" s="451"/>
      <c r="E52" s="451"/>
      <c r="F52" s="451"/>
      <c r="G52" s="451"/>
      <c r="H52" s="451"/>
      <c r="I52" s="451"/>
      <c r="J52" s="451"/>
      <c r="K52" s="451"/>
      <c r="L52" s="451"/>
      <c r="M52" s="451"/>
      <c r="N52" s="451"/>
      <c r="O52" s="451"/>
      <c r="P52" s="451"/>
      <c r="Q52" s="451"/>
      <c r="R52" s="451"/>
      <c r="S52" s="451"/>
      <c r="T52" s="451"/>
      <c r="U52" s="451"/>
      <c r="V52" s="451"/>
      <c r="W52" s="451"/>
      <c r="X52" s="451"/>
      <c r="Y52" s="451"/>
      <c r="Z52" s="451"/>
      <c r="AA52" s="437"/>
      <c r="AB52" s="1"/>
      <c r="AC52" s="1"/>
      <c r="AD52" s="1"/>
      <c r="AE52" s="1"/>
      <c r="AF52" s="1"/>
      <c r="AG52" s="1"/>
    </row>
    <row r="53" customFormat="false" ht="12.6" hidden="false" customHeight="true" outlineLevel="0" collapsed="false">
      <c r="A53" s="410" t="s">
        <v>373</v>
      </c>
      <c r="B53" s="445" t="n">
        <f aca="false">AVERAGE(C53:V53)</f>
        <v>0.321868165141582</v>
      </c>
      <c r="C53" s="451" t="n">
        <f aca="false">C38/'Project Assumptions'!$I$10/SUM('Book Income Statement'!D6:D8)</f>
        <v>0.239571030372934</v>
      </c>
      <c r="D53" s="451" t="n">
        <f aca="false">D38/'Project Assumptions'!$I$10/SUM('Book Income Statement'!E6:E8)</f>
        <v>0.246758161284121</v>
      </c>
      <c r="E53" s="451" t="n">
        <f aca="false">E38/'Project Assumptions'!$I$10/SUM('Book Income Statement'!F6:F8)</f>
        <v>0.254160906122645</v>
      </c>
      <c r="F53" s="451" t="n">
        <f aca="false">F38/'Project Assumptions'!$I$10/SUM('Book Income Statement'!G6:G8)</f>
        <v>0.261785733306325</v>
      </c>
      <c r="G53" s="451" t="n">
        <f aca="false">G38/'Project Assumptions'!$I$10/SUM('Book Income Statement'!H6:H8)</f>
        <v>0.269639305305514</v>
      </c>
      <c r="H53" s="451" t="n">
        <f aca="false">H38/'Project Assumptions'!$I$10/SUM('Book Income Statement'!I6:I8)</f>
        <v>0.27772848446468</v>
      </c>
      <c r="I53" s="451" t="n">
        <f aca="false">I38/'Project Assumptions'!$I$10/SUM('Book Income Statement'!J6:J8)</f>
        <v>0.28606033899862</v>
      </c>
      <c r="J53" s="451" t="n">
        <f aca="false">J38/'Project Assumptions'!$I$10/SUM('Book Income Statement'!K6:K8)</f>
        <v>0.294642149168579</v>
      </c>
      <c r="K53" s="451" t="n">
        <f aca="false">K38/'Project Assumptions'!$I$10/SUM('Book Income Statement'!L6:L8)</f>
        <v>0.303481413643636</v>
      </c>
      <c r="L53" s="451" t="n">
        <f aca="false">L38/'Project Assumptions'!$I$10/SUM('Book Income Statement'!M6:M8)</f>
        <v>0.312585856052945</v>
      </c>
      <c r="M53" s="451" t="n">
        <f aca="false">M38/'Project Assumptions'!$I$10/SUM('Book Income Statement'!N6:N8)</f>
        <v>0.321963431734534</v>
      </c>
      <c r="N53" s="451" t="n">
        <f aca="false">N38/'Project Assumptions'!$I$10/SUM('Book Income Statement'!O6:O8)</f>
        <v>0.33162233468657</v>
      </c>
      <c r="O53" s="451" t="n">
        <f aca="false">O38/'Project Assumptions'!$I$10/SUM('Book Income Statement'!P6:P8)</f>
        <v>0.341571004727167</v>
      </c>
      <c r="P53" s="451" t="n">
        <f aca="false">P38/'Project Assumptions'!$I$10/SUM('Book Income Statement'!Q6:Q8)</f>
        <v>0.351818134868982</v>
      </c>
      <c r="Q53" s="451" t="n">
        <f aca="false">Q38/'Project Assumptions'!$I$10/SUM('Book Income Statement'!R6:R8)</f>
        <v>0.362372678915051</v>
      </c>
      <c r="R53" s="451" t="n">
        <f aca="false">R38/'Project Assumptions'!$I$10/SUM('Book Income Statement'!S6:S8)</f>
        <v>0.373243859282503</v>
      </c>
      <c r="S53" s="451" t="n">
        <f aca="false">S38/'Project Assumptions'!$I$10/SUM('Book Income Statement'!T6:T8)</f>
        <v>0.384441175060978</v>
      </c>
      <c r="T53" s="451" t="n">
        <f aca="false">T38/'Project Assumptions'!$I$10/SUM('Book Income Statement'!U6:U8)</f>
        <v>0.395974410312807</v>
      </c>
      <c r="U53" s="451" t="n">
        <f aca="false">U38/'Project Assumptions'!$I$10/SUM('Book Income Statement'!V6:V8)</f>
        <v>0.407853642622191</v>
      </c>
      <c r="V53" s="451" t="n">
        <f aca="false">V38/'Project Assumptions'!$I$10/SUM('Book Income Statement'!W6:W8)</f>
        <v>0.420089251900857</v>
      </c>
      <c r="W53" s="451" t="n">
        <f aca="false">W38/'Project Assumptions'!$I$10/SUM('Book Income Statement'!X6:X8)</f>
        <v>0.432691929457883</v>
      </c>
      <c r="X53" s="451" t="e">
        <f aca="false">X38/'Project Assumptions'!$I$10/SUM('Book Income Statement'!Y6:Y8)</f>
        <v>#DIV/0!</v>
      </c>
      <c r="Y53" s="451" t="e">
        <f aca="false">Y38/'Project Assumptions'!$I$10/SUM('Book Income Statement'!Z6:Z8)</f>
        <v>#DIV/0!</v>
      </c>
      <c r="Z53" s="451" t="e">
        <f aca="false">Z38/'Project Assumptions'!$I$10/SUM('Book Income Statement'!AA6:AA8)</f>
        <v>#DIV/0!</v>
      </c>
      <c r="AA53" s="437"/>
      <c r="AB53" s="1"/>
      <c r="AC53" s="1"/>
      <c r="AD53" s="1"/>
      <c r="AE53" s="1"/>
      <c r="AF53" s="1"/>
      <c r="AG53" s="1"/>
    </row>
    <row r="54" customFormat="false" ht="12.6" hidden="false" customHeight="true" outlineLevel="0" collapsed="false">
      <c r="A54" s="410" t="s">
        <v>374</v>
      </c>
      <c r="B54" s="452" t="n">
        <f aca="false">AVERAGE(C54:V54)</f>
        <v>0.150108934224316</v>
      </c>
      <c r="C54" s="451" t="n">
        <f aca="false">C39/'Project Assumptions'!$I$10/SUM('Book Income Statement'!D6:D8)</f>
        <v>0.119830065359477</v>
      </c>
      <c r="D54" s="451" t="n">
        <f aca="false">D39/'Project Assumptions'!$I$10/SUM('Book Income Statement'!E6:E8)</f>
        <v>0.114757483660131</v>
      </c>
      <c r="E54" s="451" t="n">
        <f aca="false">E39/'Project Assumptions'!$I$10/SUM('Book Income Statement'!F6:F8)</f>
        <v>0.118200208169935</v>
      </c>
      <c r="F54" s="451" t="n">
        <f aca="false">F39/'Project Assumptions'!$I$10/SUM('Book Income Statement'!G6:G8)</f>
        <v>0.121746214415033</v>
      </c>
      <c r="G54" s="451" t="n">
        <f aca="false">G39/'Project Assumptions'!$I$10/SUM('Book Income Statement'!H6:H8)</f>
        <v>0.125398600847484</v>
      </c>
      <c r="H54" s="451" t="n">
        <f aca="false">H39/'Project Assumptions'!$I$10/SUM('Book Income Statement'!I6:I8)</f>
        <v>0.129160558872908</v>
      </c>
      <c r="I54" s="451" t="n">
        <f aca="false">I39/'Project Assumptions'!$I$10/SUM('Book Income Statement'!J6:J8)</f>
        <v>0.133035375639095</v>
      </c>
      <c r="J54" s="451" t="n">
        <f aca="false">J39/'Project Assumptions'!$I$10/SUM('Book Income Statement'!K6:K8)</f>
        <v>0.137026436908268</v>
      </c>
      <c r="K54" s="451" t="n">
        <f aca="false">K39/'Project Assumptions'!$I$10/SUM('Book Income Statement'!L6:L8)</f>
        <v>0.141137230015516</v>
      </c>
      <c r="L54" s="451" t="n">
        <f aca="false">L39/'Project Assumptions'!$I$10/SUM('Book Income Statement'!M6:M8)</f>
        <v>0.145371346915982</v>
      </c>
      <c r="M54" s="451" t="n">
        <f aca="false">M39/'Project Assumptions'!$I$10/SUM('Book Income Statement'!N6:N8)</f>
        <v>0.149732487323461</v>
      </c>
      <c r="N54" s="451" t="n">
        <f aca="false">N39/'Project Assumptions'!$I$10/SUM('Book Income Statement'!O6:O8)</f>
        <v>0.154224461943165</v>
      </c>
      <c r="O54" s="451" t="n">
        <f aca="false">O39/'Project Assumptions'!$I$10/SUM('Book Income Statement'!P6:P8)</f>
        <v>0.15885119580146</v>
      </c>
      <c r="P54" s="451" t="n">
        <f aca="false">P39/'Project Assumptions'!$I$10/SUM('Book Income Statement'!Q6:Q8)</f>
        <v>0.163616731675504</v>
      </c>
      <c r="Q54" s="451" t="n">
        <f aca="false">Q39/'Project Assumptions'!$I$10/SUM('Book Income Statement'!R6:R8)</f>
        <v>0.168525233625769</v>
      </c>
      <c r="R54" s="451" t="n">
        <f aca="false">R39/'Project Assumptions'!$I$10/SUM('Book Income Statement'!S6:S8)</f>
        <v>0.173580990634542</v>
      </c>
      <c r="S54" s="451" t="n">
        <f aca="false">S39/'Project Assumptions'!$I$10/SUM('Book Income Statement'!T6:T8)</f>
        <v>0.178788420353578</v>
      </c>
      <c r="T54" s="451" t="n">
        <f aca="false">T39/'Project Assumptions'!$I$10/SUM('Book Income Statement'!U6:U8)</f>
        <v>0.184152072964186</v>
      </c>
      <c r="U54" s="451" t="n">
        <f aca="false">U39/'Project Assumptions'!$I$10/SUM('Book Income Statement'!V6:V8)</f>
        <v>0.189676635153111</v>
      </c>
      <c r="V54" s="451" t="n">
        <f aca="false">V39/'Project Assumptions'!$I$10/SUM('Book Income Statement'!W6:W8)</f>
        <v>0.195366934207705</v>
      </c>
      <c r="W54" s="451" t="n">
        <f aca="false">W39/'Project Assumptions'!$I$10/SUM('Book Income Statement'!X6:X8)</f>
        <v>0.231016972957389</v>
      </c>
      <c r="X54" s="451" t="e">
        <f aca="false">X39/'Project Assumptions'!$I$10/SUM('Book Income Statement'!Y6:Y8)</f>
        <v>#DIV/0!</v>
      </c>
      <c r="Y54" s="451" t="e">
        <f aca="false">Y39/'Project Assumptions'!$I$10/SUM('Book Income Statement'!Z6:Z8)</f>
        <v>#DIV/0!</v>
      </c>
      <c r="Z54" s="451" t="e">
        <f aca="false">Z39/'Project Assumptions'!$I$10/SUM('Book Income Statement'!AA6:AA8)</f>
        <v>#DIV/0!</v>
      </c>
      <c r="AA54" s="437"/>
      <c r="AB54" s="1"/>
      <c r="AC54" s="1"/>
      <c r="AD54" s="1"/>
      <c r="AE54" s="1"/>
      <c r="AF54" s="1"/>
      <c r="AG54" s="1"/>
    </row>
    <row r="55" customFormat="false" ht="12.6" hidden="false" customHeight="true" outlineLevel="0" collapsed="false">
      <c r="A55" s="410"/>
      <c r="B55" s="385"/>
      <c r="C55" s="451"/>
      <c r="D55" s="451"/>
      <c r="E55" s="451"/>
      <c r="F55" s="451"/>
      <c r="G55" s="451"/>
      <c r="H55" s="451"/>
      <c r="I55" s="451"/>
      <c r="J55" s="451"/>
      <c r="K55" s="451"/>
      <c r="L55" s="451"/>
      <c r="M55" s="451"/>
      <c r="N55" s="451"/>
      <c r="O55" s="451"/>
      <c r="P55" s="451"/>
      <c r="Q55" s="451"/>
      <c r="R55" s="451"/>
      <c r="S55" s="451"/>
      <c r="T55" s="451"/>
      <c r="U55" s="451"/>
      <c r="V55" s="451"/>
      <c r="W55" s="451"/>
      <c r="X55" s="451"/>
      <c r="Y55" s="451"/>
      <c r="Z55" s="451"/>
      <c r="AA55" s="437"/>
      <c r="AB55" s="1"/>
      <c r="AC55" s="1"/>
      <c r="AD55" s="1"/>
      <c r="AE55" s="1"/>
      <c r="AF55" s="1"/>
      <c r="AG55" s="1"/>
    </row>
    <row r="56" customFormat="false" ht="12.75" hidden="false" customHeight="false" outlineLevel="0" collapsed="false">
      <c r="A56" s="433" t="s">
        <v>385</v>
      </c>
      <c r="B56" s="434" t="s">
        <v>364</v>
      </c>
      <c r="C56" s="442"/>
      <c r="D56" s="442"/>
      <c r="E56" s="442"/>
      <c r="F56" s="442"/>
      <c r="G56" s="442"/>
      <c r="H56" s="442"/>
      <c r="I56" s="442"/>
      <c r="J56" s="442"/>
      <c r="K56" s="442"/>
      <c r="L56" s="442"/>
      <c r="M56" s="442"/>
      <c r="N56" s="442"/>
      <c r="O56" s="442"/>
      <c r="P56" s="442"/>
      <c r="Q56" s="442"/>
      <c r="R56" s="442"/>
      <c r="S56" s="442"/>
      <c r="T56" s="442"/>
      <c r="U56" s="442"/>
      <c r="V56" s="442"/>
      <c r="W56" s="442"/>
      <c r="X56" s="442"/>
      <c r="Y56" s="442"/>
      <c r="Z56" s="442"/>
      <c r="AA56" s="437"/>
    </row>
    <row r="57" customFormat="false" ht="12.6" hidden="false" customHeight="true" outlineLevel="0" collapsed="false">
      <c r="A57" s="410" t="s">
        <v>386</v>
      </c>
      <c r="B57" s="443" t="n">
        <f aca="false">AVERAGE(C57:V57)</f>
        <v>1.68381794553003</v>
      </c>
      <c r="C57" s="444" t="n">
        <f aca="false">IF(Operations!C3&gt;'Project Assumptions'!$I$15,0,C29*1000/(Operations!C30))</f>
        <v>1.25328952614379</v>
      </c>
      <c r="D57" s="444" t="n">
        <f aca="false">IF(Operations!D3&gt;'Project Assumptions'!$I$15,0,D29*1000/(Operations!D30))</f>
        <v>1.2908882119281</v>
      </c>
      <c r="E57" s="444" t="n">
        <f aca="false">IF(Operations!E3&gt;'Project Assumptions'!$I$15,0,E29*1000/(Operations!E30))</f>
        <v>1.32961485828595</v>
      </c>
      <c r="F57" s="444" t="n">
        <f aca="false">IF(Operations!F3&gt;'Project Assumptions'!$I$15,0,F29*1000/(Operations!F30))</f>
        <v>1.36950330403453</v>
      </c>
      <c r="G57" s="444" t="n">
        <f aca="false">IF(Operations!G3&gt;'Project Assumptions'!$I$15,0,G29*1000/(Operations!G30))</f>
        <v>1.41058840315556</v>
      </c>
      <c r="H57" s="444" t="n">
        <f aca="false">IF(Operations!H3&gt;'Project Assumptions'!$I$15,0,H29*1000/(Operations!H30))</f>
        <v>1.45290605525023</v>
      </c>
      <c r="I57" s="444" t="n">
        <f aca="false">IF(Operations!I3&gt;'Project Assumptions'!$I$15,0,I29*1000/(Operations!I30))</f>
        <v>1.49649323690774</v>
      </c>
      <c r="J57" s="444" t="n">
        <f aca="false">IF(Operations!J3&gt;'Project Assumptions'!$I$15,0,J29*1000/(Operations!J30))</f>
        <v>1.54138803401497</v>
      </c>
      <c r="K57" s="444" t="n">
        <f aca="false">IF(Operations!K3&gt;'Project Assumptions'!$I$15,0,K29*1000/(Operations!K30))</f>
        <v>1.58762967503542</v>
      </c>
      <c r="L57" s="444" t="n">
        <f aca="false">IF(Operations!L3&gt;'Project Assumptions'!$I$15,0,L29*1000/(Operations!L30))</f>
        <v>1.63525856528648</v>
      </c>
      <c r="M57" s="444" t="n">
        <f aca="false">IF(Operations!M3&gt;'Project Assumptions'!$I$15,0,M29*1000/(Operations!M30))</f>
        <v>1.68431632224507</v>
      </c>
      <c r="N57" s="444" t="n">
        <f aca="false">IF(Operations!N3&gt;'Project Assumptions'!$I$15,0,N29*1000/(Operations!N30))</f>
        <v>1.73484581191243</v>
      </c>
      <c r="O57" s="444" t="n">
        <f aca="false">IF(Operations!O3&gt;'Project Assumptions'!$I$15,0,O29*1000/(Operations!O30))</f>
        <v>1.7868911862698</v>
      </c>
      <c r="P57" s="444" t="n">
        <f aca="false">IF(Operations!P3&gt;'Project Assumptions'!$I$15,0,P29*1000/(Operations!P30))</f>
        <v>1.84049792185789</v>
      </c>
      <c r="Q57" s="444" t="n">
        <f aca="false">IF(Operations!Q3&gt;'Project Assumptions'!$I$15,0,Q29*1000/(Operations!Q30))</f>
        <v>1.89571285951363</v>
      </c>
      <c r="R57" s="444" t="n">
        <f aca="false">IF(Operations!R3&gt;'Project Assumptions'!$I$15,0,R29*1000/(Operations!R30))</f>
        <v>1.95258424529904</v>
      </c>
      <c r="S57" s="444" t="n">
        <f aca="false">IF(Operations!S3&gt;'Project Assumptions'!$I$15,0,S29*1000/(Operations!S30))</f>
        <v>2.01116177265801</v>
      </c>
      <c r="T57" s="444" t="n">
        <f aca="false">IF(Operations!T3&gt;'Project Assumptions'!$I$15,0,T29*1000/(Operations!T30))</f>
        <v>2.07149662583775</v>
      </c>
      <c r="U57" s="444" t="n">
        <f aca="false">IF(Operations!U3&gt;'Project Assumptions'!$I$15,0,U29*1000/(Operations!U30))</f>
        <v>2.13364152461288</v>
      </c>
      <c r="V57" s="444" t="n">
        <f aca="false">IF(Operations!V3&gt;'Project Assumptions'!$I$15,0,V29*1000/(Operations!V30))</f>
        <v>2.19765077035127</v>
      </c>
      <c r="W57" s="444" t="n">
        <f aca="false">IF(Operations!W3&gt;'Project Assumptions'!$I$15+1,0,W29*1000/(Operations!W30))</f>
        <v>2.26358029346181</v>
      </c>
      <c r="X57" s="444" t="e">
        <f aca="false">IF(Operations!X3&gt;'Project Assumptions'!$I$15,0,X29*1000/(Operations!X30))</f>
        <v>#DIV/0!</v>
      </c>
      <c r="Y57" s="444" t="e">
        <f aca="false">IF(Operations!Y3&gt;'Project Assumptions'!$I$15,0,Y29*1000/(Operations!Y30))</f>
        <v>#DIV/0!</v>
      </c>
      <c r="Z57" s="444" t="e">
        <f aca="false">IF(Operations!Z3&gt;'Project Assumptions'!$I$15,0,Z29*1000/(Operations!Z30))</f>
        <v>#DIV/0!</v>
      </c>
      <c r="AA57" s="437"/>
      <c r="AB57" s="1"/>
      <c r="AC57" s="1"/>
      <c r="AD57" s="1"/>
      <c r="AE57" s="1"/>
      <c r="AF57" s="1"/>
      <c r="AG57" s="1"/>
    </row>
    <row r="58" customFormat="false" ht="12.6" hidden="false" customHeight="true" outlineLevel="0" collapsed="false">
      <c r="A58" s="410" t="s">
        <v>387</v>
      </c>
      <c r="B58" s="445" t="n">
        <f aca="false">AVERAGE(C58:V58)</f>
        <v>5.06614893862697</v>
      </c>
      <c r="C58" s="444" t="n">
        <f aca="false">IF(Operations!C3&gt;'Project Assumptions'!$I$15,0,C30*1000/(Operations!C30))</f>
        <v>3.86492352941177</v>
      </c>
      <c r="D58" s="444" t="n">
        <f aca="false">IF(Operations!D3&gt;'Project Assumptions'!$I$15,0,D30*1000/(Operations!D30))</f>
        <v>3.98087123529412</v>
      </c>
      <c r="E58" s="444" t="n">
        <f aca="false">IF(Operations!E3&gt;'Project Assumptions'!$I$15,0,E30*1000/(Operations!E30))</f>
        <v>4.10029737235294</v>
      </c>
      <c r="F58" s="444" t="n">
        <f aca="false">IF(Operations!F3&gt;'Project Assumptions'!$I$15,0,F30*1000/(Operations!F30))</f>
        <v>4.13363656065732</v>
      </c>
      <c r="G58" s="444" t="n">
        <f aca="false">IF(Operations!G3&gt;'Project Assumptions'!$I$15,0,G30*1000/(Operations!G30))</f>
        <v>4.22899003036236</v>
      </c>
      <c r="H58" s="444" t="n">
        <f aca="false">IF(Operations!H3&gt;'Project Assumptions'!$I$15,0,H30*1000/(Operations!H30))</f>
        <v>4.35585973127323</v>
      </c>
      <c r="I58" s="444" t="n">
        <f aca="false">IF(Operations!I3&gt;'Project Assumptions'!$I$15,0,I30*1000/(Operations!I30))</f>
        <v>4.48653552321143</v>
      </c>
      <c r="J58" s="444" t="n">
        <f aca="false">IF(Operations!J3&gt;'Project Assumptions'!$I$15,0,J30*1000/(Operations!J30))</f>
        <v>4.62113158890777</v>
      </c>
      <c r="K58" s="444" t="n">
        <f aca="false">IF(Operations!K3&gt;'Project Assumptions'!$I$15,0,K30*1000/(Operations!K30))</f>
        <v>4.759765536575</v>
      </c>
      <c r="L58" s="444" t="n">
        <f aca="false">IF(Operations!L3&gt;'Project Assumptions'!$I$15,0,L30*1000/(Operations!L30))</f>
        <v>4.90255850267225</v>
      </c>
      <c r="M58" s="444" t="n">
        <f aca="false">IF(Operations!M3&gt;'Project Assumptions'!$I$15,0,M30*1000/(Operations!M30))</f>
        <v>5.04963525775242</v>
      </c>
      <c r="N58" s="444" t="n">
        <f aca="false">IF(Operations!N3&gt;'Project Assumptions'!$I$15,0,N30*1000/(Operations!N30))</f>
        <v>5.20112431548499</v>
      </c>
      <c r="O58" s="444" t="n">
        <f aca="false">IF(Operations!O3&gt;'Project Assumptions'!$I$15,0,O30*1000/(Operations!O30))</f>
        <v>5.35715804494954</v>
      </c>
      <c r="P58" s="444" t="n">
        <f aca="false">IF(Operations!P3&gt;'Project Assumptions'!$I$15,0,P30*1000/(Operations!P30))</f>
        <v>5.51787278629803</v>
      </c>
      <c r="Q58" s="444" t="n">
        <f aca="false">IF(Operations!Q3&gt;'Project Assumptions'!$I$15,0,Q30*1000/(Operations!Q30))</f>
        <v>5.68340896988697</v>
      </c>
      <c r="R58" s="444" t="n">
        <f aca="false">IF(Operations!R3&gt;'Project Assumptions'!$I$15,0,R30*1000/(Operations!R30))</f>
        <v>5.85391123898358</v>
      </c>
      <c r="S58" s="444" t="n">
        <f aca="false">IF(Operations!S3&gt;'Project Assumptions'!$I$15,0,S30*1000/(Operations!S30))</f>
        <v>6.02952857615309</v>
      </c>
      <c r="T58" s="444" t="n">
        <f aca="false">IF(Operations!T3&gt;'Project Assumptions'!$I$15,0,T30*1000/(Operations!T30))</f>
        <v>6.21041443343768</v>
      </c>
      <c r="U58" s="444" t="n">
        <f aca="false">IF(Operations!U3&gt;'Project Assumptions'!$I$15,0,U30*1000/(Operations!U30))</f>
        <v>6.39672686644081</v>
      </c>
      <c r="V58" s="444" t="n">
        <f aca="false">IF(Operations!V3&gt;'Project Assumptions'!$I$15,0,V30*1000/(Operations!V30))</f>
        <v>6.58862867243404</v>
      </c>
      <c r="W58" s="444" t="n">
        <f aca="false">IF(Operations!W3&gt;'Project Assumptions'!$I$15,0,W30*1000/(Operations!W30))</f>
        <v>0</v>
      </c>
      <c r="X58" s="444"/>
      <c r="Y58" s="444"/>
      <c r="Z58" s="444"/>
      <c r="AA58" s="437"/>
      <c r="AB58" s="1"/>
      <c r="AC58" s="1"/>
      <c r="AD58" s="1"/>
      <c r="AE58" s="1"/>
      <c r="AF58" s="1"/>
      <c r="AG58" s="1"/>
    </row>
    <row r="59" customFormat="false" ht="15" hidden="false" customHeight="true" outlineLevel="0" collapsed="false">
      <c r="A59" s="410" t="s">
        <v>388</v>
      </c>
      <c r="B59" s="446" t="n">
        <f aca="false">AVERAGE(C59:V59)</f>
        <v>5.27727470049926</v>
      </c>
      <c r="C59" s="447" t="n">
        <f aca="false">IF(Operations!C3&gt;'Project Assumptions'!$I$15,0,C31*1000/Operations!C30)</f>
        <v>2.0965063917724</v>
      </c>
      <c r="D59" s="447" t="n">
        <f aca="false">IF(Operations!D3&gt;'Project Assumptions'!$I$15,0,D31*1000/Operations!D30)</f>
        <v>3.61515644944252</v>
      </c>
      <c r="E59" s="447" t="n">
        <f aca="false">IF(Operations!E3&gt;'Project Assumptions'!$I$15,0,E31*1000/Operations!E30)</f>
        <v>3.7236111429258</v>
      </c>
      <c r="F59" s="447" t="n">
        <f aca="false">IF(Operations!F3&gt;'Project Assumptions'!$I$15,0,F31*1000/Operations!F30)</f>
        <v>4.16498772488021</v>
      </c>
      <c r="G59" s="447" t="n">
        <f aca="false">IF(Operations!G3&gt;'Project Assumptions'!$I$15,0,G31*1000/Operations!G30)</f>
        <v>4.56148106036342</v>
      </c>
      <c r="H59" s="447" t="n">
        <f aca="false">IF(Operations!H3&gt;'Project Assumptions'!$I$15,0,H31*1000/Operations!H30)</f>
        <v>4.69832549217433</v>
      </c>
      <c r="I59" s="447" t="n">
        <f aca="false">IF(Operations!I3&gt;'Project Assumptions'!$I$15,0,I31*1000/Operations!I30)</f>
        <v>4.83927525693956</v>
      </c>
      <c r="J59" s="447" t="n">
        <f aca="false">IF(Operations!J3&gt;'Project Assumptions'!$I$15,0,J31*1000/Operations!J30)</f>
        <v>4.98445351464774</v>
      </c>
      <c r="K59" s="447" t="n">
        <f aca="false">IF(Operations!K3&gt;'Project Assumptions'!$I$15,0,K31*1000/Operations!K30)</f>
        <v>5.13398712008718</v>
      </c>
      <c r="L59" s="447" t="n">
        <f aca="false">IF(Operations!L3&gt;'Project Assumptions'!$I$15,0,L31*1000/Operations!L30)</f>
        <v>5.28800673368979</v>
      </c>
      <c r="M59" s="447" t="n">
        <f aca="false">IF(Operations!M3&gt;'Project Assumptions'!$I$15,0,M31*1000/Operations!M30)</f>
        <v>5.44664693570048</v>
      </c>
      <c r="N59" s="447" t="n">
        <f aca="false">IF(Operations!N3&gt;'Project Assumptions'!$I$15,0,N31*1000/Operations!N30)</f>
        <v>5.6100463437715</v>
      </c>
      <c r="O59" s="447" t="n">
        <f aca="false">IF(Operations!O3&gt;'Project Assumptions'!$I$15,0,O31*1000/Operations!O30)</f>
        <v>5.77834773408464</v>
      </c>
      <c r="P59" s="447" t="n">
        <f aca="false">IF(Operations!P3&gt;'Project Assumptions'!$I$15,0,P31*1000/Operations!P30)</f>
        <v>5.95169816610718</v>
      </c>
      <c r="Q59" s="447" t="n">
        <f aca="false">IF(Operations!Q3&gt;'Project Assumptions'!$I$15,0,Q31*1000/Operations!Q30)</f>
        <v>6.1302491110904</v>
      </c>
      <c r="R59" s="447" t="n">
        <f aca="false">IF(Operations!R3&gt;'Project Assumptions'!$I$15,0,R31*1000/Operations!R30)</f>
        <v>6.31415658442311</v>
      </c>
      <c r="S59" s="447" t="n">
        <f aca="false">IF(Operations!S3&gt;'Project Assumptions'!$I$15,0,S31*1000/Operations!S30)</f>
        <v>6.50358128195581</v>
      </c>
      <c r="T59" s="447" t="n">
        <f aca="false">IF(Operations!T3&gt;'Project Assumptions'!$I$15,0,T31*1000/Operations!T30)</f>
        <v>6.69868872041448</v>
      </c>
      <c r="U59" s="447" t="n">
        <f aca="false">IF(Operations!U3&gt;'Project Assumptions'!$I$15,0,U31*1000/Operations!U30)</f>
        <v>6.89964938202691</v>
      </c>
      <c r="V59" s="447" t="n">
        <f aca="false">IF(Operations!V3&gt;'Project Assumptions'!$I$15,0,V31*1000/Operations!V30)</f>
        <v>7.10663886348772</v>
      </c>
      <c r="W59" s="447" t="n">
        <f aca="false">IF(Operations!W3&gt;'Project Assumptions'!$I$15+1,0,W31*1000/Operations!W30)</f>
        <v>3.17060047697256</v>
      </c>
      <c r="X59" s="447" t="e">
        <f aca="false">IF(Operations!X3&gt;'Project Assumptions'!$I$15,0,X31*1000/Operations!X30)</f>
        <v>#DIV/0!</v>
      </c>
      <c r="Y59" s="447" t="e">
        <f aca="false">IF(Operations!Y3&gt;'Project Assumptions'!$I$15,0,Y31*1000/Operations!Y30)</f>
        <v>#DIV/0!</v>
      </c>
      <c r="Z59" s="447" t="e">
        <f aca="false">IF(Operations!Z3&gt;'Project Assumptions'!$I$15,0,Z31*1000/Operations!Z30)</f>
        <v>#DIV/0!</v>
      </c>
      <c r="AA59" s="437"/>
      <c r="AB59" s="1"/>
      <c r="AC59" s="1"/>
      <c r="AD59" s="1"/>
      <c r="AE59" s="1"/>
      <c r="AF59" s="1"/>
      <c r="AG59" s="1"/>
    </row>
    <row r="60" customFormat="false" ht="12.6" hidden="false" customHeight="true" outlineLevel="0" collapsed="false">
      <c r="A60" s="453" t="s">
        <v>389</v>
      </c>
      <c r="B60" s="454" t="n">
        <f aca="false">SUM(B57:B59)</f>
        <v>12.0272415846563</v>
      </c>
      <c r="C60" s="455" t="n">
        <f aca="false">IF(Operations!C3&gt;'Project Assumptions'!$I$15,0,SUM(C57:C59))</f>
        <v>7.21471944732795</v>
      </c>
      <c r="D60" s="456" t="n">
        <f aca="false">IF(Operations!D3&gt;'Project Assumptions'!$I$15,0,SUM(D57:D59))</f>
        <v>8.88691589666474</v>
      </c>
      <c r="E60" s="456" t="n">
        <f aca="false">IF(Operations!E3&gt;'Project Assumptions'!$I$15,0,SUM(E57:E59))</f>
        <v>9.15352337356469</v>
      </c>
      <c r="F60" s="456" t="n">
        <f aca="false">IF(Operations!F3&gt;'Project Assumptions'!$I$15,0,SUM(F57:F59))</f>
        <v>9.66812758957206</v>
      </c>
      <c r="G60" s="456" t="n">
        <f aca="false">IF(Operations!G3&gt;'Project Assumptions'!$I$15,0,SUM(G57:G59))</f>
        <v>10.2010594938813</v>
      </c>
      <c r="H60" s="456" t="n">
        <f aca="false">IF(Operations!H3&gt;'Project Assumptions'!$I$15,0,SUM(H57:H59))</f>
        <v>10.5070912786978</v>
      </c>
      <c r="I60" s="456" t="n">
        <f aca="false">IF(Operations!I3&gt;'Project Assumptions'!$I$15,0,SUM(I57:I59))</f>
        <v>10.8223040170587</v>
      </c>
      <c r="J60" s="456" t="n">
        <f aca="false">IF(Operations!J3&gt;'Project Assumptions'!$I$15,0,SUM(J57:J59))</f>
        <v>11.1469731375705</v>
      </c>
      <c r="K60" s="456" t="n">
        <f aca="false">IF(Operations!K3&gt;'Project Assumptions'!$I$15,0,SUM(K57:K59))</f>
        <v>11.4813823316976</v>
      </c>
      <c r="L60" s="456" t="n">
        <f aca="false">IF(Operations!L3&gt;'Project Assumptions'!$I$15,0,SUM(L57:L59))</f>
        <v>11.8258238016485</v>
      </c>
      <c r="M60" s="456" t="n">
        <f aca="false">IF(Operations!M3&gt;'Project Assumptions'!$I$15,0,SUM(M57:M59))</f>
        <v>12.180598515698</v>
      </c>
      <c r="N60" s="456" t="n">
        <f aca="false">IF(Operations!N3&gt;'Project Assumptions'!$I$15,0,SUM(N57:N59))</f>
        <v>12.5460164711689</v>
      </c>
      <c r="O60" s="456" t="n">
        <f aca="false">IF(Operations!O3&gt;'Project Assumptions'!$I$15,0,SUM(O57:O59))</f>
        <v>12.922396965304</v>
      </c>
      <c r="P60" s="456" t="n">
        <f aca="false">IF(Operations!P3&gt;'Project Assumptions'!$I$15,0,SUM(P57:P59))</f>
        <v>13.3100688742631</v>
      </c>
      <c r="Q60" s="456" t="n">
        <f aca="false">IF(Operations!Q3&gt;'Project Assumptions'!$I$15,0,SUM(Q57:Q59))</f>
        <v>13.709370940491</v>
      </c>
      <c r="R60" s="456" t="n">
        <f aca="false">IF(Operations!R3&gt;'Project Assumptions'!$I$15,0,SUM(R57:R59))</f>
        <v>14.1206520687057</v>
      </c>
      <c r="S60" s="456" t="n">
        <f aca="false">IF(Operations!S3&gt;'Project Assumptions'!$I$15,0,SUM(S57:S59))</f>
        <v>14.5442716307669</v>
      </c>
      <c r="T60" s="456" t="n">
        <f aca="false">IF(Operations!T3&gt;'Project Assumptions'!$I$15,0,SUM(T57:T59))</f>
        <v>14.9805997796899</v>
      </c>
      <c r="U60" s="456" t="n">
        <f aca="false">IF(Operations!U3&gt;'Project Assumptions'!$I$15,0,SUM(U57:U59))</f>
        <v>15.4300177730806</v>
      </c>
      <c r="V60" s="456" t="n">
        <f aca="false">IF(Operations!V3&gt;'Project Assumptions'!$I$15,0,SUM(V57:V59))</f>
        <v>15.892918306273</v>
      </c>
      <c r="W60" s="456" t="n">
        <f aca="false">IF(Operations!W3&gt;'Project Assumptions'!$I$15+1,0,SUM(W57:W59))</f>
        <v>5.43418077043437</v>
      </c>
      <c r="X60" s="456" t="e">
        <f aca="false">IF(Operations!X3&gt;'Project Assumptions'!$I$15,0,SUM(X57:X59))</f>
        <v>#DIV/0!</v>
      </c>
      <c r="Y60" s="456" t="e">
        <f aca="false">IF(Operations!Y3&gt;'Project Assumptions'!$I$15,0,SUM(Y57:Y59))</f>
        <v>#DIV/0!</v>
      </c>
      <c r="Z60" s="456" t="e">
        <f aca="false">IF(Operations!Z3&gt;'Project Assumptions'!$I$15,0,SUM(Z57:Z59))</f>
        <v>#DIV/0!</v>
      </c>
      <c r="AA60" s="457"/>
      <c r="AB60" s="1"/>
      <c r="AC60" s="1"/>
      <c r="AD60" s="1"/>
      <c r="AE60" s="1"/>
      <c r="AF60" s="1"/>
      <c r="AG60" s="1"/>
    </row>
    <row r="61" customFormat="false" ht="12.6" hidden="false" customHeight="true" outlineLevel="0" collapsed="false">
      <c r="A61" s="1"/>
      <c r="B61" s="1"/>
      <c r="C61" s="458"/>
      <c r="D61" s="444"/>
      <c r="E61" s="444"/>
      <c r="F61" s="444"/>
      <c r="G61" s="444"/>
      <c r="H61" s="444"/>
      <c r="I61" s="444"/>
      <c r="J61" s="444"/>
      <c r="K61" s="444"/>
      <c r="L61" s="444"/>
      <c r="M61" s="444"/>
      <c r="N61" s="444"/>
      <c r="O61" s="444"/>
      <c r="P61" s="444"/>
      <c r="Q61" s="444"/>
      <c r="R61" s="444"/>
      <c r="S61" s="444"/>
      <c r="T61" s="444"/>
      <c r="U61" s="444"/>
      <c r="V61" s="444"/>
      <c r="W61" s="444"/>
      <c r="X61" s="444"/>
      <c r="Y61" s="444"/>
      <c r="Z61" s="444"/>
      <c r="AA61" s="444"/>
      <c r="AB61" s="1"/>
      <c r="AC61" s="1"/>
      <c r="AD61" s="1"/>
      <c r="AE61" s="1"/>
      <c r="AF61" s="1"/>
      <c r="AG61" s="1"/>
    </row>
    <row r="62" customFormat="false" ht="12.6" hidden="false" customHeight="true" outlineLevel="0" collapsed="false">
      <c r="A62" s="1"/>
      <c r="B62" s="1"/>
      <c r="C62" s="458"/>
      <c r="D62" s="444"/>
      <c r="E62" s="444"/>
      <c r="F62" s="444"/>
      <c r="G62" s="444"/>
      <c r="H62" s="444"/>
      <c r="I62" s="444"/>
      <c r="J62" s="444"/>
      <c r="K62" s="444"/>
      <c r="L62" s="444"/>
      <c r="M62" s="444"/>
      <c r="N62" s="444"/>
      <c r="O62" s="444"/>
      <c r="P62" s="444"/>
      <c r="Q62" s="444"/>
      <c r="R62" s="444"/>
      <c r="S62" s="444"/>
      <c r="T62" s="444"/>
      <c r="U62" s="444"/>
      <c r="V62" s="444"/>
      <c r="W62" s="444"/>
      <c r="X62" s="444"/>
      <c r="Y62" s="444"/>
      <c r="Z62" s="444"/>
      <c r="AA62" s="444"/>
      <c r="AB62" s="1"/>
      <c r="AC62" s="1"/>
      <c r="AD62" s="1"/>
      <c r="AE62" s="1"/>
      <c r="AF62" s="1"/>
      <c r="AG62" s="1"/>
    </row>
    <row r="63" customFormat="false" ht="12.6" hidden="false" customHeight="true" outlineLevel="0" collapsed="false">
      <c r="A63" s="430" t="s">
        <v>390</v>
      </c>
      <c r="B63" s="459"/>
      <c r="C63" s="459"/>
      <c r="D63" s="459"/>
      <c r="E63" s="459"/>
      <c r="F63" s="459"/>
      <c r="G63" s="459"/>
      <c r="H63" s="459"/>
      <c r="I63" s="459"/>
      <c r="J63" s="459"/>
      <c r="K63" s="459"/>
      <c r="L63" s="459"/>
      <c r="M63" s="459"/>
      <c r="N63" s="459"/>
      <c r="O63" s="459"/>
      <c r="P63" s="459"/>
      <c r="Q63" s="459"/>
      <c r="R63" s="459"/>
      <c r="S63" s="459"/>
      <c r="T63" s="459"/>
      <c r="U63" s="459"/>
      <c r="V63" s="459"/>
      <c r="W63" s="459"/>
      <c r="X63" s="459"/>
      <c r="Y63" s="459"/>
      <c r="Z63" s="459"/>
      <c r="AA63" s="460"/>
    </row>
    <row r="64" customFormat="false" ht="12.6" hidden="false" customHeight="true" outlineLevel="0" collapsed="false">
      <c r="A64" s="400" t="s">
        <v>391</v>
      </c>
      <c r="B64" s="461" t="n">
        <f aca="false">AVERAGE(C64:V64)</f>
        <v>6.35881908461806</v>
      </c>
      <c r="C64" s="408" t="n">
        <f aca="false">C69*(1+'Project Assumptions'!$I$31)^('PPA Assumptions &amp;Summary'!C4-1998)/12</f>
        <v>5.65813333333333</v>
      </c>
      <c r="D64" s="408" t="n">
        <f aca="false">D69*(1+'Project Assumptions'!$I$31)^('PPA Assumptions &amp;Summary'!D4-1998)/12</f>
        <v>5.64575616666667</v>
      </c>
      <c r="E64" s="408" t="n">
        <f aca="false">E69*(1+'Project Assumptions'!$I$31)^('PPA Assumptions &amp;Summary'!E4-1998)/12</f>
        <v>5.72133645083333</v>
      </c>
      <c r="F64" s="408" t="n">
        <f aca="false">F69*(1+'Project Assumptions'!$I$31)^('PPA Assumptions &amp;Summary'!F4-1998)/12</f>
        <v>5.69976419864167</v>
      </c>
      <c r="G64" s="408" t="n">
        <f aca="false">G69*(1+'Project Assumptions'!$I$31)^('PPA Assumptions &amp;Summary'!G4-1998)/12</f>
        <v>5.77125276655683</v>
      </c>
      <c r="H64" s="408" t="n">
        <f aca="false">H69*(1+'Project Assumptions'!$I$31)^('PPA Assumptions &amp;Summary'!H4-1998)/12</f>
        <v>5.84190086076813</v>
      </c>
      <c r="I64" s="408" t="n">
        <f aca="false">I69*(1+'Project Assumptions'!$I$31)^('PPA Assumptions &amp;Summary'!I4-1998)/12</f>
        <v>5.91159371314221</v>
      </c>
      <c r="J64" s="408" t="n">
        <f aca="false">J69*(1+'Project Assumptions'!$I$31)^('PPA Assumptions &amp;Summary'!J4-1998)/12</f>
        <v>6.08894152453648</v>
      </c>
      <c r="K64" s="408" t="n">
        <f aca="false">K69*(1+'Project Assumptions'!$I$31)^('PPA Assumptions &amp;Summary'!K4-1998)/12</f>
        <v>6.15961673866056</v>
      </c>
      <c r="L64" s="408" t="n">
        <f aca="false">L69*(1+'Project Assumptions'!$I$31)^('PPA Assumptions &amp;Summary'!L4-1998)/12</f>
        <v>6.34440524082038</v>
      </c>
      <c r="M64" s="408" t="n">
        <f aca="false">M69*(1+'Project Assumptions'!$I$31)^('PPA Assumptions &amp;Summary'!M4-1998)/12</f>
        <v>6.41592399080781</v>
      </c>
      <c r="N64" s="408" t="n">
        <f aca="false">N69*(1+'Project Assumptions'!$I$31)^('PPA Assumptions &amp;Summary'!N4-1998)/12</f>
        <v>6.60840171053204</v>
      </c>
      <c r="O64" s="408" t="n">
        <f aca="false">O69*(1+'Project Assumptions'!$I$31)^('PPA Assumptions &amp;Summary'!O4-1998)/12</f>
        <v>6.68060461811008</v>
      </c>
      <c r="P64" s="408" t="n">
        <f aca="false">P69*(1+'Project Assumptions'!$I$31)^('PPA Assumptions &amp;Summary'!P4-1998)/12</f>
        <v>6.75119213860332</v>
      </c>
      <c r="Q64" s="408" t="n">
        <f aca="false">Q69*(1+'Project Assumptions'!$I$31)^('PPA Assumptions &amp;Summary'!Q4-1998)/12</f>
        <v>6.82000236616985</v>
      </c>
      <c r="R64" s="408" t="n">
        <f aca="false">R69*(1+'Project Assumptions'!$I$31)^('PPA Assumptions &amp;Summary'!R4-1998)/12</f>
        <v>6.88686513446563</v>
      </c>
      <c r="S64" s="408" t="n">
        <f aca="false">S69*(1+'Project Assumptions'!$I$31)^('PPA Assumptions &amp;Summary'!S4-1998)/12</f>
        <v>6.95160166672961</v>
      </c>
      <c r="T64" s="408" t="n">
        <f aca="false">T69*(1+'Project Assumptions'!$I$31)^('PPA Assumptions &amp;Summary'!T4-1998)/12</f>
        <v>7.01402421230841</v>
      </c>
      <c r="U64" s="408" t="n">
        <f aca="false">U69*(1+'Project Assumptions'!$I$31)^('PPA Assumptions &amp;Summary'!U4-1998)/12</f>
        <v>7.07393566912187</v>
      </c>
      <c r="V64" s="408" t="n">
        <f aca="false">V69*(1+'Project Assumptions'!$I$31)^('PPA Assumptions &amp;Summary'!V4-1998)/12</f>
        <v>7.13112919155307</v>
      </c>
      <c r="W64" s="408" t="n">
        <f aca="false">W69*(1+'Project Assumptions'!$I$31)^('PPA Assumptions &amp;Summary'!W4-1998)/12</f>
        <v>7.18538778322793</v>
      </c>
      <c r="X64" s="265"/>
      <c r="Y64" s="265"/>
      <c r="Z64" s="265"/>
      <c r="AA64" s="462"/>
    </row>
    <row r="65" customFormat="false" ht="12.6" hidden="false" customHeight="true" outlineLevel="0" collapsed="false">
      <c r="A65" s="400" t="s">
        <v>392</v>
      </c>
      <c r="B65" s="463" t="n">
        <f aca="false">AVERAGE(C65:V65)</f>
        <v>4.98672745311418</v>
      </c>
      <c r="C65" s="408" t="n">
        <f aca="false">C70*(1+'Project Assumptions'!$I$31)^('PPA Assumptions &amp;Summary'!C4-1998)/12</f>
        <v>4.508825</v>
      </c>
      <c r="D65" s="408" t="n">
        <f aca="false">D70*(1+'Project Assumptions'!$I$31)^('PPA Assumptions &amp;Summary'!D4-1998)/12</f>
        <v>4.73515033333333</v>
      </c>
      <c r="E65" s="408" t="n">
        <f aca="false">E70*(1+'Project Assumptions'!$I$31)^('PPA Assumptions &amp;Summary'!E4-1998)/12</f>
        <v>4.87720484333333</v>
      </c>
      <c r="F65" s="408" t="n">
        <f aca="false">F70*(1+'Project Assumptions'!$I$31)^('PPA Assumptions &amp;Summary'!F4-1998)/12</f>
        <v>5.02352098863333</v>
      </c>
      <c r="G65" s="408" t="n">
        <f aca="false">G70*(1+'Project Assumptions'!$I$31)^('PPA Assumptions &amp;Summary'!G4-1998)/12</f>
        <v>5.17422661829233</v>
      </c>
      <c r="H65" s="408" t="n">
        <f aca="false">H70*(1+'Project Assumptions'!$I$31)^('PPA Assumptions &amp;Summary'!H4-1998)/12</f>
        <v>5.3294534168411</v>
      </c>
      <c r="I65" s="408" t="n">
        <f aca="false">I70*(1+'Project Assumptions'!$I$31)^('PPA Assumptions &amp;Summary'!I4-1998)/12</f>
        <v>5.2782086724484</v>
      </c>
      <c r="J65" s="408" t="n">
        <f aca="false">J70*(1+'Project Assumptions'!$I$31)^('PPA Assumptions &amp;Summary'!J4-1998)/12</f>
        <v>5.21909273531698</v>
      </c>
      <c r="K65" s="408" t="n">
        <f aca="false">K70*(1+'Project Assumptions'!$I$31)^('PPA Assumptions &amp;Summary'!K4-1998)/12</f>
        <v>5.03968642254046</v>
      </c>
      <c r="L65" s="408" t="n">
        <f aca="false">L70*(1+'Project Assumptions'!$I$31)^('PPA Assumptions &amp;Summary'!L4-1998)/12</f>
        <v>4.96017137009593</v>
      </c>
      <c r="M65" s="408" t="n">
        <f aca="false">M70*(1+'Project Assumptions'!$I$31)^('PPA Assumptions &amp;Summary'!M4-1998)/12</f>
        <v>4.87134969672445</v>
      </c>
      <c r="N65" s="408" t="n">
        <f aca="false">N70*(1+'Project Assumptions'!$I$31)^('PPA Assumptions &amp;Summary'!N4-1998)/12</f>
        <v>4.89511237817188</v>
      </c>
      <c r="O65" s="408" t="n">
        <f aca="false">O70*(1+'Project Assumptions'!$I$31)^('PPA Assumptions &amp;Summary'!O4-1998)/12</f>
        <v>4.91591660577911</v>
      </c>
      <c r="P65" s="408" t="n">
        <f aca="false">P70*(1+'Project Assumptions'!$I$31)^('PPA Assumptions &amp;Summary'!P4-1998)/12</f>
        <v>4.80373286785236</v>
      </c>
      <c r="Q65" s="408" t="n">
        <f aca="false">Q70*(1+'Project Assumptions'!$I$31)^('PPA Assumptions &amp;Summary'!Q4-1998)/12</f>
        <v>4.81411931729636</v>
      </c>
      <c r="R65" s="408" t="n">
        <f aca="false">R70*(1+'Project Assumptions'!$I$31)^('PPA Assumptions &amp;Summary'!R4-1998)/12</f>
        <v>4.82080559412594</v>
      </c>
      <c r="S65" s="408" t="n">
        <f aca="false">S70*(1+'Project Assumptions'!$I$31)^('PPA Assumptions &amp;Summary'!S4-1998)/12</f>
        <v>4.96542976194972</v>
      </c>
      <c r="T65" s="408" t="n">
        <f aca="false">T70*(1+'Project Assumptions'!$I$31)^('PPA Assumptions &amp;Summary'!T4-1998)/12</f>
        <v>5.11439265480821</v>
      </c>
      <c r="U65" s="408" t="n">
        <f aca="false">U70*(1+'Project Assumptions'!$I$31)^('PPA Assumptions &amp;Summary'!U4-1998)/12</f>
        <v>5.11731516489668</v>
      </c>
      <c r="V65" s="408" t="n">
        <f aca="false">V70*(1+'Project Assumptions'!$I$31)^('PPA Assumptions &amp;Summary'!V4-1998)/12</f>
        <v>5.27083461984358</v>
      </c>
      <c r="W65" s="408" t="n">
        <f aca="false">W70*(1+'Project Assumptions'!$I$31)^('PPA Assumptions &amp;Summary'!W4-1998)/12</f>
        <v>5.42895965843888</v>
      </c>
      <c r="X65" s="408"/>
      <c r="Y65" s="265"/>
      <c r="Z65" s="265"/>
      <c r="AA65" s="462"/>
    </row>
    <row r="66" customFormat="false" ht="12.6" hidden="false" customHeight="true" outlineLevel="0" collapsed="false">
      <c r="A66" s="400" t="s">
        <v>393</v>
      </c>
      <c r="B66" s="463" t="n">
        <f aca="false">AVERAGE(C66:V66)</f>
        <v>5.67277326886612</v>
      </c>
      <c r="C66" s="408" t="n">
        <f aca="false">AVERAGE(C64,C65)</f>
        <v>5.08347916666667</v>
      </c>
      <c r="D66" s="408" t="n">
        <f aca="false">AVERAGE(D64,D65)</f>
        <v>5.19045325</v>
      </c>
      <c r="E66" s="408" t="n">
        <f aca="false">AVERAGE(E64,E65)</f>
        <v>5.29927064708333</v>
      </c>
      <c r="F66" s="408" t="n">
        <f aca="false">AVERAGE(F64,F65)</f>
        <v>5.3616425936375</v>
      </c>
      <c r="G66" s="408" t="n">
        <f aca="false">AVERAGE(G64,G65)</f>
        <v>5.47273969242458</v>
      </c>
      <c r="H66" s="408" t="n">
        <f aca="false">AVERAGE(H64,H65)</f>
        <v>5.58567713880462</v>
      </c>
      <c r="I66" s="408" t="n">
        <f aca="false">AVERAGE(I64,I65)</f>
        <v>5.59490119279531</v>
      </c>
      <c r="J66" s="408" t="n">
        <f aca="false">AVERAGE(J64,J65)</f>
        <v>5.65401712992673</v>
      </c>
      <c r="K66" s="408" t="n">
        <f aca="false">AVERAGE(K64,K65)</f>
        <v>5.59965158060051</v>
      </c>
      <c r="L66" s="408" t="n">
        <f aca="false">AVERAGE(L64,L65)</f>
        <v>5.65228830545815</v>
      </c>
      <c r="M66" s="408" t="n">
        <f aca="false">AVERAGE(M64,M65)</f>
        <v>5.64363684376613</v>
      </c>
      <c r="N66" s="408" t="n">
        <f aca="false">AVERAGE(N64,N65)</f>
        <v>5.75175704435196</v>
      </c>
      <c r="O66" s="408" t="n">
        <f aca="false">AVERAGE(O64,O65)</f>
        <v>5.7982606119446</v>
      </c>
      <c r="P66" s="408" t="n">
        <f aca="false">AVERAGE(P64,P65)</f>
        <v>5.77746250322784</v>
      </c>
      <c r="Q66" s="408" t="n">
        <f aca="false">AVERAGE(Q64,Q65)</f>
        <v>5.81706084173311</v>
      </c>
      <c r="R66" s="408" t="n">
        <f aca="false">AVERAGE(R64,R65)</f>
        <v>5.85383536429579</v>
      </c>
      <c r="S66" s="408" t="n">
        <f aca="false">AVERAGE(S64,S65)</f>
        <v>5.95851571433967</v>
      </c>
      <c r="T66" s="408" t="n">
        <f aca="false">AVERAGE(T64,T65)</f>
        <v>6.06420843355831</v>
      </c>
      <c r="U66" s="408" t="n">
        <f aca="false">AVERAGE(U64,U65)</f>
        <v>6.09562541700928</v>
      </c>
      <c r="V66" s="408" t="n">
        <f aca="false">AVERAGE(V64,V65)</f>
        <v>6.20098190569832</v>
      </c>
      <c r="W66" s="408" t="n">
        <f aca="false">AVERAGE(W64,W65)</f>
        <v>6.30717372083341</v>
      </c>
      <c r="X66" s="265"/>
      <c r="Y66" s="265"/>
      <c r="Z66" s="265"/>
      <c r="AA66" s="462"/>
    </row>
    <row r="67" customFormat="false" ht="12.6" hidden="false" customHeight="true" outlineLevel="0" collapsed="false">
      <c r="A67" s="400" t="s">
        <v>394</v>
      </c>
      <c r="B67" s="464" t="n">
        <f aca="false">AVERAGE(C67:V67)</f>
        <v>5.32975036099015</v>
      </c>
      <c r="C67" s="408" t="n">
        <f aca="false">C65+(C66-C65)*'Project Assumptions'!$C$75</f>
        <v>4.79615208333333</v>
      </c>
      <c r="D67" s="408" t="n">
        <f aca="false">D65+(D66-D65)*'Project Assumptions'!$C$75</f>
        <v>4.96280179166667</v>
      </c>
      <c r="E67" s="408" t="n">
        <f aca="false">E65+(E66-E65)*'Project Assumptions'!$C$75</f>
        <v>5.08823774520833</v>
      </c>
      <c r="F67" s="408" t="n">
        <f aca="false">F65+(F66-F65)*'Project Assumptions'!$C$75</f>
        <v>5.19258179113542</v>
      </c>
      <c r="G67" s="408" t="n">
        <f aca="false">G65+(G66-G65)*'Project Assumptions'!$C$75</f>
        <v>5.32348315535846</v>
      </c>
      <c r="H67" s="408" t="n">
        <f aca="false">H65+(H66-H65)*'Project Assumptions'!$C$75</f>
        <v>5.45756527782286</v>
      </c>
      <c r="I67" s="408" t="n">
        <f aca="false">I65+(I66-I65)*'Project Assumptions'!$C$75</f>
        <v>5.43655493262185</v>
      </c>
      <c r="J67" s="408" t="n">
        <f aca="false">J65+(J66-J65)*'Project Assumptions'!$C$75</f>
        <v>5.43655493262185</v>
      </c>
      <c r="K67" s="408" t="n">
        <f aca="false">K65+(K66-K65)*'Project Assumptions'!$C$75</f>
        <v>5.31966900157048</v>
      </c>
      <c r="L67" s="408" t="n">
        <f aca="false">L65+(L66-L65)*'Project Assumptions'!$C$75</f>
        <v>5.30622983777704</v>
      </c>
      <c r="M67" s="408" t="n">
        <f aca="false">M65+(M66-M65)*'Project Assumptions'!$C$75</f>
        <v>5.25749327024529</v>
      </c>
      <c r="N67" s="408" t="n">
        <f aca="false">N65+(N66-N65)*'Project Assumptions'!$C$75</f>
        <v>5.32343471126192</v>
      </c>
      <c r="O67" s="408" t="n">
        <f aca="false">O65+(O66-O65)*'Project Assumptions'!$C$75</f>
        <v>5.35708860886185</v>
      </c>
      <c r="P67" s="408" t="n">
        <f aca="false">P65+(P66-P65)*'Project Assumptions'!$C$75</f>
        <v>5.2905976855401</v>
      </c>
      <c r="Q67" s="408" t="n">
        <f aca="false">Q65+(Q66-Q65)*'Project Assumptions'!$C$75</f>
        <v>5.31559007951474</v>
      </c>
      <c r="R67" s="408" t="n">
        <f aca="false">R65+(R66-R65)*'Project Assumptions'!$C$75</f>
        <v>5.33732047921087</v>
      </c>
      <c r="S67" s="408" t="n">
        <f aca="false">S65+(S66-S65)*'Project Assumptions'!$C$75</f>
        <v>5.46197273814469</v>
      </c>
      <c r="T67" s="408" t="n">
        <f aca="false">T65+(T66-T65)*'Project Assumptions'!$C$75</f>
        <v>5.58930054418326</v>
      </c>
      <c r="U67" s="408" t="n">
        <f aca="false">U65+(U66-U65)*'Project Assumptions'!$C$75</f>
        <v>5.60647029095298</v>
      </c>
      <c r="V67" s="408" t="n">
        <f aca="false">V65+(V66-V65)*'Project Assumptions'!$C$75</f>
        <v>5.73590826277095</v>
      </c>
      <c r="W67" s="408" t="n">
        <f aca="false">W65+(W66-W65)*'Project Assumptions'!$C$75</f>
        <v>5.86806668963615</v>
      </c>
      <c r="X67" s="265"/>
      <c r="Y67" s="265"/>
      <c r="Z67" s="265"/>
      <c r="AA67" s="462"/>
    </row>
    <row r="68" customFormat="false" ht="12.6" hidden="false" customHeight="true" outlineLevel="0" collapsed="false">
      <c r="A68" s="410"/>
      <c r="B68" s="385"/>
      <c r="C68" s="408"/>
      <c r="D68" s="408"/>
      <c r="E68" s="408"/>
      <c r="F68" s="408"/>
      <c r="G68" s="408"/>
      <c r="H68" s="408"/>
      <c r="I68" s="408"/>
      <c r="J68" s="408"/>
      <c r="K68" s="408"/>
      <c r="L68" s="408"/>
      <c r="M68" s="408"/>
      <c r="N68" s="408"/>
      <c r="O68" s="408"/>
      <c r="P68" s="408"/>
      <c r="Q68" s="408"/>
      <c r="R68" s="408"/>
      <c r="S68" s="408"/>
      <c r="T68" s="408"/>
      <c r="U68" s="408"/>
      <c r="V68" s="408"/>
      <c r="W68" s="408"/>
      <c r="X68" s="408"/>
      <c r="Y68" s="408"/>
      <c r="Z68" s="408"/>
      <c r="AA68" s="409"/>
      <c r="AB68" s="1"/>
      <c r="AC68" s="1"/>
      <c r="AD68" s="1"/>
      <c r="AE68" s="1"/>
      <c r="AF68" s="1"/>
      <c r="AG68" s="1"/>
    </row>
    <row r="69" customFormat="false" ht="12.6" hidden="false" customHeight="true" outlineLevel="0" collapsed="false">
      <c r="A69" s="465" t="s">
        <v>395</v>
      </c>
      <c r="B69" s="385" t="s">
        <v>396</v>
      </c>
      <c r="C69" s="466" t="n">
        <v>64</v>
      </c>
      <c r="D69" s="466" t="n">
        <v>62</v>
      </c>
      <c r="E69" s="466" t="n">
        <v>61</v>
      </c>
      <c r="F69" s="466" t="n">
        <v>59</v>
      </c>
      <c r="G69" s="466" t="n">
        <v>58</v>
      </c>
      <c r="H69" s="466" t="n">
        <v>57</v>
      </c>
      <c r="I69" s="466" t="n">
        <v>56</v>
      </c>
      <c r="J69" s="466" t="n">
        <v>56</v>
      </c>
      <c r="K69" s="466" t="n">
        <v>55</v>
      </c>
      <c r="L69" s="466" t="n">
        <v>55</v>
      </c>
      <c r="M69" s="466" t="n">
        <v>54</v>
      </c>
      <c r="N69" s="466" t="n">
        <v>54</v>
      </c>
      <c r="O69" s="466" t="n">
        <v>53</v>
      </c>
      <c r="P69" s="466" t="n">
        <v>52</v>
      </c>
      <c r="Q69" s="466" t="n">
        <v>51</v>
      </c>
      <c r="R69" s="466" t="n">
        <v>50</v>
      </c>
      <c r="S69" s="466" t="n">
        <v>49</v>
      </c>
      <c r="T69" s="466" t="n">
        <v>48</v>
      </c>
      <c r="U69" s="466" t="n">
        <v>47</v>
      </c>
      <c r="V69" s="466" t="n">
        <v>46</v>
      </c>
      <c r="W69" s="467" t="n">
        <v>45</v>
      </c>
      <c r="X69" s="407"/>
      <c r="Y69" s="265"/>
      <c r="Z69" s="265"/>
      <c r="AA69" s="462"/>
    </row>
    <row r="70" customFormat="false" ht="12.6" hidden="false" customHeight="true" outlineLevel="0" collapsed="false">
      <c r="A70" s="465" t="s">
        <v>397</v>
      </c>
      <c r="B70" s="385" t="s">
        <v>396</v>
      </c>
      <c r="C70" s="466" t="n">
        <v>51</v>
      </c>
      <c r="D70" s="466" t="n">
        <v>52</v>
      </c>
      <c r="E70" s="466" t="n">
        <v>52</v>
      </c>
      <c r="F70" s="466" t="n">
        <v>52</v>
      </c>
      <c r="G70" s="466" t="n">
        <v>52</v>
      </c>
      <c r="H70" s="466" t="n">
        <v>52</v>
      </c>
      <c r="I70" s="466" t="n">
        <v>50</v>
      </c>
      <c r="J70" s="466" t="n">
        <v>48</v>
      </c>
      <c r="K70" s="466" t="n">
        <v>45</v>
      </c>
      <c r="L70" s="466" t="n">
        <v>43</v>
      </c>
      <c r="M70" s="466" t="n">
        <v>41</v>
      </c>
      <c r="N70" s="466" t="n">
        <v>40</v>
      </c>
      <c r="O70" s="466" t="n">
        <v>39</v>
      </c>
      <c r="P70" s="466" t="n">
        <v>37</v>
      </c>
      <c r="Q70" s="466" t="n">
        <v>36</v>
      </c>
      <c r="R70" s="466" t="n">
        <v>35</v>
      </c>
      <c r="S70" s="466" t="n">
        <v>35</v>
      </c>
      <c r="T70" s="466" t="n">
        <v>35</v>
      </c>
      <c r="U70" s="466" t="n">
        <v>34</v>
      </c>
      <c r="V70" s="466" t="n">
        <v>34</v>
      </c>
      <c r="W70" s="467" t="n">
        <v>34</v>
      </c>
      <c r="X70" s="407"/>
      <c r="Y70" s="265"/>
      <c r="Z70" s="265"/>
      <c r="AA70" s="462"/>
    </row>
    <row r="71" customFormat="false" ht="12.6" hidden="false" customHeight="true" outlineLevel="0" collapsed="false">
      <c r="A71" s="416"/>
      <c r="B71" s="417"/>
      <c r="C71" s="265"/>
      <c r="D71" s="265"/>
      <c r="E71" s="265"/>
      <c r="F71" s="265"/>
      <c r="G71" s="265"/>
      <c r="H71" s="265"/>
      <c r="I71" s="265"/>
      <c r="J71" s="429"/>
      <c r="K71" s="429"/>
      <c r="L71" s="429"/>
      <c r="M71" s="429"/>
      <c r="N71" s="429"/>
      <c r="O71" s="429"/>
      <c r="P71" s="429"/>
      <c r="Q71" s="429"/>
      <c r="R71" s="429"/>
      <c r="S71" s="429"/>
      <c r="T71" s="429"/>
      <c r="U71" s="429"/>
      <c r="V71" s="429"/>
      <c r="W71" s="429"/>
      <c r="X71" s="429"/>
      <c r="Y71" s="429"/>
      <c r="Z71" s="429"/>
      <c r="AA71" s="468"/>
      <c r="AB71" s="417"/>
      <c r="AC71" s="417"/>
      <c r="AD71" s="417"/>
      <c r="AE71" s="417"/>
      <c r="AF71" s="417"/>
      <c r="AG71" s="417"/>
    </row>
    <row r="72" customFormat="false" ht="12.6" hidden="false" customHeight="true" outlineLevel="0" collapsed="false">
      <c r="A72" s="414" t="s">
        <v>398</v>
      </c>
      <c r="B72" s="385"/>
      <c r="C72" s="265"/>
      <c r="D72" s="265"/>
      <c r="E72" s="265"/>
      <c r="F72" s="265"/>
      <c r="G72" s="265"/>
      <c r="H72" s="265"/>
      <c r="I72" s="265"/>
      <c r="J72" s="265"/>
      <c r="K72" s="265"/>
      <c r="L72" s="265"/>
      <c r="M72" s="265"/>
      <c r="N72" s="265"/>
      <c r="O72" s="265"/>
      <c r="P72" s="265"/>
      <c r="Q72" s="265"/>
      <c r="R72" s="265"/>
      <c r="S72" s="265"/>
      <c r="T72" s="265"/>
      <c r="U72" s="265"/>
      <c r="V72" s="265"/>
      <c r="W72" s="265"/>
      <c r="X72" s="265"/>
      <c r="Y72" s="265"/>
      <c r="Z72" s="265"/>
      <c r="AA72" s="462"/>
    </row>
    <row r="73" customFormat="false" ht="12.6" hidden="false" customHeight="true" outlineLevel="0" collapsed="false">
      <c r="A73" s="416" t="s">
        <v>399</v>
      </c>
      <c r="B73" s="469" t="n">
        <f aca="false">'Project Assumptions'!I31</f>
        <v>0.03</v>
      </c>
      <c r="C73" s="470" t="n">
        <f aca="false">D73/(1+B73)</f>
        <v>45.013987</v>
      </c>
      <c r="D73" s="429" t="n">
        <f aca="false">D78*((1+$B$73)^3)</f>
        <v>46.36440661</v>
      </c>
      <c r="E73" s="429" t="n">
        <f aca="false">E78*((1+$B$73)^3)</f>
        <v>49.48960583</v>
      </c>
      <c r="F73" s="429" t="n">
        <f aca="false">F78*((1+$B$73)^3)</f>
        <v>52.82242318</v>
      </c>
      <c r="G73" s="429" t="n">
        <f aca="false">G78*((1+$B$73)^3)</f>
        <v>56.37378593</v>
      </c>
      <c r="H73" s="429" t="n">
        <f aca="false">H78*((1+$B$73)^3)</f>
        <v>60.17647589</v>
      </c>
      <c r="I73" s="429" t="n">
        <f aca="false">I78*((1+$B$73)^3)</f>
        <v>60.66820304</v>
      </c>
      <c r="J73" s="429" t="n">
        <f aca="false">J78*((1+$B$73)^3)</f>
        <v>61.15993019</v>
      </c>
      <c r="K73" s="429" t="n">
        <f aca="false">K78*((1+$B$73)^3)</f>
        <v>61.66258461</v>
      </c>
      <c r="L73" s="429" t="n">
        <f aca="false">L78*((1+$B$73)^3)</f>
        <v>62.16523903</v>
      </c>
      <c r="M73" s="429" t="n">
        <f aca="false">M78*((1+$B$73)^3)</f>
        <v>62.67882072</v>
      </c>
      <c r="N73" s="429" t="n">
        <f aca="false">N78*((1+$B$73)^3)</f>
        <v>60.26389405</v>
      </c>
      <c r="O73" s="429" t="n">
        <f aca="false">O78*((1+$B$73)^3)</f>
        <v>57.95824008</v>
      </c>
      <c r="P73" s="429" t="n">
        <f aca="false">P78*((1+$B$73)^3)</f>
        <v>55.729077</v>
      </c>
      <c r="Q73" s="429" t="n">
        <f aca="false">Q78*((1+$B$73)^3)</f>
        <v>53.58733208</v>
      </c>
      <c r="R73" s="429" t="n">
        <f aca="false">R78*((1+$B$73)^3)</f>
        <v>51.53300532</v>
      </c>
      <c r="S73" s="429" t="n">
        <f aca="false">S78*((1+$B$73)^3)</f>
        <v>52.2323506</v>
      </c>
      <c r="T73" s="429" t="n">
        <f aca="false">T78*((1+$B$73)^3)</f>
        <v>52.93169588</v>
      </c>
      <c r="U73" s="429" t="n">
        <f aca="false">U78*((1+$B$73)^3)</f>
        <v>53.6528957</v>
      </c>
      <c r="V73" s="429" t="n">
        <f aca="false">V78*((1+$B$73)^3)</f>
        <v>53.6528957</v>
      </c>
      <c r="W73" s="429" t="n">
        <f aca="false">W78*((1+$B$73)^3)</f>
        <v>0</v>
      </c>
      <c r="X73" s="429"/>
      <c r="Y73" s="429"/>
      <c r="Z73" s="429"/>
      <c r="AA73" s="468"/>
      <c r="AB73" s="417"/>
      <c r="AC73" s="417"/>
      <c r="AD73" s="417"/>
      <c r="AE73" s="417"/>
      <c r="AF73" s="417"/>
      <c r="AG73" s="417"/>
    </row>
    <row r="74" customFormat="false" ht="12.75" hidden="false" customHeight="false" outlineLevel="0" collapsed="false">
      <c r="A74" s="416" t="s">
        <v>400</v>
      </c>
      <c r="B74" s="385"/>
      <c r="C74" s="470" t="n">
        <f aca="false">D74/(1+B73)</f>
        <v>44.907897</v>
      </c>
      <c r="D74" s="429" t="n">
        <f aca="false">D79*((1+$B$73)^3)</f>
        <v>46.25513391</v>
      </c>
      <c r="E74" s="429" t="n">
        <f aca="false">E79*((1+$B$73)^3)</f>
        <v>49.15086046</v>
      </c>
      <c r="F74" s="429" t="n">
        <f aca="false">F79*((1+$B$73)^3)</f>
        <v>52.2323506</v>
      </c>
      <c r="G74" s="429" t="n">
        <f aca="false">G79*((1+$B$73)^3)</f>
        <v>55.5105316</v>
      </c>
      <c r="H74" s="429" t="n">
        <f aca="false">H79*((1+$B$73)^3)</f>
        <v>58.98540346</v>
      </c>
      <c r="I74" s="429" t="n">
        <f aca="false">I79*((1+$B$73)^3)</f>
        <v>59.37878518</v>
      </c>
      <c r="J74" s="429" t="n">
        <f aca="false">J79*((1+$B$73)^3)</f>
        <v>59.7721669</v>
      </c>
      <c r="K74" s="429" t="n">
        <f aca="false">K79*((1+$B$73)^3)</f>
        <v>60.17647589</v>
      </c>
      <c r="L74" s="429" t="n">
        <f aca="false">L79*((1+$B$73)^3)</f>
        <v>60.58078488</v>
      </c>
      <c r="M74" s="429" t="n">
        <f aca="false">M79*((1+$B$73)^3)</f>
        <v>60.98509387</v>
      </c>
      <c r="N74" s="429" t="n">
        <f aca="false">N79*((1+$B$73)^3)</f>
        <v>57.87082192</v>
      </c>
      <c r="O74" s="429" t="n">
        <f aca="false">O79*((1+$B$73)^3)</f>
        <v>54.90953175</v>
      </c>
      <c r="P74" s="429" t="n">
        <f aca="false">P79*((1+$B$73)^3)</f>
        <v>52.10122336</v>
      </c>
      <c r="Q74" s="429" t="n">
        <f aca="false">Q79*((1+$B$73)^3)</f>
        <v>49.44589675</v>
      </c>
      <c r="R74" s="429" t="n">
        <f aca="false">R79*((1+$B$73)^3)</f>
        <v>46.92169738</v>
      </c>
      <c r="S74" s="429" t="n">
        <f aca="false">S79*((1+$B$73)^3)</f>
        <v>47.29322456</v>
      </c>
      <c r="T74" s="429" t="n">
        <f aca="false">T79*((1+$B$73)^3)</f>
        <v>47.66475174</v>
      </c>
      <c r="U74" s="429" t="n">
        <f aca="false">U79*((1+$B$73)^3)</f>
        <v>48.03627892</v>
      </c>
      <c r="V74" s="429" t="n">
        <f aca="false">V79*((1+$B$73)^3)</f>
        <v>48.03627892</v>
      </c>
      <c r="W74" s="429" t="n">
        <f aca="false">W79*((1+$B$73)^3)</f>
        <v>0</v>
      </c>
      <c r="X74" s="265"/>
      <c r="Y74" s="265"/>
      <c r="Z74" s="265"/>
      <c r="AA74" s="462"/>
    </row>
    <row r="75" customFormat="false" ht="12.75" hidden="false" customHeight="false" outlineLevel="0" collapsed="false">
      <c r="A75" s="416" t="s">
        <v>401</v>
      </c>
      <c r="B75" s="385"/>
      <c r="C75" s="429" t="n">
        <v>0</v>
      </c>
      <c r="D75" s="429" t="n">
        <v>0</v>
      </c>
      <c r="E75" s="429" t="n">
        <v>0</v>
      </c>
      <c r="F75" s="429" t="n">
        <v>0</v>
      </c>
      <c r="G75" s="429" t="n">
        <v>0</v>
      </c>
      <c r="H75" s="429" t="n">
        <v>0</v>
      </c>
      <c r="I75" s="429" t="n">
        <v>0</v>
      </c>
      <c r="J75" s="429" t="n">
        <v>0</v>
      </c>
      <c r="K75" s="429" t="n">
        <v>0</v>
      </c>
      <c r="L75" s="429" t="n">
        <v>0</v>
      </c>
      <c r="M75" s="429" t="n">
        <v>0</v>
      </c>
      <c r="N75" s="429" t="n">
        <v>0</v>
      </c>
      <c r="O75" s="429" t="n">
        <v>0</v>
      </c>
      <c r="P75" s="429" t="n">
        <v>0</v>
      </c>
      <c r="Q75" s="429" t="n">
        <v>0</v>
      </c>
      <c r="R75" s="429" t="n">
        <v>0</v>
      </c>
      <c r="S75" s="429" t="n">
        <v>0</v>
      </c>
      <c r="T75" s="429" t="n">
        <v>0</v>
      </c>
      <c r="U75" s="429" t="n">
        <v>0</v>
      </c>
      <c r="V75" s="429" t="n">
        <v>0</v>
      </c>
      <c r="W75" s="429" t="n">
        <v>0</v>
      </c>
      <c r="X75" s="265"/>
      <c r="Y75" s="265"/>
      <c r="Z75" s="265"/>
      <c r="AA75" s="462"/>
    </row>
    <row r="76" customFormat="false" ht="12.75" hidden="false" customHeight="false" outlineLevel="0" collapsed="false">
      <c r="A76" s="416" t="s">
        <v>323</v>
      </c>
      <c r="B76" s="385"/>
      <c r="C76" s="429" t="n">
        <f aca="false">IF('Project Assumptions'!$C$77="yes",C25,C23)</f>
        <v>27.26</v>
      </c>
      <c r="D76" s="429" t="n">
        <f aca="false">IF('Project Assumptions'!$C$77="yes",D25,D23)</f>
        <v>27.26</v>
      </c>
      <c r="E76" s="429" t="n">
        <f aca="false">IF('Project Assumptions'!$C$77="yes",E25,E23)</f>
        <v>27.26</v>
      </c>
      <c r="F76" s="429" t="n">
        <f aca="false">IF('Project Assumptions'!$C$77="yes",F25,F23)</f>
        <v>27.26</v>
      </c>
      <c r="G76" s="429" t="n">
        <f aca="false">IF('Project Assumptions'!$C$77="yes",G25,G23)</f>
        <v>27.26</v>
      </c>
      <c r="H76" s="429" t="n">
        <f aca="false">IF('Project Assumptions'!$C$77="yes",H25,H23)</f>
        <v>27.26</v>
      </c>
      <c r="I76" s="429" t="n">
        <f aca="false">IF('Project Assumptions'!$C$77="yes",I25,I23)</f>
        <v>27.26</v>
      </c>
      <c r="J76" s="429" t="n">
        <f aca="false">IF('Project Assumptions'!$C$77="yes",J25,J23)</f>
        <v>27.26</v>
      </c>
      <c r="K76" s="429" t="n">
        <f aca="false">IF('Project Assumptions'!$C$77="yes",K25,K23)</f>
        <v>27.26</v>
      </c>
      <c r="L76" s="429" t="n">
        <f aca="false">IF('Project Assumptions'!$C$77="yes",L25,L23)</f>
        <v>27.26</v>
      </c>
      <c r="M76" s="429" t="n">
        <f aca="false">IF('Project Assumptions'!$C$77="yes",M25,M23)</f>
        <v>27.26</v>
      </c>
      <c r="N76" s="429" t="n">
        <f aca="false">IF('Project Assumptions'!$C$77="yes",N25,N23)</f>
        <v>27.26</v>
      </c>
      <c r="O76" s="429" t="n">
        <f aca="false">IF('Project Assumptions'!$C$77="yes",O25,O23)</f>
        <v>27.26</v>
      </c>
      <c r="P76" s="429" t="n">
        <f aca="false">IF('Project Assumptions'!$C$77="yes",P25,P23)</f>
        <v>27.26</v>
      </c>
      <c r="Q76" s="429" t="n">
        <f aca="false">IF('Project Assumptions'!$C$77="yes",Q25,Q23)</f>
        <v>27.26</v>
      </c>
      <c r="R76" s="429" t="n">
        <f aca="false">IF('Project Assumptions'!$C$77="yes",R25,R23)</f>
        <v>27.26</v>
      </c>
      <c r="S76" s="429" t="n">
        <f aca="false">IF('Project Assumptions'!$C$77="yes",S25,S23)</f>
        <v>27.26</v>
      </c>
      <c r="T76" s="429" t="n">
        <f aca="false">IF('Project Assumptions'!$C$77="yes",T25,T23)</f>
        <v>27.26</v>
      </c>
      <c r="U76" s="429" t="n">
        <f aca="false">IF('Project Assumptions'!$C$77="yes",U25,U23)</f>
        <v>27.26</v>
      </c>
      <c r="V76" s="429" t="n">
        <f aca="false">IF('Project Assumptions'!$C$77="yes",V25,V23)</f>
        <v>27.26</v>
      </c>
      <c r="W76" s="429" t="n">
        <f aca="false">IF('Project Assumptions'!$C$77="yes",W25,W23)</f>
        <v>27.26</v>
      </c>
      <c r="X76" s="265"/>
      <c r="Y76" s="265"/>
      <c r="Z76" s="265"/>
      <c r="AA76" s="462"/>
    </row>
    <row r="77" customFormat="false" ht="12.75" hidden="false" customHeight="false" outlineLevel="0" collapsed="false">
      <c r="A77" s="400"/>
      <c r="B77" s="265"/>
      <c r="C77" s="265"/>
      <c r="D77" s="265"/>
      <c r="E77" s="265"/>
      <c r="F77" s="265"/>
      <c r="G77" s="265"/>
      <c r="H77" s="265"/>
      <c r="I77" s="265"/>
      <c r="J77" s="265"/>
      <c r="K77" s="265"/>
      <c r="L77" s="265"/>
      <c r="M77" s="265"/>
      <c r="N77" s="265"/>
      <c r="O77" s="265"/>
      <c r="P77" s="265"/>
      <c r="Q77" s="265"/>
      <c r="R77" s="265"/>
      <c r="S77" s="265"/>
      <c r="T77" s="265"/>
      <c r="U77" s="265"/>
      <c r="V77" s="265"/>
      <c r="W77" s="265"/>
      <c r="X77" s="265"/>
      <c r="Y77" s="265"/>
      <c r="Z77" s="265"/>
      <c r="AA77" s="462"/>
    </row>
    <row r="78" customFormat="false" ht="12.75" hidden="false" customHeight="false" outlineLevel="0" collapsed="false">
      <c r="A78" s="471" t="s">
        <v>402</v>
      </c>
      <c r="B78" s="385" t="s">
        <v>396</v>
      </c>
      <c r="C78" s="472" t="n">
        <v>39.75</v>
      </c>
      <c r="D78" s="472" t="n">
        <v>42.43</v>
      </c>
      <c r="E78" s="472" t="n">
        <v>45.29</v>
      </c>
      <c r="F78" s="472" t="n">
        <v>48.34</v>
      </c>
      <c r="G78" s="472" t="n">
        <v>51.59</v>
      </c>
      <c r="H78" s="472" t="n">
        <v>55.07</v>
      </c>
      <c r="I78" s="472" t="n">
        <v>55.52</v>
      </c>
      <c r="J78" s="472" t="n">
        <v>55.97</v>
      </c>
      <c r="K78" s="472" t="n">
        <v>56.43</v>
      </c>
      <c r="L78" s="472" t="n">
        <v>56.89</v>
      </c>
      <c r="M78" s="472" t="n">
        <v>57.36</v>
      </c>
      <c r="N78" s="472" t="n">
        <v>55.15</v>
      </c>
      <c r="O78" s="472" t="n">
        <v>53.04</v>
      </c>
      <c r="P78" s="472" t="n">
        <v>51</v>
      </c>
      <c r="Q78" s="472" t="n">
        <v>49.04</v>
      </c>
      <c r="R78" s="472" t="n">
        <v>47.16</v>
      </c>
      <c r="S78" s="472" t="n">
        <v>47.8</v>
      </c>
      <c r="T78" s="472" t="n">
        <v>48.44</v>
      </c>
      <c r="U78" s="472" t="n">
        <v>49.1</v>
      </c>
      <c r="V78" s="472" t="n">
        <v>49.1</v>
      </c>
      <c r="W78" s="265"/>
      <c r="X78" s="265"/>
      <c r="Y78" s="265"/>
      <c r="Z78" s="265"/>
      <c r="AA78" s="462"/>
    </row>
    <row r="79" customFormat="false" ht="12.75" hidden="false" customHeight="false" outlineLevel="0" collapsed="false">
      <c r="A79" s="473" t="s">
        <v>403</v>
      </c>
      <c r="B79" s="474" t="s">
        <v>396</v>
      </c>
      <c r="C79" s="475" t="n">
        <v>39.83</v>
      </c>
      <c r="D79" s="475" t="n">
        <v>42.33</v>
      </c>
      <c r="E79" s="475" t="n">
        <v>44.98</v>
      </c>
      <c r="F79" s="475" t="n">
        <v>47.8</v>
      </c>
      <c r="G79" s="475" t="n">
        <v>50.8</v>
      </c>
      <c r="H79" s="475" t="n">
        <v>53.98</v>
      </c>
      <c r="I79" s="475" t="n">
        <v>54.34</v>
      </c>
      <c r="J79" s="475" t="n">
        <v>54.7</v>
      </c>
      <c r="K79" s="475" t="n">
        <v>55.07</v>
      </c>
      <c r="L79" s="475" t="n">
        <v>55.44</v>
      </c>
      <c r="M79" s="475" t="n">
        <v>55.81</v>
      </c>
      <c r="N79" s="475" t="n">
        <v>52.96</v>
      </c>
      <c r="O79" s="475" t="n">
        <v>50.25</v>
      </c>
      <c r="P79" s="475" t="n">
        <v>47.68</v>
      </c>
      <c r="Q79" s="475" t="n">
        <v>45.25</v>
      </c>
      <c r="R79" s="475" t="n">
        <v>42.94</v>
      </c>
      <c r="S79" s="475" t="n">
        <v>43.28</v>
      </c>
      <c r="T79" s="475" t="n">
        <v>43.62</v>
      </c>
      <c r="U79" s="475" t="n">
        <v>43.96</v>
      </c>
      <c r="V79" s="475" t="n">
        <v>43.96</v>
      </c>
      <c r="W79" s="476"/>
      <c r="X79" s="476"/>
      <c r="Y79" s="476"/>
      <c r="Z79" s="476"/>
      <c r="AA79" s="477"/>
    </row>
    <row r="81" customFormat="false" ht="12.6" hidden="false" customHeight="true" outlineLevel="0" collapsed="false"/>
    <row r="83" customFormat="false" ht="12.6" hidden="false" customHeight="true" outlineLevel="0" collapsed="false">
      <c r="A83" s="1"/>
      <c r="B83" s="478"/>
      <c r="C83" s="408"/>
      <c r="D83" s="408"/>
      <c r="E83" s="408"/>
      <c r="F83" s="408"/>
      <c r="G83" s="408"/>
      <c r="H83" s="408"/>
      <c r="I83" s="408"/>
      <c r="J83" s="408"/>
      <c r="K83" s="408"/>
      <c r="L83" s="408"/>
      <c r="M83" s="408"/>
      <c r="N83" s="408"/>
      <c r="O83" s="408"/>
      <c r="P83" s="408"/>
      <c r="Q83" s="408"/>
      <c r="R83" s="408"/>
      <c r="S83" s="408"/>
      <c r="T83" s="408"/>
      <c r="U83" s="408"/>
      <c r="V83" s="408"/>
      <c r="W83" s="408"/>
      <c r="X83" s="408"/>
      <c r="Y83" s="408"/>
      <c r="Z83" s="408"/>
      <c r="AA83" s="408"/>
      <c r="AB83" s="1"/>
      <c r="AC83" s="1"/>
      <c r="AD83" s="1"/>
      <c r="AE83" s="1"/>
      <c r="AF83" s="1"/>
      <c r="AG83" s="1"/>
    </row>
    <row r="84" customFormat="false" ht="12.6" hidden="false" customHeight="true" outlineLevel="0" collapsed="false">
      <c r="A84" s="29"/>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row>
  </sheetData>
  <printOptions headings="false" gridLines="false" gridLinesSet="true" horizontalCentered="false" verticalCentered="false"/>
  <pageMargins left="0.5" right="0.5" top="0.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HT72"/>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C12" activeCellId="0" sqref="C12"/>
    </sheetView>
  </sheetViews>
  <sheetFormatPr defaultColWidth="9.0546875" defaultRowHeight="12.75" customHeight="true" zeroHeight="false" outlineLevelRow="0" outlineLevelCol="0"/>
  <cols>
    <col collapsed="false" customWidth="true" hidden="false" outlineLevel="0" max="1" min="1" style="7" width="18.7"/>
    <col collapsed="false" customWidth="true" hidden="false" outlineLevel="0" max="2" min="2" style="7" width="15.85"/>
    <col collapsed="false" customWidth="true" hidden="false" outlineLevel="0" max="3" min="3" style="7" width="10.41"/>
    <col collapsed="false" customWidth="true" hidden="false" outlineLevel="0" max="33" min="4" style="7" width="9.14"/>
  </cols>
  <sheetData>
    <row r="1" customFormat="false" ht="20.25" hidden="false" customHeight="false" outlineLevel="0" collapsed="false">
      <c r="A1" s="374" t="str">
        <f aca="false">'Project Assumptions'!$A$2</f>
        <v>GLEASON, TN</v>
      </c>
      <c r="B1" s="375"/>
    </row>
    <row r="2" customFormat="false" ht="12.75" hidden="false" customHeight="false" outlineLevel="0" collapsed="false">
      <c r="A2" s="377" t="s">
        <v>261</v>
      </c>
      <c r="B2" s="378"/>
    </row>
    <row r="3" customFormat="false" ht="12.6" hidden="false" customHeight="true" outlineLevel="0" collapsed="false">
      <c r="A3" s="479"/>
      <c r="C3" s="480" t="n">
        <f aca="false">'Book Income Statement'!D3</f>
        <v>1</v>
      </c>
      <c r="D3" s="480" t="n">
        <f aca="false">'Book Income Statement'!E3</f>
        <v>2</v>
      </c>
      <c r="E3" s="480" t="n">
        <f aca="false">'Book Income Statement'!F3</f>
        <v>3</v>
      </c>
      <c r="F3" s="480" t="n">
        <f aca="false">'Book Income Statement'!G3</f>
        <v>4</v>
      </c>
      <c r="G3" s="480" t="n">
        <f aca="false">'Book Income Statement'!H3</f>
        <v>5</v>
      </c>
      <c r="H3" s="480" t="n">
        <f aca="false">'Book Income Statement'!I3</f>
        <v>6</v>
      </c>
      <c r="I3" s="481" t="n">
        <f aca="false">'Book Income Statement'!J3</f>
        <v>7</v>
      </c>
      <c r="J3" s="480" t="n">
        <f aca="false">'Book Income Statement'!K3</f>
        <v>8</v>
      </c>
      <c r="K3" s="480" t="n">
        <f aca="false">'Book Income Statement'!L3</f>
        <v>9</v>
      </c>
      <c r="L3" s="480" t="n">
        <f aca="false">'Book Income Statement'!M3</f>
        <v>10</v>
      </c>
      <c r="M3" s="480" t="n">
        <f aca="false">'Book Income Statement'!N3</f>
        <v>11</v>
      </c>
      <c r="N3" s="480" t="n">
        <f aca="false">'Book Income Statement'!O3</f>
        <v>12</v>
      </c>
      <c r="O3" s="481" t="n">
        <f aca="false">'Book Income Statement'!P3</f>
        <v>13</v>
      </c>
      <c r="P3" s="480" t="n">
        <f aca="false">'Book Income Statement'!Q3</f>
        <v>14</v>
      </c>
      <c r="Q3" s="480" t="n">
        <f aca="false">'Book Income Statement'!R3</f>
        <v>15</v>
      </c>
      <c r="R3" s="480" t="n">
        <f aca="false">'Book Income Statement'!S3</f>
        <v>16</v>
      </c>
      <c r="S3" s="480" t="n">
        <f aca="false">'Book Income Statement'!T3</f>
        <v>17</v>
      </c>
      <c r="T3" s="480" t="n">
        <f aca="false">'Book Income Statement'!U3</f>
        <v>18</v>
      </c>
      <c r="U3" s="481" t="n">
        <f aca="false">'Book Income Statement'!V3</f>
        <v>19</v>
      </c>
      <c r="V3" s="480" t="n">
        <f aca="false">'Book Income Statement'!W3</f>
        <v>20</v>
      </c>
      <c r="W3" s="480" t="n">
        <f aca="false">'Book Income Statement'!X3</f>
        <v>21</v>
      </c>
      <c r="X3" s="480"/>
      <c r="Y3" s="480"/>
      <c r="Z3" s="480"/>
      <c r="AA3" s="481"/>
      <c r="AB3" s="480"/>
      <c r="AC3" s="482"/>
      <c r="AE3" s="480"/>
      <c r="AF3" s="480"/>
      <c r="AG3" s="480"/>
    </row>
    <row r="4" customFormat="false" ht="12.6" hidden="false" customHeight="true" outlineLevel="0" collapsed="false">
      <c r="A4" s="483"/>
      <c r="B4" s="484"/>
      <c r="C4" s="382" t="n">
        <f aca="false">'Book Income Statement'!D4</f>
        <v>2000</v>
      </c>
      <c r="D4" s="382" t="n">
        <f aca="false">'Book Income Statement'!E4</f>
        <v>2001</v>
      </c>
      <c r="E4" s="382" t="n">
        <f aca="false">'Book Income Statement'!F4</f>
        <v>2002</v>
      </c>
      <c r="F4" s="382" t="n">
        <f aca="false">'Book Income Statement'!G4</f>
        <v>2003</v>
      </c>
      <c r="G4" s="382" t="n">
        <f aca="false">'Book Income Statement'!H4</f>
        <v>2004</v>
      </c>
      <c r="H4" s="382" t="n">
        <f aca="false">'Book Income Statement'!I4</f>
        <v>2005</v>
      </c>
      <c r="I4" s="382" t="n">
        <f aca="false">'Book Income Statement'!J4</f>
        <v>2006</v>
      </c>
      <c r="J4" s="382" t="n">
        <f aca="false">'Book Income Statement'!K4</f>
        <v>2007</v>
      </c>
      <c r="K4" s="382" t="n">
        <f aca="false">'Book Income Statement'!L4</f>
        <v>2008</v>
      </c>
      <c r="L4" s="382" t="n">
        <f aca="false">'Book Income Statement'!M4</f>
        <v>2009</v>
      </c>
      <c r="M4" s="382" t="n">
        <f aca="false">'Book Income Statement'!N4</f>
        <v>2010</v>
      </c>
      <c r="N4" s="382" t="n">
        <f aca="false">'Book Income Statement'!O4</f>
        <v>2011</v>
      </c>
      <c r="O4" s="382" t="n">
        <f aca="false">'Book Income Statement'!P4</f>
        <v>2012</v>
      </c>
      <c r="P4" s="382" t="n">
        <f aca="false">'Book Income Statement'!Q4</f>
        <v>2013</v>
      </c>
      <c r="Q4" s="382" t="n">
        <f aca="false">'Book Income Statement'!R4</f>
        <v>2014</v>
      </c>
      <c r="R4" s="382" t="n">
        <f aca="false">'Book Income Statement'!S4</f>
        <v>2015</v>
      </c>
      <c r="S4" s="382" t="n">
        <f aca="false">'Book Income Statement'!T4</f>
        <v>2016</v>
      </c>
      <c r="T4" s="382" t="n">
        <f aca="false">'Book Income Statement'!U4</f>
        <v>2017</v>
      </c>
      <c r="U4" s="382" t="n">
        <f aca="false">'Book Income Statement'!V4</f>
        <v>2018</v>
      </c>
      <c r="V4" s="382" t="n">
        <f aca="false">'Book Income Statement'!W4</f>
        <v>2019</v>
      </c>
      <c r="W4" s="383" t="n">
        <f aca="false">'Book Income Statement'!X4</f>
        <v>2020</v>
      </c>
      <c r="X4" s="397"/>
      <c r="Y4" s="397"/>
      <c r="Z4" s="397"/>
      <c r="AA4" s="397"/>
      <c r="AB4" s="397"/>
      <c r="AC4" s="397"/>
      <c r="AE4" s="397"/>
      <c r="AF4" s="397"/>
      <c r="AG4" s="397"/>
      <c r="AH4" s="485"/>
      <c r="AI4" s="485"/>
      <c r="AJ4" s="485"/>
      <c r="AK4" s="485"/>
      <c r="AL4" s="485"/>
      <c r="AM4" s="485"/>
      <c r="AN4" s="485"/>
      <c r="AO4" s="485"/>
      <c r="AP4" s="485"/>
      <c r="AQ4" s="485"/>
      <c r="AR4" s="485"/>
      <c r="AS4" s="485"/>
      <c r="AT4" s="485"/>
      <c r="AU4" s="485"/>
      <c r="AV4" s="485"/>
      <c r="AW4" s="485"/>
      <c r="AX4" s="485"/>
      <c r="AY4" s="485"/>
      <c r="AZ4" s="485"/>
    </row>
    <row r="5" customFormat="false" ht="15.75" hidden="false" customHeight="false" outlineLevel="0" collapsed="false">
      <c r="A5" s="414" t="s">
        <v>404</v>
      </c>
      <c r="B5" s="434"/>
      <c r="C5" s="434"/>
      <c r="D5" s="434"/>
      <c r="E5" s="434"/>
      <c r="F5" s="434"/>
      <c r="G5" s="434"/>
      <c r="H5" s="434"/>
      <c r="I5" s="434"/>
      <c r="J5" s="434"/>
      <c r="K5" s="434"/>
      <c r="L5" s="434"/>
      <c r="M5" s="434"/>
      <c r="N5" s="434"/>
      <c r="O5" s="434"/>
      <c r="P5" s="434"/>
      <c r="Q5" s="434"/>
      <c r="R5" s="434"/>
      <c r="S5" s="434"/>
      <c r="T5" s="434"/>
      <c r="U5" s="434"/>
      <c r="V5" s="434"/>
      <c r="W5" s="435"/>
      <c r="X5" s="434"/>
      <c r="Y5" s="434"/>
      <c r="Z5" s="434"/>
      <c r="AA5" s="434"/>
      <c r="AB5" s="385"/>
      <c r="AC5" s="385"/>
      <c r="AD5" s="385"/>
      <c r="AE5" s="385"/>
      <c r="AF5" s="385"/>
      <c r="AG5" s="385"/>
    </row>
    <row r="6" customFormat="false" ht="12.6" hidden="false" customHeight="true" outlineLevel="0" collapsed="false">
      <c r="A6" s="416" t="s">
        <v>405</v>
      </c>
      <c r="B6" s="480"/>
      <c r="C6" s="486" t="n">
        <v>0</v>
      </c>
      <c r="D6" s="486" t="n">
        <v>0</v>
      </c>
      <c r="E6" s="486" t="n">
        <v>0</v>
      </c>
      <c r="F6" s="486" t="n">
        <v>0</v>
      </c>
      <c r="G6" s="486" t="n">
        <v>0</v>
      </c>
      <c r="H6" s="486" t="n">
        <v>0</v>
      </c>
      <c r="I6" s="486" t="n">
        <v>0</v>
      </c>
      <c r="J6" s="486" t="n">
        <v>0</v>
      </c>
      <c r="K6" s="486" t="n">
        <v>0</v>
      </c>
      <c r="L6" s="486" t="n">
        <v>0</v>
      </c>
      <c r="M6" s="486" t="n">
        <v>0</v>
      </c>
      <c r="N6" s="486" t="n">
        <v>0</v>
      </c>
      <c r="O6" s="486" t="n">
        <v>0</v>
      </c>
      <c r="P6" s="486" t="n">
        <v>0</v>
      </c>
      <c r="Q6" s="486" t="n">
        <v>0</v>
      </c>
      <c r="R6" s="486" t="n">
        <v>0</v>
      </c>
      <c r="S6" s="486" t="n">
        <v>0</v>
      </c>
      <c r="T6" s="486" t="n">
        <v>0</v>
      </c>
      <c r="U6" s="486" t="n">
        <v>0</v>
      </c>
      <c r="V6" s="486" t="n">
        <v>0</v>
      </c>
      <c r="W6" s="487" t="n">
        <v>0</v>
      </c>
      <c r="X6" s="486"/>
      <c r="Y6" s="486"/>
      <c r="Z6" s="486"/>
      <c r="AA6" s="486"/>
      <c r="AB6" s="480"/>
      <c r="AC6" s="480"/>
      <c r="AD6" s="480"/>
      <c r="AE6" s="480"/>
      <c r="AF6" s="480"/>
      <c r="AG6" s="480"/>
    </row>
    <row r="7" customFormat="false" ht="12.6" hidden="false" customHeight="true" outlineLevel="0" collapsed="false">
      <c r="A7" s="416" t="s">
        <v>406</v>
      </c>
      <c r="B7" s="480"/>
      <c r="C7" s="486" t="n">
        <v>0</v>
      </c>
      <c r="D7" s="486" t="n">
        <v>0</v>
      </c>
      <c r="E7" s="486" t="n">
        <v>0</v>
      </c>
      <c r="F7" s="486" t="n">
        <v>0</v>
      </c>
      <c r="G7" s="486" t="n">
        <v>0</v>
      </c>
      <c r="H7" s="486" t="n">
        <v>0</v>
      </c>
      <c r="I7" s="486" t="n">
        <v>0</v>
      </c>
      <c r="J7" s="486" t="n">
        <v>0</v>
      </c>
      <c r="K7" s="486" t="n">
        <v>0</v>
      </c>
      <c r="L7" s="486" t="n">
        <v>0</v>
      </c>
      <c r="M7" s="486" t="n">
        <v>0</v>
      </c>
      <c r="N7" s="486" t="n">
        <v>0</v>
      </c>
      <c r="O7" s="486" t="n">
        <v>0</v>
      </c>
      <c r="P7" s="486" t="n">
        <v>0</v>
      </c>
      <c r="Q7" s="486" t="n">
        <v>0</v>
      </c>
      <c r="R7" s="486" t="n">
        <v>0</v>
      </c>
      <c r="S7" s="486" t="n">
        <v>0</v>
      </c>
      <c r="T7" s="486" t="n">
        <v>0</v>
      </c>
      <c r="U7" s="486" t="n">
        <v>0</v>
      </c>
      <c r="V7" s="486" t="n">
        <v>0</v>
      </c>
      <c r="W7" s="487" t="n">
        <v>0</v>
      </c>
      <c r="X7" s="486"/>
      <c r="Y7" s="486"/>
      <c r="Z7" s="486"/>
      <c r="AA7" s="486"/>
      <c r="AB7" s="480"/>
      <c r="AC7" s="480"/>
      <c r="AD7" s="480"/>
      <c r="AE7" s="480"/>
      <c r="AF7" s="480"/>
      <c r="AG7" s="480"/>
    </row>
    <row r="8" customFormat="false" ht="12.6" hidden="false" customHeight="true" outlineLevel="0" collapsed="false">
      <c r="A8" s="416" t="s">
        <v>407</v>
      </c>
      <c r="B8" s="480"/>
      <c r="C8" s="417" t="n">
        <f aca="false">'Project Assumptions'!$I$10*(1-C6)</f>
        <v>510</v>
      </c>
      <c r="D8" s="417" t="n">
        <f aca="false">'Project Assumptions'!$I$10*(1-D6)</f>
        <v>510</v>
      </c>
      <c r="E8" s="417" t="n">
        <f aca="false">'Project Assumptions'!$I$10*(1-E6)</f>
        <v>510</v>
      </c>
      <c r="F8" s="417" t="n">
        <f aca="false">'Project Assumptions'!$I$10*(1-F6)</f>
        <v>510</v>
      </c>
      <c r="G8" s="417" t="n">
        <f aca="false">'Project Assumptions'!$I$10*(1-G6)</f>
        <v>510</v>
      </c>
      <c r="H8" s="417" t="n">
        <f aca="false">'Project Assumptions'!$I$10*(1-H6)</f>
        <v>510</v>
      </c>
      <c r="I8" s="417" t="n">
        <f aca="false">'Project Assumptions'!$I$10*(1-I6)</f>
        <v>510</v>
      </c>
      <c r="J8" s="417" t="n">
        <f aca="false">'Project Assumptions'!$I$10*(1-J6)</f>
        <v>510</v>
      </c>
      <c r="K8" s="417" t="n">
        <f aca="false">'Project Assumptions'!$I$10*(1-K6)</f>
        <v>510</v>
      </c>
      <c r="L8" s="417" t="n">
        <f aca="false">'Project Assumptions'!$I$10*(1-L6)</f>
        <v>510</v>
      </c>
      <c r="M8" s="417" t="n">
        <f aca="false">'Project Assumptions'!$I$10*(1-M6)</f>
        <v>510</v>
      </c>
      <c r="N8" s="417" t="n">
        <f aca="false">'Project Assumptions'!$I$10*(1-N6)</f>
        <v>510</v>
      </c>
      <c r="O8" s="417" t="n">
        <f aca="false">'Project Assumptions'!$I$10*(1-O6)</f>
        <v>510</v>
      </c>
      <c r="P8" s="417" t="n">
        <f aca="false">'Project Assumptions'!$I$10*(1-P6)</f>
        <v>510</v>
      </c>
      <c r="Q8" s="417" t="n">
        <f aca="false">'Project Assumptions'!$I$10*(1-Q6)</f>
        <v>510</v>
      </c>
      <c r="R8" s="417" t="n">
        <f aca="false">'Project Assumptions'!$I$10*(1-R6)</f>
        <v>510</v>
      </c>
      <c r="S8" s="417" t="n">
        <f aca="false">'Project Assumptions'!$I$10*(1-S6)</f>
        <v>510</v>
      </c>
      <c r="T8" s="417" t="n">
        <f aca="false">'Project Assumptions'!$I$10*(1-T6)</f>
        <v>510</v>
      </c>
      <c r="U8" s="417" t="n">
        <f aca="false">'Project Assumptions'!$I$10*(1-U6)</f>
        <v>510</v>
      </c>
      <c r="V8" s="417" t="n">
        <f aca="false">'Project Assumptions'!$I$10*(1-V6)</f>
        <v>510</v>
      </c>
      <c r="W8" s="488" t="n">
        <f aca="false">'Project Assumptions'!$I$10*(1-W6)</f>
        <v>510</v>
      </c>
      <c r="X8" s="417"/>
      <c r="Y8" s="417"/>
      <c r="Z8" s="417"/>
      <c r="AA8" s="417"/>
      <c r="AB8" s="480"/>
      <c r="AC8" s="480"/>
      <c r="AD8" s="480"/>
      <c r="AE8" s="480"/>
      <c r="AF8" s="480"/>
      <c r="AG8" s="480"/>
    </row>
    <row r="9" customFormat="false" ht="12.6" hidden="false" customHeight="true" outlineLevel="0" collapsed="false">
      <c r="A9" s="416"/>
      <c r="B9" s="480"/>
      <c r="C9" s="417"/>
      <c r="D9" s="417"/>
      <c r="E9" s="417"/>
      <c r="F9" s="417"/>
      <c r="G9" s="417"/>
      <c r="H9" s="417"/>
      <c r="I9" s="417"/>
      <c r="J9" s="417"/>
      <c r="K9" s="417"/>
      <c r="L9" s="417"/>
      <c r="M9" s="417"/>
      <c r="N9" s="417"/>
      <c r="O9" s="417"/>
      <c r="P9" s="417"/>
      <c r="Q9" s="417"/>
      <c r="R9" s="417"/>
      <c r="S9" s="417"/>
      <c r="T9" s="417"/>
      <c r="U9" s="417"/>
      <c r="V9" s="417"/>
      <c r="W9" s="488"/>
      <c r="X9" s="417"/>
      <c r="Y9" s="417"/>
      <c r="Z9" s="417"/>
      <c r="AA9" s="417"/>
      <c r="AB9" s="480"/>
      <c r="AC9" s="480"/>
      <c r="AD9" s="480"/>
      <c r="AE9" s="480"/>
      <c r="AF9" s="480"/>
      <c r="AG9" s="480"/>
    </row>
    <row r="10" customFormat="false" ht="12.6" hidden="false" customHeight="true" outlineLevel="0" collapsed="false">
      <c r="A10" s="416" t="s">
        <v>408</v>
      </c>
      <c r="B10" s="480"/>
      <c r="C10" s="417" t="n">
        <f aca="false">IF(C3&gt;ProjectLife+1,0,C8)</f>
        <v>510</v>
      </c>
      <c r="D10" s="417" t="n">
        <f aca="false">IF(D3&gt;ProjectLife+1,0,D8*'PPA Assumptions &amp;Summary'!D6/12)</f>
        <v>510</v>
      </c>
      <c r="E10" s="417" t="n">
        <f aca="false">IF(E3&gt;ProjectLife+1,0,E8*'PPA Assumptions &amp;Summary'!E6/12)</f>
        <v>510</v>
      </c>
      <c r="F10" s="417" t="n">
        <f aca="false">IF(F3&gt;ProjectLife+1,0,F8*'PPA Assumptions &amp;Summary'!F6/12)</f>
        <v>212.5</v>
      </c>
      <c r="G10" s="417" t="n">
        <f aca="false">IF(G3&gt;ProjectLife+1,0,G8*'PPA Assumptions &amp;Summary'!G6/12)</f>
        <v>0</v>
      </c>
      <c r="H10" s="417" t="n">
        <f aca="false">IF(H3&gt;ProjectLife+1,0,H8*'PPA Assumptions &amp;Summary'!H6/12)</f>
        <v>0</v>
      </c>
      <c r="I10" s="417" t="n">
        <f aca="false">IF(I3&gt;ProjectLife+1,0,I8*'PPA Assumptions &amp;Summary'!I6/12)</f>
        <v>0</v>
      </c>
      <c r="J10" s="417" t="n">
        <f aca="false">IF(J3&gt;ProjectLife+1,0,J8*'PPA Assumptions &amp;Summary'!J6/12)</f>
        <v>0</v>
      </c>
      <c r="K10" s="417" t="n">
        <f aca="false">IF(K3&gt;ProjectLife+1,0,K8*'PPA Assumptions &amp;Summary'!K6/12)</f>
        <v>0</v>
      </c>
      <c r="L10" s="417" t="n">
        <f aca="false">IF(L3&gt;ProjectLife+1,0,L8*'PPA Assumptions &amp;Summary'!L6/12)</f>
        <v>0</v>
      </c>
      <c r="M10" s="417" t="n">
        <f aca="false">IF(M3&gt;ProjectLife+1,0,M8*'PPA Assumptions &amp;Summary'!M6/12)</f>
        <v>0</v>
      </c>
      <c r="N10" s="417" t="n">
        <f aca="false">IF(N3&gt;ProjectLife+1,0,N8*'PPA Assumptions &amp;Summary'!N6/12)</f>
        <v>0</v>
      </c>
      <c r="O10" s="417" t="n">
        <f aca="false">IF(O3&gt;ProjectLife+1,0,O8*'PPA Assumptions &amp;Summary'!O6/12)</f>
        <v>0</v>
      </c>
      <c r="P10" s="417" t="n">
        <f aca="false">IF(P3&gt;ProjectLife+1,0,P8*'PPA Assumptions &amp;Summary'!P6/12)</f>
        <v>0</v>
      </c>
      <c r="Q10" s="417" t="n">
        <f aca="false">IF(Q3&gt;ProjectLife+1,0,Q8*'PPA Assumptions &amp;Summary'!Q6/12)</f>
        <v>0</v>
      </c>
      <c r="R10" s="417" t="n">
        <f aca="false">IF(R3&gt;ProjectLife+1,0,R8*'PPA Assumptions &amp;Summary'!R6/12)</f>
        <v>0</v>
      </c>
      <c r="S10" s="417" t="n">
        <f aca="false">IF(S3&gt;ProjectLife+1,0,S8*'PPA Assumptions &amp;Summary'!S6/12)</f>
        <v>0</v>
      </c>
      <c r="T10" s="417" t="n">
        <f aca="false">IF(T3&gt;ProjectLife+1,0,T8*'PPA Assumptions &amp;Summary'!T6/12)</f>
        <v>0</v>
      </c>
      <c r="U10" s="417" t="n">
        <f aca="false">IF(U3&gt;ProjectLife+1,0,U8*'PPA Assumptions &amp;Summary'!U6/12)</f>
        <v>0</v>
      </c>
      <c r="V10" s="417" t="n">
        <f aca="false">IF(V3&gt;ProjectLife+1,0,V8*'PPA Assumptions &amp;Summary'!V6/12)</f>
        <v>0</v>
      </c>
      <c r="W10" s="417" t="n">
        <f aca="false">IF(W3&gt;ProjectLife+1,0,W8*'PPA Assumptions &amp;Summary'!W6/12)</f>
        <v>0</v>
      </c>
      <c r="X10" s="417"/>
      <c r="Y10" s="417"/>
      <c r="Z10" s="417"/>
      <c r="AA10" s="417"/>
      <c r="AB10" s="417"/>
      <c r="AC10" s="417"/>
      <c r="AD10" s="417"/>
      <c r="AE10" s="417"/>
      <c r="AF10" s="417"/>
      <c r="AG10" s="417"/>
      <c r="AH10" s="489"/>
      <c r="AI10" s="489"/>
      <c r="AJ10" s="489"/>
      <c r="AK10" s="489"/>
      <c r="AL10" s="489"/>
      <c r="AM10" s="489"/>
      <c r="AN10" s="489"/>
      <c r="AO10" s="489"/>
      <c r="AP10" s="489"/>
      <c r="AQ10" s="489"/>
      <c r="AR10" s="489"/>
      <c r="AS10" s="489"/>
      <c r="AT10" s="489"/>
      <c r="AU10" s="489"/>
      <c r="AV10" s="489"/>
      <c r="AW10" s="489"/>
      <c r="AX10" s="489"/>
      <c r="AY10" s="489"/>
      <c r="AZ10" s="489"/>
      <c r="BA10" s="489"/>
      <c r="BB10" s="489"/>
      <c r="BC10" s="489"/>
      <c r="BD10" s="489"/>
      <c r="BE10" s="489"/>
      <c r="BF10" s="489"/>
      <c r="BG10" s="489"/>
      <c r="BH10" s="489"/>
      <c r="BI10" s="489"/>
      <c r="BJ10" s="489"/>
      <c r="BK10" s="489"/>
      <c r="BL10" s="489"/>
      <c r="BM10" s="489"/>
      <c r="BN10" s="489"/>
      <c r="BO10" s="489"/>
      <c r="BP10" s="489"/>
      <c r="BQ10" s="489"/>
      <c r="BR10" s="489"/>
      <c r="BS10" s="489"/>
      <c r="BT10" s="489"/>
      <c r="BU10" s="489"/>
      <c r="BV10" s="489"/>
      <c r="BW10" s="489"/>
      <c r="BX10" s="489"/>
      <c r="BY10" s="489"/>
      <c r="BZ10" s="489"/>
      <c r="CA10" s="489"/>
      <c r="CB10" s="489"/>
      <c r="CC10" s="489"/>
      <c r="CD10" s="489"/>
      <c r="CE10" s="489"/>
      <c r="CF10" s="489"/>
      <c r="CG10" s="489"/>
      <c r="CH10" s="489"/>
      <c r="CI10" s="489"/>
      <c r="CJ10" s="489"/>
      <c r="CK10" s="489"/>
      <c r="CL10" s="489"/>
      <c r="CM10" s="489"/>
      <c r="CN10" s="489"/>
      <c r="CO10" s="489"/>
      <c r="CP10" s="489"/>
      <c r="CQ10" s="489"/>
      <c r="CR10" s="489"/>
      <c r="CS10" s="489"/>
      <c r="CT10" s="489"/>
      <c r="CU10" s="489"/>
      <c r="CV10" s="489"/>
      <c r="CW10" s="489"/>
      <c r="CX10" s="489"/>
      <c r="CY10" s="489"/>
      <c r="CZ10" s="489"/>
      <c r="DA10" s="489"/>
      <c r="DB10" s="489"/>
      <c r="DC10" s="489"/>
      <c r="DD10" s="489"/>
      <c r="DE10" s="489"/>
      <c r="DF10" s="489"/>
      <c r="DG10" s="489"/>
      <c r="DH10" s="489"/>
      <c r="DI10" s="489"/>
      <c r="DJ10" s="489"/>
      <c r="DK10" s="489"/>
      <c r="DL10" s="489"/>
      <c r="DM10" s="489"/>
      <c r="DN10" s="489"/>
      <c r="DO10" s="489"/>
      <c r="DP10" s="489"/>
      <c r="DQ10" s="489"/>
      <c r="DR10" s="489"/>
      <c r="DS10" s="489"/>
      <c r="DT10" s="489"/>
      <c r="DU10" s="489"/>
      <c r="DV10" s="489"/>
      <c r="DW10" s="489"/>
      <c r="DX10" s="489"/>
      <c r="DY10" s="489"/>
      <c r="DZ10" s="489"/>
      <c r="EA10" s="489"/>
      <c r="EB10" s="489"/>
      <c r="EC10" s="489"/>
      <c r="ED10" s="489"/>
      <c r="EE10" s="489"/>
      <c r="EF10" s="489"/>
      <c r="EG10" s="489"/>
      <c r="EH10" s="489"/>
      <c r="EI10" s="489"/>
      <c r="EJ10" s="489"/>
      <c r="EK10" s="489"/>
      <c r="EL10" s="489"/>
      <c r="EM10" s="489"/>
      <c r="EN10" s="489"/>
      <c r="EO10" s="489"/>
      <c r="EP10" s="489"/>
      <c r="EQ10" s="489"/>
      <c r="ER10" s="489"/>
      <c r="ES10" s="489"/>
      <c r="ET10" s="489"/>
      <c r="EU10" s="489"/>
      <c r="EV10" s="489"/>
      <c r="EW10" s="489"/>
      <c r="EX10" s="489"/>
      <c r="EY10" s="489"/>
      <c r="EZ10" s="489"/>
      <c r="FA10" s="489"/>
      <c r="FB10" s="489"/>
      <c r="FC10" s="489"/>
      <c r="FD10" s="489"/>
      <c r="FE10" s="489"/>
      <c r="FF10" s="489"/>
      <c r="FG10" s="489"/>
      <c r="FH10" s="489"/>
      <c r="FI10" s="489"/>
      <c r="FJ10" s="489"/>
      <c r="FK10" s="489"/>
      <c r="FL10" s="489"/>
      <c r="FM10" s="489"/>
      <c r="FN10" s="489"/>
      <c r="FO10" s="489"/>
      <c r="FP10" s="489"/>
      <c r="FQ10" s="489"/>
      <c r="FR10" s="489"/>
      <c r="FS10" s="489"/>
      <c r="FT10" s="489"/>
      <c r="FU10" s="489"/>
      <c r="FV10" s="489"/>
      <c r="FW10" s="489"/>
      <c r="FX10" s="489"/>
      <c r="FY10" s="489"/>
      <c r="FZ10" s="489"/>
      <c r="GA10" s="489"/>
      <c r="GB10" s="489"/>
      <c r="GC10" s="489"/>
      <c r="GD10" s="489"/>
      <c r="GE10" s="489"/>
      <c r="GF10" s="489"/>
      <c r="GG10" s="489"/>
      <c r="GH10" s="489"/>
      <c r="GI10" s="489"/>
      <c r="GJ10" s="489"/>
      <c r="GK10" s="489"/>
      <c r="GL10" s="489"/>
      <c r="GM10" s="489"/>
      <c r="GN10" s="489"/>
      <c r="GO10" s="489"/>
      <c r="GP10" s="489"/>
      <c r="GQ10" s="489"/>
      <c r="GR10" s="489"/>
      <c r="GS10" s="489"/>
      <c r="GT10" s="489"/>
      <c r="GU10" s="489"/>
      <c r="GV10" s="489"/>
      <c r="GW10" s="489"/>
      <c r="GX10" s="489"/>
      <c r="GY10" s="489"/>
      <c r="GZ10" s="489"/>
      <c r="HA10" s="489"/>
      <c r="HB10" s="489"/>
      <c r="HC10" s="489"/>
      <c r="HD10" s="489"/>
      <c r="HE10" s="489"/>
      <c r="HF10" s="489"/>
      <c r="HG10" s="489"/>
      <c r="HH10" s="489"/>
      <c r="HI10" s="489"/>
      <c r="HJ10" s="489"/>
      <c r="HK10" s="489"/>
      <c r="HL10" s="489"/>
      <c r="HM10" s="489"/>
      <c r="HN10" s="489"/>
      <c r="HO10" s="489"/>
      <c r="HP10" s="489"/>
      <c r="HQ10" s="489"/>
      <c r="HR10" s="489"/>
      <c r="HS10" s="489"/>
      <c r="HT10" s="489"/>
    </row>
    <row r="11" customFormat="false" ht="12.6" hidden="false" customHeight="true" outlineLevel="0" collapsed="false">
      <c r="A11" s="416" t="s">
        <v>409</v>
      </c>
      <c r="B11" s="480"/>
      <c r="C11" s="490" t="n">
        <f aca="false">IF(C3&gt;'Project Assumptions'!$I$15,0,'Project Assumptions'!$G$14)</f>
        <v>1200</v>
      </c>
      <c r="D11" s="490" t="n">
        <f aca="false">IF(D3&gt;'Project Assumptions'!$I$15,0,'Project Assumptions'!$G$14)</f>
        <v>1200</v>
      </c>
      <c r="E11" s="490" t="n">
        <f aca="false">IF(E3&gt;'Project Assumptions'!$I$15,0,'Project Assumptions'!$G$14)</f>
        <v>1200</v>
      </c>
      <c r="F11" s="490" t="n">
        <f aca="false">IF(F3&gt;'Project Assumptions'!$I$15,0,'Project Assumptions'!$G$14)</f>
        <v>1200</v>
      </c>
      <c r="G11" s="490" t="n">
        <f aca="false">IF(G3&gt;'Project Assumptions'!$I$15,0,'Project Assumptions'!$G$14)</f>
        <v>1200</v>
      </c>
      <c r="H11" s="490" t="n">
        <f aca="false">IF(H3&gt;'Project Assumptions'!$I$15,0,'Project Assumptions'!$G$14)</f>
        <v>1200</v>
      </c>
      <c r="I11" s="490" t="n">
        <f aca="false">IF(I3&gt;'Project Assumptions'!$I$15,0,'Project Assumptions'!$G$14)</f>
        <v>1200</v>
      </c>
      <c r="J11" s="490" t="n">
        <f aca="false">IF(J3&gt;'Project Assumptions'!$I$15,0,'Project Assumptions'!$G$14)</f>
        <v>1200</v>
      </c>
      <c r="K11" s="490" t="n">
        <f aca="false">IF(K3&gt;'Project Assumptions'!$I$15,0,'Project Assumptions'!$G$14)</f>
        <v>1200</v>
      </c>
      <c r="L11" s="490" t="n">
        <f aca="false">IF(L3&gt;'Project Assumptions'!$I$15,0,'Project Assumptions'!$G$14)</f>
        <v>1200</v>
      </c>
      <c r="M11" s="490" t="n">
        <f aca="false">IF(M3&gt;'Project Assumptions'!$I$15,0,'Project Assumptions'!$G$14)</f>
        <v>1200</v>
      </c>
      <c r="N11" s="490" t="n">
        <f aca="false">IF(N3&gt;'Project Assumptions'!$I$15,0,'Project Assumptions'!$G$14)</f>
        <v>1200</v>
      </c>
      <c r="O11" s="490" t="n">
        <f aca="false">IF(O3&gt;'Project Assumptions'!$I$15,0,'Project Assumptions'!$G$14)</f>
        <v>1200</v>
      </c>
      <c r="P11" s="490" t="n">
        <f aca="false">IF(P3&gt;'Project Assumptions'!$I$15,0,'Project Assumptions'!$G$14)</f>
        <v>1200</v>
      </c>
      <c r="Q11" s="490" t="n">
        <f aca="false">IF(Q3&gt;'Project Assumptions'!$I$15,0,'Project Assumptions'!$G$14)</f>
        <v>1200</v>
      </c>
      <c r="R11" s="490" t="n">
        <f aca="false">IF(R3&gt;'Project Assumptions'!$I$15,0,'Project Assumptions'!$G$14)</f>
        <v>1200</v>
      </c>
      <c r="S11" s="490" t="n">
        <f aca="false">IF(S3&gt;'Project Assumptions'!$I$15,0,'Project Assumptions'!$G$14)</f>
        <v>1200</v>
      </c>
      <c r="T11" s="490" t="n">
        <f aca="false">IF(T3&gt;'Project Assumptions'!$I$15,0,'Project Assumptions'!$G$14)</f>
        <v>1200</v>
      </c>
      <c r="U11" s="490" t="n">
        <f aca="false">IF(U3&gt;'Project Assumptions'!$I$15,0,'Project Assumptions'!$G$14)</f>
        <v>1200</v>
      </c>
      <c r="V11" s="490" t="n">
        <f aca="false">IF(V3&gt;'Project Assumptions'!$I$15,0,'Project Assumptions'!$G$14)</f>
        <v>1200</v>
      </c>
      <c r="W11" s="491" t="n">
        <f aca="false">IF(W3&gt;'Project Assumptions'!$I$15+1,0,'Project Assumptions'!$G$14)</f>
        <v>1200</v>
      </c>
      <c r="X11" s="490"/>
      <c r="Y11" s="490"/>
      <c r="Z11" s="490"/>
      <c r="AA11" s="490"/>
      <c r="AB11" s="480"/>
      <c r="AC11" s="480"/>
      <c r="AD11" s="480"/>
      <c r="AE11" s="480"/>
      <c r="AF11" s="480"/>
      <c r="AG11" s="480"/>
    </row>
    <row r="12" customFormat="false" ht="12.6" hidden="false" customHeight="true" outlineLevel="0" collapsed="false">
      <c r="A12" s="424" t="s">
        <v>410</v>
      </c>
      <c r="B12" s="492"/>
      <c r="C12" s="493" t="n">
        <f aca="false">IF(C3&gt;'Project Assumptions'!$I$15,0,C11*C10)</f>
        <v>612000</v>
      </c>
      <c r="D12" s="493" t="n">
        <f aca="false">IF(D3&gt;'Project Assumptions'!$I$15,0,D11*D10)</f>
        <v>612000</v>
      </c>
      <c r="E12" s="493" t="n">
        <f aca="false">IF(E3&gt;'Project Assumptions'!$I$15,0,E11*E10)</f>
        <v>612000</v>
      </c>
      <c r="F12" s="493" t="n">
        <f aca="false">IF(F3&gt;'Project Assumptions'!$I$15,0,F11*F10)</f>
        <v>255000</v>
      </c>
      <c r="G12" s="493" t="n">
        <f aca="false">IF(G3&gt;'Project Assumptions'!$I$15,0,G11*G10)</f>
        <v>0</v>
      </c>
      <c r="H12" s="493" t="n">
        <f aca="false">IF(H3&gt;'Project Assumptions'!$I$15,0,H11*H10)</f>
        <v>0</v>
      </c>
      <c r="I12" s="493" t="n">
        <f aca="false">IF(I3&gt;'Project Assumptions'!$I$15,0,I11*I10)</f>
        <v>0</v>
      </c>
      <c r="J12" s="493" t="n">
        <f aca="false">IF(J3&gt;'Project Assumptions'!$I$15,0,J11*J10)</f>
        <v>0</v>
      </c>
      <c r="K12" s="493" t="n">
        <f aca="false">IF(K3&gt;'Project Assumptions'!$I$15,0,K11*K10)</f>
        <v>0</v>
      </c>
      <c r="L12" s="493" t="n">
        <f aca="false">IF(L3&gt;'Project Assumptions'!$I$15,0,L11*L10)</f>
        <v>0</v>
      </c>
      <c r="M12" s="493" t="n">
        <f aca="false">IF(M3&gt;'Project Assumptions'!$I$15,0,M11*M10)</f>
        <v>0</v>
      </c>
      <c r="N12" s="493" t="n">
        <f aca="false">IF(N3&gt;'Project Assumptions'!$I$15,0,N11*N10)</f>
        <v>0</v>
      </c>
      <c r="O12" s="493" t="n">
        <f aca="false">IF(O3&gt;'Project Assumptions'!$I$15,0,O11*O10)</f>
        <v>0</v>
      </c>
      <c r="P12" s="493" t="n">
        <f aca="false">IF(P3&gt;'Project Assumptions'!$I$15,0,P11*P10)</f>
        <v>0</v>
      </c>
      <c r="Q12" s="493" t="n">
        <f aca="false">IF(Q3&gt;'Project Assumptions'!$I$15,0,Q11*Q10)</f>
        <v>0</v>
      </c>
      <c r="R12" s="493" t="n">
        <f aca="false">IF(R3&gt;'Project Assumptions'!$I$15,0,R11*R10)</f>
        <v>0</v>
      </c>
      <c r="S12" s="493" t="n">
        <f aca="false">IF(S3&gt;'Project Assumptions'!$I$15,0,S11*S10)</f>
        <v>0</v>
      </c>
      <c r="T12" s="493" t="n">
        <f aca="false">IF(T3&gt;'Project Assumptions'!$I$15,0,T11*T10)</f>
        <v>0</v>
      </c>
      <c r="U12" s="493" t="n">
        <f aca="false">IF(U3&gt;'Project Assumptions'!$I$15,0,U11*U10)</f>
        <v>0</v>
      </c>
      <c r="V12" s="493" t="n">
        <f aca="false">IF(V3&gt;'Project Assumptions'!$I$15,0,V11*V10)</f>
        <v>0</v>
      </c>
      <c r="W12" s="494" t="n">
        <f aca="false">IF(W3&gt;'Project Assumptions'!$I$15+1,0,W11*W10)</f>
        <v>0</v>
      </c>
      <c r="X12" s="442"/>
      <c r="Y12" s="442"/>
      <c r="Z12" s="442"/>
      <c r="AA12" s="442"/>
      <c r="AB12" s="480"/>
      <c r="AC12" s="480"/>
      <c r="AD12" s="480"/>
      <c r="AE12" s="480"/>
      <c r="AF12" s="480"/>
      <c r="AG12" s="480"/>
    </row>
    <row r="13" customFormat="false" ht="12.6" hidden="false" customHeight="true" outlineLevel="0" collapsed="false">
      <c r="A13" s="428"/>
      <c r="B13" s="480"/>
      <c r="C13" s="442"/>
      <c r="D13" s="442"/>
      <c r="E13" s="442"/>
      <c r="F13" s="442"/>
      <c r="G13" s="442"/>
      <c r="H13" s="442"/>
      <c r="I13" s="442"/>
      <c r="J13" s="442"/>
      <c r="K13" s="442"/>
      <c r="L13" s="442"/>
      <c r="M13" s="442"/>
      <c r="N13" s="442"/>
      <c r="O13" s="442"/>
      <c r="P13" s="442"/>
      <c r="Q13" s="442"/>
      <c r="R13" s="442"/>
      <c r="S13" s="442"/>
      <c r="T13" s="442"/>
      <c r="U13" s="442"/>
      <c r="V13" s="442"/>
      <c r="W13" s="442"/>
      <c r="X13" s="442"/>
      <c r="Y13" s="442"/>
      <c r="Z13" s="442"/>
      <c r="AA13" s="442"/>
      <c r="AB13" s="480"/>
      <c r="AC13" s="480"/>
      <c r="AD13" s="480"/>
      <c r="AE13" s="480"/>
      <c r="AF13" s="480"/>
      <c r="AG13" s="480"/>
    </row>
    <row r="14" customFormat="false" ht="12.6" hidden="false" customHeight="true" outlineLevel="0" collapsed="false">
      <c r="A14" s="430" t="s">
        <v>411</v>
      </c>
      <c r="B14" s="431"/>
      <c r="C14" s="431"/>
      <c r="D14" s="431"/>
      <c r="E14" s="431"/>
      <c r="F14" s="431"/>
      <c r="G14" s="431"/>
      <c r="H14" s="431"/>
      <c r="I14" s="431"/>
      <c r="J14" s="431"/>
      <c r="K14" s="431"/>
      <c r="L14" s="431"/>
      <c r="M14" s="431"/>
      <c r="N14" s="431"/>
      <c r="O14" s="431"/>
      <c r="P14" s="431"/>
      <c r="Q14" s="431"/>
      <c r="R14" s="431"/>
      <c r="S14" s="431"/>
      <c r="T14" s="431"/>
      <c r="U14" s="431"/>
      <c r="V14" s="431"/>
      <c r="W14" s="432"/>
      <c r="X14" s="442"/>
      <c r="Y14" s="442"/>
      <c r="Z14" s="442"/>
      <c r="AA14" s="442"/>
      <c r="AB14" s="480"/>
      <c r="AC14" s="480"/>
      <c r="AD14" s="480"/>
      <c r="AE14" s="480"/>
      <c r="AF14" s="480"/>
      <c r="AG14" s="480"/>
    </row>
    <row r="15" customFormat="false" ht="12.6" hidden="false" customHeight="true" outlineLevel="0" collapsed="false">
      <c r="A15" s="416" t="s">
        <v>405</v>
      </c>
      <c r="B15" s="480"/>
      <c r="C15" s="495" t="n">
        <f aca="false">Deg_Rate*(1-'PPA Assumptions &amp;Summary'!C18)</f>
        <v>0.02</v>
      </c>
      <c r="D15" s="495" t="n">
        <f aca="false">Deg_Rate*(1-'PPA Assumptions &amp;Summary'!D18)</f>
        <v>0.02</v>
      </c>
      <c r="E15" s="495" t="n">
        <f aca="false">Deg_Rate*(1-'PPA Assumptions &amp;Summary'!E18)</f>
        <v>0.02</v>
      </c>
      <c r="F15" s="495" t="n">
        <f aca="false">Deg_Rate*(1-'PPA Assumptions &amp;Summary'!F18)</f>
        <v>0.02</v>
      </c>
      <c r="G15" s="495" t="n">
        <f aca="false">Deg_Rate*(1-'PPA Assumptions &amp;Summary'!G18)</f>
        <v>0.02</v>
      </c>
      <c r="H15" s="495" t="n">
        <f aca="false">Deg_Rate*(1-'PPA Assumptions &amp;Summary'!H18)</f>
        <v>0.02</v>
      </c>
      <c r="I15" s="495" t="n">
        <f aca="false">Deg_Rate*(1-'PPA Assumptions &amp;Summary'!I18)</f>
        <v>0.02</v>
      </c>
      <c r="J15" s="495" t="n">
        <f aca="false">Deg_Rate*(1-'PPA Assumptions &amp;Summary'!J18)</f>
        <v>0.02</v>
      </c>
      <c r="K15" s="495" t="n">
        <f aca="false">Deg_Rate*(1-'PPA Assumptions &amp;Summary'!K18)</f>
        <v>0.02</v>
      </c>
      <c r="L15" s="495" t="n">
        <f aca="false">Deg_Rate*(1-'PPA Assumptions &amp;Summary'!L18)</f>
        <v>0.02</v>
      </c>
      <c r="M15" s="495" t="n">
        <f aca="false">Deg_Rate*(1-'PPA Assumptions &amp;Summary'!M18)</f>
        <v>0.02</v>
      </c>
      <c r="N15" s="495" t="n">
        <f aca="false">Deg_Rate*(1-'PPA Assumptions &amp;Summary'!N18)</f>
        <v>0.02</v>
      </c>
      <c r="O15" s="495" t="n">
        <f aca="false">Deg_Rate*(1-'PPA Assumptions &amp;Summary'!O18)</f>
        <v>0.02</v>
      </c>
      <c r="P15" s="495" t="n">
        <f aca="false">Deg_Rate*(1-'PPA Assumptions &amp;Summary'!P18)</f>
        <v>0.02</v>
      </c>
      <c r="Q15" s="495" t="n">
        <f aca="false">Deg_Rate*(1-'PPA Assumptions &amp;Summary'!Q18)</f>
        <v>0.02</v>
      </c>
      <c r="R15" s="495" t="n">
        <f aca="false">Deg_Rate*(1-'PPA Assumptions &amp;Summary'!R18)</f>
        <v>0.02</v>
      </c>
      <c r="S15" s="495" t="n">
        <f aca="false">Deg_Rate*(1-'PPA Assumptions &amp;Summary'!S18)</f>
        <v>0.02</v>
      </c>
      <c r="T15" s="495" t="n">
        <f aca="false">Deg_Rate*(1-'PPA Assumptions &amp;Summary'!T18)</f>
        <v>0.02</v>
      </c>
      <c r="U15" s="495" t="n">
        <f aca="false">Deg_Rate*(1-'PPA Assumptions &amp;Summary'!U18)</f>
        <v>0.02</v>
      </c>
      <c r="V15" s="495" t="n">
        <f aca="false">Deg_Rate*(1-'PPA Assumptions &amp;Summary'!V18)</f>
        <v>0.02</v>
      </c>
      <c r="W15" s="496" t="n">
        <f aca="false">Deg_Rate*(1-'PPA Assumptions &amp;Summary'!W18)</f>
        <v>0.02</v>
      </c>
      <c r="X15" s="442"/>
      <c r="Y15" s="442"/>
      <c r="Z15" s="442"/>
      <c r="AA15" s="442"/>
      <c r="AB15" s="480"/>
      <c r="AC15" s="480"/>
      <c r="AD15" s="480"/>
      <c r="AE15" s="480"/>
      <c r="AF15" s="480"/>
      <c r="AG15" s="480"/>
    </row>
    <row r="16" customFormat="false" ht="12.6" hidden="false" customHeight="true" outlineLevel="0" collapsed="false">
      <c r="A16" s="416" t="s">
        <v>406</v>
      </c>
      <c r="B16" s="480"/>
      <c r="C16" s="486" t="n">
        <v>0</v>
      </c>
      <c r="D16" s="486" t="n">
        <v>0</v>
      </c>
      <c r="E16" s="486" t="n">
        <v>0</v>
      </c>
      <c r="F16" s="486" t="n">
        <v>0</v>
      </c>
      <c r="G16" s="486" t="n">
        <v>0</v>
      </c>
      <c r="H16" s="486" t="n">
        <v>0</v>
      </c>
      <c r="I16" s="486" t="n">
        <v>0</v>
      </c>
      <c r="J16" s="486" t="n">
        <v>0</v>
      </c>
      <c r="K16" s="486" t="n">
        <v>0</v>
      </c>
      <c r="L16" s="486" t="n">
        <v>0</v>
      </c>
      <c r="M16" s="486" t="n">
        <v>0</v>
      </c>
      <c r="N16" s="486" t="n">
        <v>0</v>
      </c>
      <c r="O16" s="486" t="n">
        <v>0</v>
      </c>
      <c r="P16" s="486" t="n">
        <v>0</v>
      </c>
      <c r="Q16" s="486" t="n">
        <v>0</v>
      </c>
      <c r="R16" s="486" t="n">
        <v>0</v>
      </c>
      <c r="S16" s="486" t="n">
        <v>0</v>
      </c>
      <c r="T16" s="486" t="n">
        <v>0</v>
      </c>
      <c r="U16" s="486" t="n">
        <v>0</v>
      </c>
      <c r="V16" s="486" t="n">
        <v>0</v>
      </c>
      <c r="W16" s="487" t="n">
        <v>0</v>
      </c>
      <c r="X16" s="442"/>
      <c r="Y16" s="442"/>
      <c r="Z16" s="442"/>
      <c r="AA16" s="442"/>
      <c r="AB16" s="480"/>
      <c r="AC16" s="480"/>
      <c r="AD16" s="480"/>
      <c r="AE16" s="480"/>
      <c r="AF16" s="480"/>
      <c r="AG16" s="480"/>
    </row>
    <row r="17" customFormat="false" ht="12.6" hidden="false" customHeight="true" outlineLevel="0" collapsed="false">
      <c r="A17" s="416" t="s">
        <v>407</v>
      </c>
      <c r="B17" s="480"/>
      <c r="C17" s="417" t="n">
        <f aca="false">ISO_NetMW*(1-C15)</f>
        <v>524.594</v>
      </c>
      <c r="D17" s="417" t="n">
        <f aca="false">ISO_NetMW*(1-D15)</f>
        <v>524.594</v>
      </c>
      <c r="E17" s="417" t="n">
        <f aca="false">ISO_NetMW*(1-E15)</f>
        <v>524.594</v>
      </c>
      <c r="F17" s="417" t="n">
        <f aca="false">ISO_NetMW*(1-F15)</f>
        <v>524.594</v>
      </c>
      <c r="G17" s="417" t="n">
        <f aca="false">ISO_NetMW*(1-G15)</f>
        <v>524.594</v>
      </c>
      <c r="H17" s="417" t="n">
        <f aca="false">ISO_NetMW*(1-H15)</f>
        <v>524.594</v>
      </c>
      <c r="I17" s="417" t="n">
        <f aca="false">ISO_NetMW*(1-I15)</f>
        <v>524.594</v>
      </c>
      <c r="J17" s="417" t="n">
        <f aca="false">ISO_NetMW*(1-J15)</f>
        <v>524.594</v>
      </c>
      <c r="K17" s="417" t="n">
        <f aca="false">ISO_NetMW*(1-K15)</f>
        <v>524.594</v>
      </c>
      <c r="L17" s="417" t="n">
        <f aca="false">ISO_NetMW*(1-L15)</f>
        <v>524.594</v>
      </c>
      <c r="M17" s="417" t="n">
        <f aca="false">ISO_NetMW*(1-M15)</f>
        <v>524.594</v>
      </c>
      <c r="N17" s="417" t="n">
        <f aca="false">ISO_NetMW*(1-N15)</f>
        <v>524.594</v>
      </c>
      <c r="O17" s="417" t="n">
        <f aca="false">ISO_NetMW*(1-O15)</f>
        <v>524.594</v>
      </c>
      <c r="P17" s="417" t="n">
        <f aca="false">ISO_NetMW*(1-P15)</f>
        <v>524.594</v>
      </c>
      <c r="Q17" s="417" t="n">
        <f aca="false">ISO_NetMW*(1-Q15)</f>
        <v>524.594</v>
      </c>
      <c r="R17" s="417" t="n">
        <f aca="false">ISO_NetMW*(1-R15)</f>
        <v>524.594</v>
      </c>
      <c r="S17" s="417" t="n">
        <f aca="false">ISO_NetMW*(1-S15)</f>
        <v>524.594</v>
      </c>
      <c r="T17" s="417" t="n">
        <f aca="false">ISO_NetMW*(1-T15)</f>
        <v>524.594</v>
      </c>
      <c r="U17" s="417" t="n">
        <f aca="false">ISO_NetMW*(1-U15)</f>
        <v>524.594</v>
      </c>
      <c r="V17" s="417" t="n">
        <f aca="false">ISO_NetMW*(1-V15)</f>
        <v>524.594</v>
      </c>
      <c r="W17" s="488" t="n">
        <f aca="false">ISO_NetMW*(1-W15)</f>
        <v>524.594</v>
      </c>
      <c r="X17" s="442"/>
      <c r="Y17" s="442"/>
      <c r="Z17" s="442"/>
      <c r="AA17" s="442"/>
      <c r="AB17" s="480"/>
      <c r="AC17" s="480"/>
      <c r="AD17" s="480"/>
      <c r="AE17" s="480"/>
      <c r="AF17" s="480"/>
      <c r="AG17" s="480"/>
    </row>
    <row r="18" customFormat="false" ht="12.6" hidden="false" customHeight="true" outlineLevel="0" collapsed="false">
      <c r="A18" s="416"/>
      <c r="B18" s="480"/>
      <c r="C18" s="417"/>
      <c r="D18" s="417"/>
      <c r="E18" s="417"/>
      <c r="F18" s="417"/>
      <c r="G18" s="417"/>
      <c r="H18" s="417"/>
      <c r="I18" s="417"/>
      <c r="J18" s="417"/>
      <c r="K18" s="417"/>
      <c r="L18" s="417"/>
      <c r="M18" s="417"/>
      <c r="N18" s="417"/>
      <c r="O18" s="417"/>
      <c r="P18" s="417"/>
      <c r="Q18" s="417"/>
      <c r="R18" s="417"/>
      <c r="S18" s="417"/>
      <c r="T18" s="417"/>
      <c r="U18" s="417"/>
      <c r="V18" s="417"/>
      <c r="W18" s="488"/>
      <c r="X18" s="442"/>
      <c r="Y18" s="442"/>
      <c r="Z18" s="442"/>
      <c r="AA18" s="442"/>
      <c r="AB18" s="480"/>
      <c r="AC18" s="480"/>
      <c r="AD18" s="480"/>
      <c r="AE18" s="480"/>
      <c r="AF18" s="480"/>
      <c r="AG18" s="480"/>
    </row>
    <row r="19" customFormat="false" ht="12.6" hidden="false" customHeight="true" outlineLevel="0" collapsed="false">
      <c r="A19" s="416" t="s">
        <v>408</v>
      </c>
      <c r="B19" s="480"/>
      <c r="C19" s="417" t="n">
        <f aca="false">IF(C3&gt;ProjectLife+1,0,(C17-C20)*'PPA Assumptions &amp;Summary'!C7/12)</f>
        <v>0</v>
      </c>
      <c r="D19" s="417" t="n">
        <f aca="false">IF(D3&gt;ProjectLife+1,0,(D17-D20)*'PPA Assumptions &amp;Summary'!D7/12)</f>
        <v>0</v>
      </c>
      <c r="E19" s="417" t="n">
        <f aca="false">IF(E3&gt;ProjectLife+1,0,(E17-E20)*'PPA Assumptions &amp;Summary'!E7/12)</f>
        <v>0</v>
      </c>
      <c r="F19" s="417" t="n">
        <f aca="false">IF(F3&gt;ProjectLife+1,0,(F17-F20)*'PPA Assumptions &amp;Summary'!F7/12)</f>
        <v>302.443013055555</v>
      </c>
      <c r="G19" s="417" t="n">
        <f aca="false">IF(G3&gt;ProjectLife+1,0,(G17-G20)*'PPA Assumptions &amp;Summary'!G7/12)</f>
        <v>514.10212</v>
      </c>
      <c r="H19" s="417" t="n">
        <f aca="false">IF(H3&gt;ProjectLife+1,0,(H17-H20)*'PPA Assumptions &amp;Summary'!H7/12)</f>
        <v>514.10212</v>
      </c>
      <c r="I19" s="417" t="n">
        <f aca="false">IF(I3&gt;ProjectLife+1,0,(I17-I20)*'PPA Assumptions &amp;Summary'!I7/12)</f>
        <v>514.10212</v>
      </c>
      <c r="J19" s="417" t="n">
        <f aca="false">IF(J3&gt;ProjectLife+1,0,(J17-J20)*'PPA Assumptions &amp;Summary'!J7/12)</f>
        <v>514.10212</v>
      </c>
      <c r="K19" s="417" t="n">
        <f aca="false">IF(K3&gt;ProjectLife+1,0,(K17-K20)*'PPA Assumptions &amp;Summary'!K7/12)</f>
        <v>514.10212</v>
      </c>
      <c r="L19" s="417" t="n">
        <f aca="false">IF(L3&gt;ProjectLife+1,0,(L17-L20)*'PPA Assumptions &amp;Summary'!L7/12)</f>
        <v>514.10212</v>
      </c>
      <c r="M19" s="417" t="n">
        <f aca="false">IF(M3&gt;ProjectLife+1,0,(M17-M20)*'PPA Assumptions &amp;Summary'!M7/12)</f>
        <v>514.10212</v>
      </c>
      <c r="N19" s="417" t="n">
        <f aca="false">IF(N3&gt;ProjectLife+1,0,(N17-N20)*'PPA Assumptions &amp;Summary'!N7/12)</f>
        <v>514.10212</v>
      </c>
      <c r="O19" s="417" t="n">
        <f aca="false">IF(O3&gt;ProjectLife+1,0,(O17-O20)*'PPA Assumptions &amp;Summary'!O7/12)</f>
        <v>514.10212</v>
      </c>
      <c r="P19" s="417" t="n">
        <f aca="false">IF(P3&gt;ProjectLife+1,0,(P17-P20)*'PPA Assumptions &amp;Summary'!P7/12)</f>
        <v>514.10212</v>
      </c>
      <c r="Q19" s="417" t="n">
        <f aca="false">IF(Q3&gt;ProjectLife+1,0,(Q17-Q20)*'PPA Assumptions &amp;Summary'!Q7/12)</f>
        <v>514.10212</v>
      </c>
      <c r="R19" s="417" t="n">
        <f aca="false">IF(R3&gt;ProjectLife+1,0,(R17-R20)*'PPA Assumptions &amp;Summary'!R7/12)</f>
        <v>514.10212</v>
      </c>
      <c r="S19" s="417" t="n">
        <f aca="false">IF(S3&gt;ProjectLife+1,0,(S17-S20)*'PPA Assumptions &amp;Summary'!S7/12)</f>
        <v>514.10212</v>
      </c>
      <c r="T19" s="417" t="n">
        <f aca="false">IF(T3&gt;ProjectLife+1,0,(T17-T20)*'PPA Assumptions &amp;Summary'!T7/12)</f>
        <v>514.10212</v>
      </c>
      <c r="U19" s="417" t="n">
        <f aca="false">IF(U3&gt;ProjectLife+1,0,(U17-U20)*'PPA Assumptions &amp;Summary'!U7/12)</f>
        <v>514.10212</v>
      </c>
      <c r="V19" s="417" t="n">
        <f aca="false">IF(V3&gt;ProjectLife+1,0,(V17-V20)*'PPA Assumptions &amp;Summary'!V7/12)</f>
        <v>514.10212</v>
      </c>
      <c r="W19" s="488" t="n">
        <f aca="false">IF(W3&gt;ProjectLife+1,0,(W17-W20))</f>
        <v>514.10212</v>
      </c>
      <c r="X19" s="442"/>
      <c r="Y19" s="442"/>
      <c r="Z19" s="442"/>
      <c r="AA19" s="442"/>
      <c r="AB19" s="480"/>
      <c r="AC19" s="480"/>
      <c r="AD19" s="480"/>
      <c r="AE19" s="480"/>
      <c r="AF19" s="480"/>
      <c r="AG19" s="480"/>
    </row>
    <row r="20" customFormat="false" ht="12.6" hidden="false" customHeight="true" outlineLevel="0" collapsed="false">
      <c r="A20" s="416" t="s">
        <v>412</v>
      </c>
      <c r="B20" s="480"/>
      <c r="C20" s="417" t="n">
        <f aca="false">C17*Cap_Factor_Energy*'PPA Assumptions &amp;Summary'!C7/12</f>
        <v>0</v>
      </c>
      <c r="D20" s="417" t="n">
        <f aca="false">D17*Cap_Factor_Energy*'PPA Assumptions &amp;Summary'!D7/12</f>
        <v>0</v>
      </c>
      <c r="E20" s="417" t="n">
        <f aca="false">E17*Cap_Factor_Energy*'PPA Assumptions &amp;Summary'!E7/12</f>
        <v>0</v>
      </c>
      <c r="F20" s="417" t="n">
        <f aca="false">F17*Cap_Factor_Energy*'PPA Assumptions &amp;Summary'!F7/12</f>
        <v>6.12026333333333</v>
      </c>
      <c r="G20" s="417" t="n">
        <f aca="false">G17*Cap_Factor_Energy*'PPA Assumptions &amp;Summary'!G7/12</f>
        <v>10.49188</v>
      </c>
      <c r="H20" s="417" t="n">
        <f aca="false">H17*Cap_Factor_Energy*'PPA Assumptions &amp;Summary'!H7/12</f>
        <v>10.49188</v>
      </c>
      <c r="I20" s="417" t="n">
        <f aca="false">I17*Cap_Factor_Energy*'PPA Assumptions &amp;Summary'!I7/12</f>
        <v>10.49188</v>
      </c>
      <c r="J20" s="417" t="n">
        <f aca="false">J17*Cap_Factor_Energy*'PPA Assumptions &amp;Summary'!J7/12</f>
        <v>10.49188</v>
      </c>
      <c r="K20" s="417" t="n">
        <f aca="false">K17*Cap_Factor_Energy*'PPA Assumptions &amp;Summary'!K7/12</f>
        <v>10.49188</v>
      </c>
      <c r="L20" s="417" t="n">
        <f aca="false">L17*Cap_Factor_Energy*'PPA Assumptions &amp;Summary'!L7/12</f>
        <v>10.49188</v>
      </c>
      <c r="M20" s="417" t="n">
        <f aca="false">M17*Cap_Factor_Energy*'PPA Assumptions &amp;Summary'!M7/12</f>
        <v>10.49188</v>
      </c>
      <c r="N20" s="417" t="n">
        <f aca="false">N17*Cap_Factor_Energy*'PPA Assumptions &amp;Summary'!N7/12</f>
        <v>10.49188</v>
      </c>
      <c r="O20" s="417" t="n">
        <f aca="false">O17*Cap_Factor_Energy*'PPA Assumptions &amp;Summary'!O7/12</f>
        <v>10.49188</v>
      </c>
      <c r="P20" s="417" t="n">
        <f aca="false">P17*Cap_Factor_Energy*'PPA Assumptions &amp;Summary'!P7/12</f>
        <v>10.49188</v>
      </c>
      <c r="Q20" s="417" t="n">
        <f aca="false">Q17*Cap_Factor_Energy*'PPA Assumptions &amp;Summary'!Q7/12</f>
        <v>10.49188</v>
      </c>
      <c r="R20" s="417" t="n">
        <f aca="false">R17*Cap_Factor_Energy*'PPA Assumptions &amp;Summary'!R7/12</f>
        <v>10.49188</v>
      </c>
      <c r="S20" s="417" t="n">
        <f aca="false">S17*Cap_Factor_Energy*'PPA Assumptions &amp;Summary'!S7/12</f>
        <v>10.49188</v>
      </c>
      <c r="T20" s="417" t="n">
        <f aca="false">T17*Cap_Factor_Energy*'PPA Assumptions &amp;Summary'!T7/12</f>
        <v>10.49188</v>
      </c>
      <c r="U20" s="417" t="n">
        <f aca="false">U17*Cap_Factor_Energy*'PPA Assumptions &amp;Summary'!U7/12</f>
        <v>10.49188</v>
      </c>
      <c r="V20" s="417" t="n">
        <f aca="false">V17*Cap_Factor_Energy*'PPA Assumptions &amp;Summary'!V7/12</f>
        <v>10.49188</v>
      </c>
      <c r="W20" s="488" t="n">
        <f aca="false">W17*Cap_Factor_Energy</f>
        <v>10.49188</v>
      </c>
      <c r="X20" s="442"/>
      <c r="Y20" s="442"/>
      <c r="Z20" s="442"/>
      <c r="AA20" s="442"/>
      <c r="AB20" s="480"/>
      <c r="AC20" s="480"/>
      <c r="AD20" s="480"/>
      <c r="AE20" s="480"/>
      <c r="AF20" s="480"/>
      <c r="AG20" s="480"/>
    </row>
    <row r="21" customFormat="false" ht="12.6" hidden="false" customHeight="true" outlineLevel="0" collapsed="false">
      <c r="A21" s="416" t="s">
        <v>409</v>
      </c>
      <c r="B21" s="480"/>
      <c r="C21" s="490" t="n">
        <f aca="false">IF(C3&gt;'Project Assumptions'!$I$15,0,'Project Assumptions'!$G$14)</f>
        <v>1200</v>
      </c>
      <c r="D21" s="490" t="n">
        <f aca="false">IF(D3&gt;'Project Assumptions'!$I$15,0,'Project Assumptions'!$G$14)</f>
        <v>1200</v>
      </c>
      <c r="E21" s="490" t="n">
        <f aca="false">IF(E3&gt;'Project Assumptions'!$I$15,0,'Project Assumptions'!$G$14)</f>
        <v>1200</v>
      </c>
      <c r="F21" s="490" t="n">
        <f aca="false">IF(F3&gt;'Project Assumptions'!$I$15,0,'Project Assumptions'!$G$14)</f>
        <v>1200</v>
      </c>
      <c r="G21" s="490" t="n">
        <f aca="false">IF(G3&gt;'Project Assumptions'!$I$15,0,'Project Assumptions'!$G$14)</f>
        <v>1200</v>
      </c>
      <c r="H21" s="490" t="n">
        <f aca="false">IF(H3&gt;'Project Assumptions'!$I$15,0,'Project Assumptions'!$G$14)</f>
        <v>1200</v>
      </c>
      <c r="I21" s="490" t="n">
        <f aca="false">IF(I3&gt;'Project Assumptions'!$I$15,0,'Project Assumptions'!$G$14)</f>
        <v>1200</v>
      </c>
      <c r="J21" s="490" t="n">
        <f aca="false">IF(J3&gt;'Project Assumptions'!$I$15,0,'Project Assumptions'!$G$14)</f>
        <v>1200</v>
      </c>
      <c r="K21" s="490" t="n">
        <f aca="false">IF(K3&gt;'Project Assumptions'!$I$15,0,'Project Assumptions'!$G$14)</f>
        <v>1200</v>
      </c>
      <c r="L21" s="490" t="n">
        <f aca="false">IF(L3&gt;'Project Assumptions'!$I$15,0,'Project Assumptions'!$G$14)</f>
        <v>1200</v>
      </c>
      <c r="M21" s="490" t="n">
        <f aca="false">IF(M3&gt;'Project Assumptions'!$I$15,0,'Project Assumptions'!$G$14)</f>
        <v>1200</v>
      </c>
      <c r="N21" s="490" t="n">
        <f aca="false">IF(N3&gt;'Project Assumptions'!$I$15,0,'Project Assumptions'!$G$14)</f>
        <v>1200</v>
      </c>
      <c r="O21" s="490" t="n">
        <f aca="false">IF(O3&gt;'Project Assumptions'!$I$15,0,'Project Assumptions'!$G$14)</f>
        <v>1200</v>
      </c>
      <c r="P21" s="490" t="n">
        <f aca="false">IF(P3&gt;'Project Assumptions'!$I$15,0,'Project Assumptions'!$G$14)</f>
        <v>1200</v>
      </c>
      <c r="Q21" s="490" t="n">
        <f aca="false">IF(Q3&gt;'Project Assumptions'!$I$15,0,'Project Assumptions'!$G$14)</f>
        <v>1200</v>
      </c>
      <c r="R21" s="490" t="n">
        <f aca="false">IF(R3&gt;'Project Assumptions'!$I$15,0,'Project Assumptions'!$G$14)</f>
        <v>1200</v>
      </c>
      <c r="S21" s="490" t="n">
        <f aca="false">IF(S3&gt;'Project Assumptions'!$I$15,0,'Project Assumptions'!$G$14)</f>
        <v>1200</v>
      </c>
      <c r="T21" s="490" t="n">
        <f aca="false">IF(T3&gt;'Project Assumptions'!$I$15,0,'Project Assumptions'!$G$14)</f>
        <v>1200</v>
      </c>
      <c r="U21" s="490" t="n">
        <f aca="false">IF(U3&gt;'Project Assumptions'!$I$15,0,'Project Assumptions'!$G$14)</f>
        <v>1200</v>
      </c>
      <c r="V21" s="490" t="n">
        <f aca="false">IF(V3&gt;'Project Assumptions'!$I$15,0,'Project Assumptions'!$G$14)</f>
        <v>1200</v>
      </c>
      <c r="W21" s="491" t="n">
        <f aca="false">IF(W3&gt;'Project Assumptions'!$I$15+1,0,'Project Assumptions'!$G$14)</f>
        <v>1200</v>
      </c>
      <c r="X21" s="442"/>
      <c r="Y21" s="442"/>
      <c r="Z21" s="442"/>
      <c r="AA21" s="442"/>
      <c r="AB21" s="480"/>
      <c r="AC21" s="480"/>
      <c r="AD21" s="480"/>
      <c r="AE21" s="480"/>
      <c r="AF21" s="480"/>
      <c r="AG21" s="480"/>
    </row>
    <row r="22" customFormat="false" ht="12.6" hidden="false" customHeight="true" outlineLevel="0" collapsed="false">
      <c r="A22" s="424" t="s">
        <v>410</v>
      </c>
      <c r="B22" s="492"/>
      <c r="C22" s="493" t="n">
        <f aca="false">IF(C3&gt;'Project Assumptions'!$I$15,0,C21*(C19+C20))</f>
        <v>0</v>
      </c>
      <c r="D22" s="493" t="n">
        <f aca="false">IF(D3&gt;'Project Assumptions'!$I$15,0,D21*(D19+D20))</f>
        <v>0</v>
      </c>
      <c r="E22" s="493" t="n">
        <f aca="false">IF(E3&gt;'Project Assumptions'!$I$15,0,E21*(E19+E20))</f>
        <v>0</v>
      </c>
      <c r="F22" s="493" t="n">
        <f aca="false">IF(F3&gt;'Project Assumptions'!$I$15,0,F21*(F19+F20))</f>
        <v>370275.931666667</v>
      </c>
      <c r="G22" s="493" t="n">
        <f aca="false">IF(G3&gt;'Project Assumptions'!$I$15,0,G21*(G19+G20))</f>
        <v>629512.8</v>
      </c>
      <c r="H22" s="493" t="n">
        <f aca="false">IF(H3&gt;'Project Assumptions'!$I$15,0,H21*(H19+H20))</f>
        <v>629512.8</v>
      </c>
      <c r="I22" s="493" t="n">
        <f aca="false">IF(I3&gt;'Project Assumptions'!$I$15,0,I21*(I19+I20))</f>
        <v>629512.8</v>
      </c>
      <c r="J22" s="493" t="n">
        <f aca="false">IF(J3&gt;'Project Assumptions'!$I$15,0,J21*(J19+J20))</f>
        <v>629512.8</v>
      </c>
      <c r="K22" s="493" t="n">
        <f aca="false">IF(K3&gt;'Project Assumptions'!$I$15,0,K21*(K19+K20))</f>
        <v>629512.8</v>
      </c>
      <c r="L22" s="493" t="n">
        <f aca="false">IF(L3&gt;'Project Assumptions'!$I$15,0,L21*(L19+L20))</f>
        <v>629512.8</v>
      </c>
      <c r="M22" s="493" t="n">
        <f aca="false">IF(M3&gt;'Project Assumptions'!$I$15,0,M21*(M19+M20))</f>
        <v>629512.8</v>
      </c>
      <c r="N22" s="493" t="n">
        <f aca="false">IF(N3&gt;'Project Assumptions'!$I$15,0,N21*(N19+N20))</f>
        <v>629512.8</v>
      </c>
      <c r="O22" s="493" t="n">
        <f aca="false">IF(O3&gt;'Project Assumptions'!$I$15,0,O21*(O19+O20))</f>
        <v>629512.8</v>
      </c>
      <c r="P22" s="493" t="n">
        <f aca="false">IF(P3&gt;'Project Assumptions'!$I$15,0,P21*(P19+P20))</f>
        <v>629512.8</v>
      </c>
      <c r="Q22" s="493" t="n">
        <f aca="false">IF(Q3&gt;'Project Assumptions'!$I$15,0,Q21*(Q19+Q20))</f>
        <v>629512.8</v>
      </c>
      <c r="R22" s="493" t="n">
        <f aca="false">IF(R3&gt;'Project Assumptions'!$I$15,0,R21*(R19+R20))</f>
        <v>629512.8</v>
      </c>
      <c r="S22" s="493" t="n">
        <f aca="false">IF(S3&gt;'Project Assumptions'!$I$15,0,S21*(S19+S20))</f>
        <v>629512.8</v>
      </c>
      <c r="T22" s="493" t="n">
        <f aca="false">IF(T3&gt;'Project Assumptions'!$I$15,0,T21*(T19+T20))</f>
        <v>629512.8</v>
      </c>
      <c r="U22" s="493" t="n">
        <f aca="false">IF(U3&gt;'Project Assumptions'!$I$15,0,U21*(U19+U20))</f>
        <v>629512.8</v>
      </c>
      <c r="V22" s="493" t="n">
        <f aca="false">IF(V3&gt;'Project Assumptions'!$I$15,0,V21*(V19+V20))</f>
        <v>629512.8</v>
      </c>
      <c r="W22" s="494" t="n">
        <f aca="false">IF(W3&gt;'Project Assumptions'!$I$15+1,0,W21*(W19+W20))</f>
        <v>629512.8</v>
      </c>
      <c r="X22" s="442"/>
      <c r="Y22" s="442"/>
      <c r="Z22" s="442"/>
      <c r="AA22" s="442"/>
      <c r="AB22" s="480"/>
      <c r="AC22" s="480"/>
      <c r="AD22" s="480"/>
      <c r="AE22" s="480"/>
      <c r="AF22" s="480"/>
      <c r="AG22" s="480"/>
    </row>
    <row r="23" customFormat="false" ht="12.6" hidden="false" customHeight="true" outlineLevel="0" collapsed="false">
      <c r="A23" s="428"/>
      <c r="B23" s="480"/>
      <c r="C23" s="417"/>
      <c r="D23" s="417"/>
      <c r="E23" s="417"/>
      <c r="F23" s="417"/>
      <c r="G23" s="417"/>
      <c r="H23" s="417"/>
      <c r="I23" s="417"/>
      <c r="J23" s="417"/>
      <c r="K23" s="417"/>
      <c r="L23" s="417"/>
      <c r="M23" s="417"/>
      <c r="N23" s="417"/>
      <c r="O23" s="417"/>
      <c r="P23" s="417"/>
      <c r="Q23" s="417"/>
      <c r="R23" s="417"/>
      <c r="S23" s="417"/>
      <c r="T23" s="417"/>
      <c r="U23" s="417"/>
      <c r="V23" s="417"/>
      <c r="W23" s="417"/>
      <c r="X23" s="417"/>
      <c r="Y23" s="417"/>
      <c r="Z23" s="417"/>
      <c r="AA23" s="417"/>
      <c r="AB23" s="480"/>
      <c r="AC23" s="480"/>
      <c r="AD23" s="480"/>
      <c r="AE23" s="480"/>
      <c r="AF23" s="480"/>
      <c r="AG23" s="480"/>
    </row>
    <row r="24" customFormat="false" ht="15.75" hidden="false" customHeight="false" outlineLevel="0" collapsed="false">
      <c r="A24" s="430" t="s">
        <v>413</v>
      </c>
      <c r="B24" s="484"/>
      <c r="C24" s="497"/>
      <c r="D24" s="497"/>
      <c r="E24" s="497"/>
      <c r="F24" s="497"/>
      <c r="G24" s="497"/>
      <c r="H24" s="497"/>
      <c r="I24" s="497"/>
      <c r="J24" s="497"/>
      <c r="K24" s="497"/>
      <c r="L24" s="497"/>
      <c r="M24" s="497"/>
      <c r="N24" s="497"/>
      <c r="O24" s="497"/>
      <c r="P24" s="497"/>
      <c r="Q24" s="497"/>
      <c r="R24" s="497"/>
      <c r="S24" s="497"/>
      <c r="T24" s="497"/>
      <c r="U24" s="497"/>
      <c r="V24" s="497"/>
      <c r="W24" s="498"/>
      <c r="X24" s="30"/>
      <c r="Y24" s="30"/>
      <c r="Z24" s="30"/>
      <c r="AA24" s="30"/>
      <c r="AB24" s="480"/>
      <c r="AC24" s="480"/>
      <c r="AD24" s="480"/>
      <c r="AE24" s="480"/>
      <c r="AF24" s="480"/>
      <c r="AG24" s="480"/>
    </row>
    <row r="25" customFormat="false" ht="12.6" hidden="false" customHeight="true" outlineLevel="0" collapsed="false">
      <c r="A25" s="410" t="s">
        <v>414</v>
      </c>
      <c r="B25" s="385"/>
      <c r="C25" s="499" t="n">
        <f aca="false">IF(C3&lt;=ProjectLife,IF('Project Assumptions'!$C$69="Assumed",'Project Assumptions'!$I$28*'Project Assumptions'!$I$27,0),0)</f>
        <v>612000</v>
      </c>
      <c r="D25" s="499" t="n">
        <f aca="false">IF(D3&lt;=ProjectLife,IF('Project Assumptions'!$C$69="Assumed",NetMW*AnnualHours*'PPA Assumptions &amp;Summary'!D6/12,0),0)</f>
        <v>612000</v>
      </c>
      <c r="E25" s="499" t="n">
        <f aca="false">IF(E3&lt;=ProjectLife,IF('Project Assumptions'!$C$69="Assumed",NetMW*AnnualHours*'PPA Assumptions &amp;Summary'!E6/12,0),0)</f>
        <v>612000</v>
      </c>
      <c r="F25" s="499" t="n">
        <f aca="false">IF(F3&lt;=ProjectLife,IF('Project Assumptions'!$C$69="Assumed",NetMW*AnnualHours*'PPA Assumptions &amp;Summary'!F6/12,0),0)</f>
        <v>255000</v>
      </c>
      <c r="G25" s="499" t="n">
        <f aca="false">IF(G3&lt;=ProjectLife,IF('Project Assumptions'!$C$69="Assumed",NetMW*AnnualHours*'PPA Assumptions &amp;Summary'!G6/12,0),0)</f>
        <v>0</v>
      </c>
      <c r="H25" s="499" t="n">
        <f aca="false">IF(H3&lt;=ProjectLife,IF('Project Assumptions'!$C$69="Assumed",NetMW*AnnualHours*'PPA Assumptions &amp;Summary'!H6/12,0),0)</f>
        <v>0</v>
      </c>
      <c r="I25" s="499" t="n">
        <f aca="false">IF(I3&lt;=ProjectLife,IF('Project Assumptions'!$C$69="Assumed",NetMW*AnnualHours*'PPA Assumptions &amp;Summary'!I6/12,0),0)</f>
        <v>0</v>
      </c>
      <c r="J25" s="499" t="n">
        <f aca="false">IF(J3&lt;=ProjectLife,IF('Project Assumptions'!$C$69="Assumed",NetMW*AnnualHours*'PPA Assumptions &amp;Summary'!J6/12,0),0)</f>
        <v>0</v>
      </c>
      <c r="K25" s="499" t="n">
        <f aca="false">IF(K3&lt;=ProjectLife,IF('Project Assumptions'!$C$69="Assumed",NetMW*AnnualHours*'PPA Assumptions &amp;Summary'!K6/12,0),0)</f>
        <v>0</v>
      </c>
      <c r="L25" s="499" t="n">
        <f aca="false">IF(L3&lt;=ProjectLife,IF('Project Assumptions'!$C$69="Assumed",NetMW*AnnualHours*'PPA Assumptions &amp;Summary'!L6/12,0),0)</f>
        <v>0</v>
      </c>
      <c r="M25" s="499" t="n">
        <f aca="false">IF(M3&lt;=ProjectLife,IF('Project Assumptions'!$C$69="Assumed",NetMW*AnnualHours*'PPA Assumptions &amp;Summary'!M6/12,0),0)</f>
        <v>0</v>
      </c>
      <c r="N25" s="499" t="n">
        <f aca="false">IF(N3&lt;=ProjectLife,IF('Project Assumptions'!$C$69="Assumed",NetMW*AnnualHours*'PPA Assumptions &amp;Summary'!N6/12,0),0)</f>
        <v>0</v>
      </c>
      <c r="O25" s="499" t="n">
        <f aca="false">IF(O3&lt;=ProjectLife,IF('Project Assumptions'!$C$69="Assumed",NetMW*AnnualHours*'PPA Assumptions &amp;Summary'!O6/12,0),0)</f>
        <v>0</v>
      </c>
      <c r="P25" s="499" t="n">
        <f aca="false">IF(P3&lt;=ProjectLife,IF('Project Assumptions'!$C$69="Assumed",NetMW*AnnualHours*'PPA Assumptions &amp;Summary'!P6/12,0),0)</f>
        <v>0</v>
      </c>
      <c r="Q25" s="499" t="n">
        <f aca="false">IF(Q3&lt;=ProjectLife,IF('Project Assumptions'!$C$69="Assumed",NetMW*AnnualHours*'PPA Assumptions &amp;Summary'!Q6/12,0),0)</f>
        <v>0</v>
      </c>
      <c r="R25" s="499" t="n">
        <f aca="false">IF(R3&lt;=ProjectLife,IF('Project Assumptions'!$C$69="Assumed",NetMW*AnnualHours*'PPA Assumptions &amp;Summary'!R6/12,0),0)</f>
        <v>0</v>
      </c>
      <c r="S25" s="499" t="n">
        <f aca="false">IF(S3&lt;=ProjectLife,IF('Project Assumptions'!$C$69="Assumed",NetMW*AnnualHours*'PPA Assumptions &amp;Summary'!S6/12,0),0)</f>
        <v>0</v>
      </c>
      <c r="T25" s="499" t="n">
        <f aca="false">IF(T3&lt;=ProjectLife,IF('Project Assumptions'!$C$69="Assumed",NetMW*AnnualHours*'PPA Assumptions &amp;Summary'!T6/12,0),0)</f>
        <v>0</v>
      </c>
      <c r="U25" s="499" t="n">
        <f aca="false">IF(U3&lt;=ProjectLife,IF('Project Assumptions'!$C$69="Assumed",NetMW*AnnualHours*'PPA Assumptions &amp;Summary'!U6/12,0),0)</f>
        <v>0</v>
      </c>
      <c r="V25" s="499" t="n">
        <f aca="false">IF(V3&lt;=ProjectLife,IF('Project Assumptions'!$C$69="Assumed",NetMW*AnnualHours*'PPA Assumptions &amp;Summary'!V6/12,0),0)</f>
        <v>0</v>
      </c>
      <c r="W25" s="500" t="n">
        <f aca="false">IF(W3&lt;=ProjectLife,IF('Project Assumptions'!$C$69="Assumed",NetMW*AnnualHours*'PPA Assumptions &amp;Summary'!W6/12,0),0)</f>
        <v>0</v>
      </c>
      <c r="X25" s="501"/>
      <c r="Y25" s="501"/>
      <c r="Z25" s="501"/>
      <c r="AA25" s="501"/>
      <c r="AB25" s="1"/>
      <c r="AC25" s="1"/>
      <c r="AD25" s="1"/>
      <c r="AE25" s="1"/>
      <c r="AF25" s="1"/>
      <c r="AG25" s="1"/>
    </row>
    <row r="26" customFormat="false" ht="12.6" hidden="false" customHeight="true" outlineLevel="0" collapsed="false">
      <c r="A26" s="410" t="s">
        <v>415</v>
      </c>
      <c r="B26" s="385"/>
      <c r="C26" s="502" t="n">
        <f aca="false">IF(C3&gt;'Project Assumptions'!$I$15,0,C25/C30)</f>
        <v>1</v>
      </c>
      <c r="D26" s="502" t="n">
        <f aca="false">IF(D3&gt;'Project Assumptions'!$I$15,0,D25/D30)</f>
        <v>1</v>
      </c>
      <c r="E26" s="502" t="n">
        <f aca="false">IF(E3&gt;'Project Assumptions'!$I$15,0,E25/E30)</f>
        <v>1</v>
      </c>
      <c r="F26" s="502" t="n">
        <f aca="false">IF(F3&gt;'Project Assumptions'!$I$15,0,F25/F30)</f>
        <v>0.407819951297822</v>
      </c>
      <c r="G26" s="502" t="n">
        <f aca="false">IF(G3&gt;'Project Assumptions'!$I$15,0,G25/G30)</f>
        <v>0</v>
      </c>
      <c r="H26" s="502" t="n">
        <f aca="false">IF(H3&gt;'Project Assumptions'!$I$15,0,H25/H30)</f>
        <v>0</v>
      </c>
      <c r="I26" s="502" t="n">
        <f aca="false">IF(I3&gt;'Project Assumptions'!$I$15,0,I25/I30)</f>
        <v>0</v>
      </c>
      <c r="J26" s="502" t="n">
        <f aca="false">IF(J3&gt;'Project Assumptions'!$I$15,0,J25/J30)</f>
        <v>0</v>
      </c>
      <c r="K26" s="502" t="n">
        <f aca="false">IF(K3&gt;'Project Assumptions'!$I$15,0,K25/K30)</f>
        <v>0</v>
      </c>
      <c r="L26" s="502" t="n">
        <f aca="false">IF(L3&gt;'Project Assumptions'!$I$15,0,L25/L30)</f>
        <v>0</v>
      </c>
      <c r="M26" s="502" t="n">
        <f aca="false">IF(M3&gt;'Project Assumptions'!$I$15,0,M25/M30)</f>
        <v>0</v>
      </c>
      <c r="N26" s="502" t="n">
        <f aca="false">IF(N3&gt;'Project Assumptions'!$I$15,0,N25/N30)</f>
        <v>0</v>
      </c>
      <c r="O26" s="502" t="n">
        <f aca="false">IF(O3&gt;'Project Assumptions'!$I$15,0,O25/O30)</f>
        <v>0</v>
      </c>
      <c r="P26" s="502" t="n">
        <f aca="false">IF(P3&gt;'Project Assumptions'!$I$15,0,P25/P30)</f>
        <v>0</v>
      </c>
      <c r="Q26" s="502" t="n">
        <f aca="false">IF(Q3&gt;'Project Assumptions'!$I$15,0,Q25/Q30)</f>
        <v>0</v>
      </c>
      <c r="R26" s="502" t="n">
        <f aca="false">IF(R3&gt;'Project Assumptions'!$I$15,0,R25/R30)</f>
        <v>0</v>
      </c>
      <c r="S26" s="502" t="n">
        <f aca="false">IF(S3&gt;'Project Assumptions'!$I$15,0,S25/S30)</f>
        <v>0</v>
      </c>
      <c r="T26" s="502" t="n">
        <f aca="false">IF(T3&gt;'Project Assumptions'!$I$15,0,T25/T30)</f>
        <v>0</v>
      </c>
      <c r="U26" s="502" t="n">
        <f aca="false">IF(U3&gt;'Project Assumptions'!$I$15,0,U25/U30)</f>
        <v>0</v>
      </c>
      <c r="V26" s="502" t="n">
        <f aca="false">IF(V3&gt;'Project Assumptions'!$I$15,0,V25/V30)</f>
        <v>0</v>
      </c>
      <c r="W26" s="503" t="n">
        <f aca="false">IF(W3&gt;'Project Assumptions'!$I$15+1,0,W25/W30)</f>
        <v>0</v>
      </c>
      <c r="X26" s="502"/>
      <c r="Y26" s="502"/>
      <c r="Z26" s="502"/>
      <c r="AA26" s="502"/>
      <c r="AB26" s="1"/>
      <c r="AC26" s="1"/>
      <c r="AD26" s="1"/>
      <c r="AE26" s="1"/>
      <c r="AF26" s="1"/>
      <c r="AG26" s="1"/>
    </row>
    <row r="27" customFormat="false" ht="12.6" hidden="false" customHeight="true" outlineLevel="0" collapsed="false">
      <c r="A27" s="410" t="s">
        <v>416</v>
      </c>
      <c r="B27" s="385"/>
      <c r="C27" s="449" t="n">
        <f aca="false">IF(C3&gt;'Project Assumptions'!$I$15,0,IF('Project Assumptions'!$C$69="Assumed",C22,0))</f>
        <v>0</v>
      </c>
      <c r="D27" s="449" t="n">
        <f aca="false">IF(D3&gt;'Project Assumptions'!$I$15,0,IF('Project Assumptions'!$C$69="Assumed",D22,0))</f>
        <v>0</v>
      </c>
      <c r="E27" s="449" t="n">
        <f aca="false">IF(E3&gt;'Project Assumptions'!$I$15,0,IF('Project Assumptions'!$C$69="Assumed",E22,0))</f>
        <v>0</v>
      </c>
      <c r="F27" s="449" t="n">
        <f aca="false">IF(F3&gt;'Project Assumptions'!$I$15,0,IF('Project Assumptions'!$C$69="Assumed",F22,0))</f>
        <v>370275.931666667</v>
      </c>
      <c r="G27" s="449" t="n">
        <f aca="false">IF(G3&gt;'Project Assumptions'!$I$15,0,IF('Project Assumptions'!$C$69="Assumed",G22,0))</f>
        <v>629512.8</v>
      </c>
      <c r="H27" s="449" t="n">
        <f aca="false">IF(H3&gt;'Project Assumptions'!$I$15,0,IF('Project Assumptions'!$C$69="Assumed",H22,0))</f>
        <v>629512.8</v>
      </c>
      <c r="I27" s="449" t="n">
        <f aca="false">IF(I3&gt;'Project Assumptions'!$I$15,0,IF('Project Assumptions'!$C$69="Assumed",I22,0))</f>
        <v>629512.8</v>
      </c>
      <c r="J27" s="449" t="n">
        <f aca="false">IF(J3&gt;'Project Assumptions'!$I$15,0,IF('Project Assumptions'!$C$69="Assumed",J22,0))</f>
        <v>629512.8</v>
      </c>
      <c r="K27" s="449" t="n">
        <f aca="false">IF(K3&gt;'Project Assumptions'!$I$15,0,IF('Project Assumptions'!$C$69="Assumed",K22,0))</f>
        <v>629512.8</v>
      </c>
      <c r="L27" s="449" t="n">
        <f aca="false">IF(L3&gt;'Project Assumptions'!$I$15,0,IF('Project Assumptions'!$C$69="Assumed",L22,0))</f>
        <v>629512.8</v>
      </c>
      <c r="M27" s="449" t="n">
        <f aca="false">IF(M3&gt;'Project Assumptions'!$I$15,0,IF('Project Assumptions'!$C$69="Assumed",M22,0))</f>
        <v>629512.8</v>
      </c>
      <c r="N27" s="449" t="n">
        <f aca="false">IF(N3&gt;'Project Assumptions'!$I$15,0,IF('Project Assumptions'!$C$69="Assumed",N22,0))</f>
        <v>629512.8</v>
      </c>
      <c r="O27" s="449" t="n">
        <f aca="false">IF(O3&gt;'Project Assumptions'!$I$15,0,IF('Project Assumptions'!$C$69="Assumed",O22,0))</f>
        <v>629512.8</v>
      </c>
      <c r="P27" s="449" t="n">
        <f aca="false">IF(P3&gt;'Project Assumptions'!$I$15,0,IF('Project Assumptions'!$C$69="Assumed",P22,0))</f>
        <v>629512.8</v>
      </c>
      <c r="Q27" s="449" t="n">
        <f aca="false">IF(Q3&gt;'Project Assumptions'!$I$15,0,IF('Project Assumptions'!$C$69="Assumed",Q22,0))</f>
        <v>629512.8</v>
      </c>
      <c r="R27" s="449" t="n">
        <f aca="false">IF(R3&gt;'Project Assumptions'!$I$15,0,IF('Project Assumptions'!$C$69="Assumed",R22,0))</f>
        <v>629512.8</v>
      </c>
      <c r="S27" s="449" t="n">
        <f aca="false">IF(S3&gt;'Project Assumptions'!$I$15,0,IF('Project Assumptions'!$C$69="Assumed",S22,0))</f>
        <v>629512.8</v>
      </c>
      <c r="T27" s="449" t="n">
        <f aca="false">IF(T3&gt;'Project Assumptions'!$I$15,0,IF('Project Assumptions'!$C$69="Assumed",T22,0))</f>
        <v>629512.8</v>
      </c>
      <c r="U27" s="449" t="n">
        <f aca="false">IF(U3&gt;'Project Assumptions'!$I$15,0,IF('Project Assumptions'!$C$69="Assumed",U22,0))</f>
        <v>629512.8</v>
      </c>
      <c r="V27" s="449" t="n">
        <f aca="false">IF(V3&gt;'Project Assumptions'!$I$15,0,IF('Project Assumptions'!$C$69="Assumed",V22,0))</f>
        <v>629512.8</v>
      </c>
      <c r="W27" s="504" t="n">
        <f aca="false">IF(W3&gt;'Project Assumptions'!$I$15+1,0,IF('Project Assumptions'!$C$69="Assumed",W22,0))</f>
        <v>629512.8</v>
      </c>
      <c r="X27" s="505"/>
      <c r="Y27" s="505"/>
      <c r="Z27" s="505"/>
      <c r="AA27" s="505"/>
      <c r="AB27" s="1"/>
      <c r="AC27" s="1"/>
      <c r="AD27" s="1"/>
      <c r="AE27" s="1"/>
      <c r="AF27" s="1"/>
      <c r="AG27" s="1"/>
    </row>
    <row r="28" customFormat="false" ht="12.6" hidden="false" customHeight="true" outlineLevel="0" collapsed="false">
      <c r="A28" s="410" t="s">
        <v>415</v>
      </c>
      <c r="B28" s="385"/>
      <c r="C28" s="506" t="n">
        <f aca="false">IF(C3&gt;'Project Assumptions'!$I$15,0,C27/C30)</f>
        <v>0</v>
      </c>
      <c r="D28" s="506" t="n">
        <f aca="false">IF(D3&gt;'Project Assumptions'!$I$15,0,D27/D30)</f>
        <v>0</v>
      </c>
      <c r="E28" s="506" t="n">
        <f aca="false">IF(E3&gt;'Project Assumptions'!$I$15,0,E27/E30)</f>
        <v>0</v>
      </c>
      <c r="F28" s="506" t="n">
        <f aca="false">IF(F3&gt;'Project Assumptions'!$I$15,0,F27/F30)</f>
        <v>0.592180048702178</v>
      </c>
      <c r="G28" s="506" t="n">
        <f aca="false">IF(G3&gt;'Project Assumptions'!$I$15,0,G27/G30)</f>
        <v>1</v>
      </c>
      <c r="H28" s="506" t="n">
        <f aca="false">IF(H3&gt;'Project Assumptions'!$I$15,0,H27/H30)</f>
        <v>1</v>
      </c>
      <c r="I28" s="506" t="n">
        <f aca="false">IF(I3&gt;'Project Assumptions'!$I$15,0,I27/I30)</f>
        <v>1</v>
      </c>
      <c r="J28" s="506" t="n">
        <f aca="false">IF(J3&gt;'Project Assumptions'!$I$15,0,J27/J30)</f>
        <v>1</v>
      </c>
      <c r="K28" s="506" t="n">
        <f aca="false">IF(K3&gt;'Project Assumptions'!$I$15,0,K27/K30)</f>
        <v>1</v>
      </c>
      <c r="L28" s="506" t="n">
        <f aca="false">IF(L3&gt;'Project Assumptions'!$I$15,0,L27/L30)</f>
        <v>1</v>
      </c>
      <c r="M28" s="506" t="n">
        <f aca="false">IF(M3&gt;'Project Assumptions'!$I$15,0,M27/M30)</f>
        <v>1</v>
      </c>
      <c r="N28" s="506" t="n">
        <f aca="false">IF(N3&gt;'Project Assumptions'!$I$15,0,N27/N30)</f>
        <v>1</v>
      </c>
      <c r="O28" s="506" t="n">
        <f aca="false">IF(O3&gt;'Project Assumptions'!$I$15,0,O27/O30)</f>
        <v>1</v>
      </c>
      <c r="P28" s="506" t="n">
        <f aca="false">IF(P3&gt;'Project Assumptions'!$I$15,0,P27/P30)</f>
        <v>1</v>
      </c>
      <c r="Q28" s="506" t="n">
        <f aca="false">IF(Q3&gt;'Project Assumptions'!$I$15,0,Q27/Q30)</f>
        <v>1</v>
      </c>
      <c r="R28" s="506" t="n">
        <f aca="false">IF(R3&gt;'Project Assumptions'!$I$15,0,R27/R30)</f>
        <v>1</v>
      </c>
      <c r="S28" s="506" t="n">
        <f aca="false">IF(S3&gt;'Project Assumptions'!$I$15,0,S27/S30)</f>
        <v>1</v>
      </c>
      <c r="T28" s="506" t="n">
        <f aca="false">IF(T3&gt;'Project Assumptions'!$I$15,0,T27/T30)</f>
        <v>1</v>
      </c>
      <c r="U28" s="506" t="n">
        <f aca="false">IF(U3&gt;'Project Assumptions'!$I$15,0,U27/U30)</f>
        <v>1</v>
      </c>
      <c r="V28" s="506" t="n">
        <f aca="false">IF(V3&gt;'Project Assumptions'!$I$15,0,V27/V30)</f>
        <v>1</v>
      </c>
      <c r="W28" s="507" t="n">
        <f aca="false">IF(W3&gt;'Project Assumptions'!$I$15+1,0,W27/W30)</f>
        <v>1</v>
      </c>
      <c r="X28" s="506"/>
      <c r="Y28" s="506"/>
      <c r="Z28" s="506"/>
      <c r="AA28" s="506"/>
      <c r="AB28" s="1"/>
      <c r="AC28" s="1"/>
      <c r="AD28" s="1"/>
      <c r="AE28" s="1"/>
      <c r="AF28" s="1"/>
      <c r="AG28" s="1"/>
    </row>
    <row r="29" customFormat="false" ht="12.6" hidden="false" customHeight="true" outlineLevel="0" collapsed="false">
      <c r="A29" s="416"/>
      <c r="B29" s="480"/>
      <c r="C29" s="442"/>
      <c r="D29" s="442"/>
      <c r="E29" s="442"/>
      <c r="F29" s="442"/>
      <c r="G29" s="442"/>
      <c r="H29" s="442"/>
      <c r="I29" s="442"/>
      <c r="J29" s="442"/>
      <c r="K29" s="442"/>
      <c r="L29" s="442"/>
      <c r="M29" s="442"/>
      <c r="N29" s="442"/>
      <c r="O29" s="442"/>
      <c r="P29" s="442"/>
      <c r="Q29" s="442"/>
      <c r="R29" s="442"/>
      <c r="S29" s="442"/>
      <c r="T29" s="442"/>
      <c r="U29" s="442"/>
      <c r="V29" s="442"/>
      <c r="W29" s="508"/>
      <c r="X29" s="442"/>
      <c r="Y29" s="442"/>
      <c r="Z29" s="442"/>
      <c r="AA29" s="442"/>
      <c r="AB29" s="480"/>
      <c r="AC29" s="480"/>
      <c r="AD29" s="480"/>
      <c r="AE29" s="480"/>
      <c r="AF29" s="480"/>
      <c r="AG29" s="480"/>
    </row>
    <row r="30" customFormat="false" ht="12.6" hidden="false" customHeight="true" outlineLevel="0" collapsed="false">
      <c r="A30" s="410" t="s">
        <v>417</v>
      </c>
      <c r="B30" s="385"/>
      <c r="C30" s="449" t="n">
        <f aca="false">IF(C3&gt;'Project Assumptions'!$I$15,0,IF('Project Assumptions'!$C$69="Assumed",C25+C27,C25+C27))</f>
        <v>612000</v>
      </c>
      <c r="D30" s="449" t="n">
        <f aca="false">IF(D3&gt;'Project Assumptions'!$I$15,0,IF('Project Assumptions'!$C$69="Assumed",D25+D27,D25+D27))</f>
        <v>612000</v>
      </c>
      <c r="E30" s="449" t="n">
        <f aca="false">IF(E3&gt;'Project Assumptions'!$I$15,0,IF('Project Assumptions'!$C$69="Assumed",E25+E27,E25+E27))</f>
        <v>612000</v>
      </c>
      <c r="F30" s="449" t="n">
        <f aca="false">IF(F3&gt;'Project Assumptions'!$I$15,0,IF('Project Assumptions'!$C$69="Assumed",F25+F27,F25+F27))</f>
        <v>625275.931666667</v>
      </c>
      <c r="G30" s="449" t="n">
        <f aca="false">IF(G3&gt;'Project Assumptions'!$I$15,0,IF('Project Assumptions'!$C$69="Assumed",G25+G27,G25+G27))</f>
        <v>629512.8</v>
      </c>
      <c r="H30" s="449" t="n">
        <f aca="false">IF(H3&gt;'Project Assumptions'!$I$15,0,IF('Project Assumptions'!$C$69="Assumed",H25+H27,H25+H27))</f>
        <v>629512.8</v>
      </c>
      <c r="I30" s="449" t="n">
        <f aca="false">IF(I3&gt;'Project Assumptions'!$I$15,0,IF('Project Assumptions'!$C$69="Assumed",I25+I27,I25+I27))</f>
        <v>629512.8</v>
      </c>
      <c r="J30" s="449" t="n">
        <f aca="false">IF(J3&gt;'Project Assumptions'!$I$15,0,IF('Project Assumptions'!$C$69="Assumed",J25+J27,J25+J27))</f>
        <v>629512.8</v>
      </c>
      <c r="K30" s="449" t="n">
        <f aca="false">IF(K3&gt;'Project Assumptions'!$I$15,0,IF('Project Assumptions'!$C$69="Assumed",K25+K27,K25+K27))</f>
        <v>629512.8</v>
      </c>
      <c r="L30" s="449" t="n">
        <f aca="false">IF(L3&gt;'Project Assumptions'!$I$15,0,IF('Project Assumptions'!$C$69="Assumed",L25+L27,L25+L27))</f>
        <v>629512.8</v>
      </c>
      <c r="M30" s="449" t="n">
        <f aca="false">IF(M3&gt;'Project Assumptions'!$I$15,0,IF('Project Assumptions'!$C$69="Assumed",M25+M27,M25+M27))</f>
        <v>629512.8</v>
      </c>
      <c r="N30" s="449" t="n">
        <f aca="false">IF(N3&gt;'Project Assumptions'!$I$15,0,IF('Project Assumptions'!$C$69="Assumed",N25+N27,N25+N27))</f>
        <v>629512.8</v>
      </c>
      <c r="O30" s="449" t="n">
        <f aca="false">IF(O3&gt;'Project Assumptions'!$I$15,0,IF('Project Assumptions'!$C$69="Assumed",O25+O27,O25+O27))</f>
        <v>629512.8</v>
      </c>
      <c r="P30" s="449" t="n">
        <f aca="false">IF(P3&gt;'Project Assumptions'!$I$15,0,IF('Project Assumptions'!$C$69="Assumed",P25+P27,P25+P27))</f>
        <v>629512.8</v>
      </c>
      <c r="Q30" s="449" t="n">
        <f aca="false">IF(Q3&gt;'Project Assumptions'!$I$15,0,IF('Project Assumptions'!$C$69="Assumed",Q25+Q27,Q25+Q27))</f>
        <v>629512.8</v>
      </c>
      <c r="R30" s="449" t="n">
        <f aca="false">IF(R3&gt;'Project Assumptions'!$I$15,0,IF('Project Assumptions'!$C$69="Assumed",R25+R27,R25+R27))</f>
        <v>629512.8</v>
      </c>
      <c r="S30" s="449" t="n">
        <f aca="false">IF(S3&gt;'Project Assumptions'!$I$15,0,IF('Project Assumptions'!$C$69="Assumed",S25+S27,S25+S27))</f>
        <v>629512.8</v>
      </c>
      <c r="T30" s="449" t="n">
        <f aca="false">IF(T3&gt;'Project Assumptions'!$I$15,0,IF('Project Assumptions'!$C$69="Assumed",T25+T27,T25+T27))</f>
        <v>629512.8</v>
      </c>
      <c r="U30" s="449" t="n">
        <f aca="false">IF(U3&gt;'Project Assumptions'!$I$15,0,IF('Project Assumptions'!$C$69="Assumed",U25+U27,U25+U27))</f>
        <v>629512.8</v>
      </c>
      <c r="V30" s="449" t="n">
        <f aca="false">IF(V3&gt;'Project Assumptions'!$I$15,0,IF('Project Assumptions'!$C$69="Assumed",V25+V27,V25+V27))</f>
        <v>629512.8</v>
      </c>
      <c r="W30" s="504" t="n">
        <f aca="false">IF(W3&gt;'Project Assumptions'!$I$15+1,0,IF('Project Assumptions'!$C$69="Assumed",W25+W27,W25+W27))</f>
        <v>629512.8</v>
      </c>
      <c r="X30" s="505"/>
      <c r="Y30" s="505"/>
      <c r="Z30" s="505"/>
      <c r="AA30" s="505"/>
      <c r="AB30" s="1"/>
      <c r="AC30" s="1"/>
      <c r="AD30" s="1"/>
      <c r="AE30" s="1"/>
      <c r="AF30" s="1"/>
      <c r="AG30" s="1"/>
    </row>
    <row r="31" customFormat="false" ht="12.6" hidden="false" customHeight="true" outlineLevel="0" collapsed="false">
      <c r="A31" s="410" t="s">
        <v>418</v>
      </c>
      <c r="B31" s="385"/>
      <c r="C31" s="502" t="n">
        <f aca="false">IF(C3&gt;'Project Assumptions'!$I$15,0,C26+C28)</f>
        <v>1</v>
      </c>
      <c r="D31" s="502" t="n">
        <f aca="false">IF(D3&gt;'Project Assumptions'!$I$15,0,D26+D28)</f>
        <v>1</v>
      </c>
      <c r="E31" s="502" t="n">
        <f aca="false">IF(E3&gt;'Project Assumptions'!$I$15,0,E26+E28)</f>
        <v>1</v>
      </c>
      <c r="F31" s="502" t="n">
        <f aca="false">IF(F3&gt;'Project Assumptions'!$I$15,0,F26+F28)</f>
        <v>1</v>
      </c>
      <c r="G31" s="502" t="n">
        <f aca="false">IF(G3&gt;'Project Assumptions'!$I$15,0,G26+G28)</f>
        <v>1</v>
      </c>
      <c r="H31" s="502" t="n">
        <f aca="false">IF(H3&gt;'Project Assumptions'!$I$15,0,H26+H28)</f>
        <v>1</v>
      </c>
      <c r="I31" s="502" t="n">
        <f aca="false">IF(I3&gt;'Project Assumptions'!$I$15,0,I26+I28)</f>
        <v>1</v>
      </c>
      <c r="J31" s="502" t="n">
        <f aca="false">IF(J3&gt;'Project Assumptions'!$I$15,0,J26+J28)</f>
        <v>1</v>
      </c>
      <c r="K31" s="502" t="n">
        <f aca="false">IF(K3&gt;'Project Assumptions'!$I$15,0,K26+K28)</f>
        <v>1</v>
      </c>
      <c r="L31" s="502" t="n">
        <f aca="false">IF(L3&gt;'Project Assumptions'!$I$15,0,L26+L28)</f>
        <v>1</v>
      </c>
      <c r="M31" s="502" t="n">
        <f aca="false">IF(M3&gt;'Project Assumptions'!$I$15,0,M26+M28)</f>
        <v>1</v>
      </c>
      <c r="N31" s="502" t="n">
        <f aca="false">IF(N3&gt;'Project Assumptions'!$I$15,0,N26+N28)</f>
        <v>1</v>
      </c>
      <c r="O31" s="502" t="n">
        <f aca="false">IF(O3&gt;'Project Assumptions'!$I$15,0,O26+O28)</f>
        <v>1</v>
      </c>
      <c r="P31" s="502" t="n">
        <f aca="false">IF(P3&gt;'Project Assumptions'!$I$15,0,P26+P28)</f>
        <v>1</v>
      </c>
      <c r="Q31" s="502" t="n">
        <f aca="false">IF(Q3&gt;'Project Assumptions'!$I$15,0,Q26+Q28)</f>
        <v>1</v>
      </c>
      <c r="R31" s="502" t="n">
        <f aca="false">IF(R3&gt;'Project Assumptions'!$I$15,0,R26+R28)</f>
        <v>1</v>
      </c>
      <c r="S31" s="502" t="n">
        <f aca="false">IF(S3&gt;'Project Assumptions'!$I$15,0,S26+S28)</f>
        <v>1</v>
      </c>
      <c r="T31" s="502" t="n">
        <f aca="false">IF(T3&gt;'Project Assumptions'!$I$15,0,T26+T28)</f>
        <v>1</v>
      </c>
      <c r="U31" s="502" t="n">
        <f aca="false">IF(U3&gt;'Project Assumptions'!$I$15,0,U26+U28)</f>
        <v>1</v>
      </c>
      <c r="V31" s="502" t="n">
        <f aca="false">IF(V3&gt;'Project Assumptions'!$I$15,0,V26+V28)</f>
        <v>1</v>
      </c>
      <c r="W31" s="503" t="n">
        <f aca="false">IF(W3&gt;'Project Assumptions'!$I$15+1,0,W26+W28)</f>
        <v>1</v>
      </c>
      <c r="X31" s="502"/>
      <c r="Y31" s="502"/>
      <c r="Z31" s="502"/>
      <c r="AA31" s="502"/>
      <c r="AB31" s="1"/>
      <c r="AC31" s="1"/>
      <c r="AD31" s="1"/>
      <c r="AE31" s="1"/>
      <c r="AF31" s="1"/>
      <c r="AG31" s="1"/>
    </row>
    <row r="32" customFormat="false" ht="12.6" hidden="false" customHeight="true" outlineLevel="0" collapsed="false">
      <c r="A32" s="416" t="s">
        <v>419</v>
      </c>
      <c r="B32" s="480"/>
      <c r="C32" s="509" t="n">
        <f aca="false">IF(C3&gt;'Project Assumptions'!$I$15,0,'Project Assumptions'!$I$12*(1+C7))</f>
        <v>10904</v>
      </c>
      <c r="D32" s="509" t="n">
        <f aca="false">IF(D3&gt;'Project Assumptions'!$I$15,0,'Project Assumptions'!$I$12*(1+D7))</f>
        <v>10904</v>
      </c>
      <c r="E32" s="509" t="n">
        <f aca="false">IF(E3&gt;'Project Assumptions'!$I$15,0,'Project Assumptions'!$I$12*(1+E7))</f>
        <v>10904</v>
      </c>
      <c r="F32" s="509" t="n">
        <f aca="false">IF(F3&gt;'Project Assumptions'!$I$15,0,'Project Assumptions'!$I$12*(1+F7))</f>
        <v>10904</v>
      </c>
      <c r="G32" s="509" t="n">
        <f aca="false">IF(G3&gt;'Project Assumptions'!$I$15,0,'Project Assumptions'!$I$12*(1+G7))</f>
        <v>10904</v>
      </c>
      <c r="H32" s="509" t="n">
        <f aca="false">IF(H3&gt;'Project Assumptions'!$I$15,0,'Project Assumptions'!$I$12*(1+H7))</f>
        <v>10904</v>
      </c>
      <c r="I32" s="509" t="n">
        <f aca="false">IF(I3&gt;'Project Assumptions'!$I$15,0,'Project Assumptions'!$I$12*(1+I7))</f>
        <v>10904</v>
      </c>
      <c r="J32" s="509" t="n">
        <f aca="false">IF(J3&gt;'Project Assumptions'!$I$15,0,'Project Assumptions'!$I$12*(1+J7))</f>
        <v>10904</v>
      </c>
      <c r="K32" s="509" t="n">
        <f aca="false">IF(K3&gt;'Project Assumptions'!$I$15,0,'Project Assumptions'!$I$12*(1+K7))</f>
        <v>10904</v>
      </c>
      <c r="L32" s="509" t="n">
        <f aca="false">IF(L3&gt;'Project Assumptions'!$I$15,0,'Project Assumptions'!$I$12*(1+L7))</f>
        <v>10904</v>
      </c>
      <c r="M32" s="509" t="n">
        <f aca="false">IF(M3&gt;'Project Assumptions'!$I$15,0,'Project Assumptions'!$I$12*(1+M7))</f>
        <v>10904</v>
      </c>
      <c r="N32" s="509" t="n">
        <f aca="false">IF(N3&gt;'Project Assumptions'!$I$15,0,'Project Assumptions'!$I$12*(1+N7))</f>
        <v>10904</v>
      </c>
      <c r="O32" s="509" t="n">
        <f aca="false">IF(O3&gt;'Project Assumptions'!$I$15,0,'Project Assumptions'!$I$12*(1+O7))</f>
        <v>10904</v>
      </c>
      <c r="P32" s="509" t="n">
        <f aca="false">IF(P3&gt;'Project Assumptions'!$I$15,0,'Project Assumptions'!$I$12*(1+P7))</f>
        <v>10904</v>
      </c>
      <c r="Q32" s="509" t="n">
        <f aca="false">IF(Q3&gt;'Project Assumptions'!$I$15,0,'Project Assumptions'!$I$12*(1+Q7))</f>
        <v>10904</v>
      </c>
      <c r="R32" s="509" t="n">
        <f aca="false">IF(R3&gt;'Project Assumptions'!$I$15,0,'Project Assumptions'!$I$12*(1+R7))</f>
        <v>10904</v>
      </c>
      <c r="S32" s="509" t="n">
        <f aca="false">IF(S3&gt;'Project Assumptions'!$I$15,0,'Project Assumptions'!$I$12*(1+S7))</f>
        <v>10904</v>
      </c>
      <c r="T32" s="509" t="n">
        <f aca="false">IF(T3&gt;'Project Assumptions'!$I$15,0,'Project Assumptions'!$I$12*(1+T7))</f>
        <v>10904</v>
      </c>
      <c r="U32" s="509" t="n">
        <f aca="false">IF(U3&gt;'Project Assumptions'!$I$15,0,'Project Assumptions'!$I$12*(1+U7))</f>
        <v>10904</v>
      </c>
      <c r="V32" s="509" t="n">
        <f aca="false">IF(V3&gt;'Project Assumptions'!$I$15,0,'Project Assumptions'!$I$12*(1+V7))</f>
        <v>10904</v>
      </c>
      <c r="W32" s="510" t="n">
        <f aca="false">IF(W3&gt;'Project Assumptions'!$I$15+1,0,'Project Assumptions'!$I$12*(1+W7))</f>
        <v>10904</v>
      </c>
      <c r="X32" s="509"/>
      <c r="Y32" s="509"/>
      <c r="Z32" s="509"/>
      <c r="AA32" s="509"/>
      <c r="AB32" s="480"/>
      <c r="AC32" s="480"/>
      <c r="AD32" s="480"/>
      <c r="AE32" s="480"/>
      <c r="AF32" s="480"/>
      <c r="AG32" s="480"/>
    </row>
    <row r="33" customFormat="false" ht="12.6" hidden="false" customHeight="true" outlineLevel="0" collapsed="false">
      <c r="A33" s="416" t="s">
        <v>420</v>
      </c>
      <c r="B33" s="480"/>
      <c r="C33" s="442" t="n">
        <f aca="false">IF(C3&gt;'Project Assumptions'!$I$15,0,C32*C30/1000000)</f>
        <v>6673.248</v>
      </c>
      <c r="D33" s="442" t="n">
        <f aca="false">IF(D3&gt;'Project Assumptions'!$I$15,0,D32*D30/1000000)</f>
        <v>6673.248</v>
      </c>
      <c r="E33" s="442" t="n">
        <f aca="false">IF(E3&gt;'Project Assumptions'!$I$15,0,E32*E30/1000000)</f>
        <v>6673.248</v>
      </c>
      <c r="F33" s="442" t="n">
        <f aca="false">IF(F3&gt;'Project Assumptions'!$I$15,0,F32*F30/1000000)</f>
        <v>6818.00875889333</v>
      </c>
      <c r="G33" s="442" t="n">
        <f aca="false">IF(G3&gt;'Project Assumptions'!$I$15,0,G32*G30/1000000)</f>
        <v>6864.2075712</v>
      </c>
      <c r="H33" s="442" t="n">
        <f aca="false">IF(H3&gt;'Project Assumptions'!$I$15,0,H32*H30/1000000)</f>
        <v>6864.2075712</v>
      </c>
      <c r="I33" s="442" t="n">
        <f aca="false">IF(I3&gt;'Project Assumptions'!$I$15,0,I32*I30/1000000)</f>
        <v>6864.2075712</v>
      </c>
      <c r="J33" s="442" t="n">
        <f aca="false">IF(J3&gt;'Project Assumptions'!$I$15,0,J32*J30/1000000)</f>
        <v>6864.2075712</v>
      </c>
      <c r="K33" s="442" t="n">
        <f aca="false">IF(K3&gt;'Project Assumptions'!$I$15,0,K32*K30/1000000)</f>
        <v>6864.2075712</v>
      </c>
      <c r="L33" s="442" t="n">
        <f aca="false">IF(L3&gt;'Project Assumptions'!$I$15,0,L32*L30/1000000)</f>
        <v>6864.2075712</v>
      </c>
      <c r="M33" s="442" t="n">
        <f aca="false">IF(M3&gt;'Project Assumptions'!$I$15,0,M32*M30/1000000)</f>
        <v>6864.2075712</v>
      </c>
      <c r="N33" s="442" t="n">
        <f aca="false">IF(N3&gt;'Project Assumptions'!$I$15,0,N32*N30/1000000)</f>
        <v>6864.2075712</v>
      </c>
      <c r="O33" s="442" t="n">
        <f aca="false">IF(O3&gt;'Project Assumptions'!$I$15,0,O32*O30/1000000)</f>
        <v>6864.2075712</v>
      </c>
      <c r="P33" s="442" t="n">
        <f aca="false">IF(P3&gt;'Project Assumptions'!$I$15,0,P32*P30/1000000)</f>
        <v>6864.2075712</v>
      </c>
      <c r="Q33" s="442" t="n">
        <f aca="false">IF(Q3&gt;'Project Assumptions'!$I$15,0,Q32*Q30/1000000)</f>
        <v>6864.2075712</v>
      </c>
      <c r="R33" s="442" t="n">
        <f aca="false">IF(R3&gt;'Project Assumptions'!$I$15,0,R32*R30/1000000)</f>
        <v>6864.2075712</v>
      </c>
      <c r="S33" s="442" t="n">
        <f aca="false">IF(S3&gt;'Project Assumptions'!$I$15,0,S32*S30/1000000)</f>
        <v>6864.2075712</v>
      </c>
      <c r="T33" s="442" t="n">
        <f aca="false">IF(T3&gt;'Project Assumptions'!$I$15,0,T32*T30/1000000)</f>
        <v>6864.2075712</v>
      </c>
      <c r="U33" s="442" t="n">
        <f aca="false">IF(U3&gt;'Project Assumptions'!$I$15,0,U32*U30/1000000)</f>
        <v>6864.2075712</v>
      </c>
      <c r="V33" s="442" t="n">
        <f aca="false">IF(V3&gt;'Project Assumptions'!$I$15,0,V32*V30/1000000)</f>
        <v>6864.2075712</v>
      </c>
      <c r="W33" s="508" t="n">
        <f aca="false">IF(W3&gt;'Project Assumptions'!$I$15+1,0,W32*W30/1000000)</f>
        <v>6864.2075712</v>
      </c>
      <c r="X33" s="442"/>
      <c r="Y33" s="442"/>
      <c r="Z33" s="442"/>
      <c r="AA33" s="442"/>
      <c r="AB33" s="480"/>
      <c r="AC33" s="480"/>
      <c r="AD33" s="480"/>
      <c r="AE33" s="480"/>
      <c r="AF33" s="480"/>
      <c r="AG33" s="480"/>
    </row>
    <row r="34" customFormat="false" ht="12.6" hidden="false" customHeight="true" outlineLevel="0" collapsed="false">
      <c r="A34" s="416"/>
      <c r="B34" s="480"/>
      <c r="C34" s="417"/>
      <c r="D34" s="417"/>
      <c r="E34" s="417"/>
      <c r="F34" s="417"/>
      <c r="G34" s="417"/>
      <c r="H34" s="417"/>
      <c r="I34" s="417"/>
      <c r="J34" s="417"/>
      <c r="K34" s="417"/>
      <c r="L34" s="417"/>
      <c r="M34" s="417"/>
      <c r="N34" s="417"/>
      <c r="O34" s="417"/>
      <c r="P34" s="417"/>
      <c r="Q34" s="417"/>
      <c r="R34" s="417"/>
      <c r="S34" s="417"/>
      <c r="T34" s="417"/>
      <c r="U34" s="417"/>
      <c r="V34" s="417"/>
      <c r="W34" s="488"/>
      <c r="X34" s="417"/>
      <c r="Y34" s="417"/>
      <c r="Z34" s="417"/>
      <c r="AA34" s="417"/>
      <c r="AB34" s="417"/>
      <c r="AC34" s="480"/>
      <c r="AD34" s="480"/>
      <c r="AE34" s="480"/>
      <c r="AF34" s="480"/>
      <c r="AG34" s="480"/>
    </row>
    <row r="35" customFormat="false" ht="12.6" hidden="false" customHeight="true" outlineLevel="0" collapsed="false">
      <c r="A35" s="416" t="s">
        <v>421</v>
      </c>
      <c r="B35" s="480"/>
      <c r="C35" s="30" t="n">
        <f aca="false">IF(C3&gt;'Project Assumptions'!$I$15,0,IF(AND('Project Assumptions'!$C$70="No",Operations!C3&gt;ProjectLife),0,Operations!C$44*C33))</f>
        <v>16683.12</v>
      </c>
      <c r="D35" s="30" t="n">
        <f aca="false">IF(D3&gt;'Project Assumptions'!$I$15,0,IF(AND('Project Assumptions'!$C$70="No",Operations!D3&gt;ProjectLife),0,Operations!D$44*D33))</f>
        <v>16683.12</v>
      </c>
      <c r="E35" s="30" t="n">
        <f aca="false">IF(E3&gt;'Project Assumptions'!$I$15,0,IF(AND('Project Assumptions'!$C$70="No",Operations!E3&gt;ProjectLife),0,Operations!E$44*E33))</f>
        <v>16683.12</v>
      </c>
      <c r="F35" s="30" t="n">
        <f aca="false">IF(F3&gt;'Project Assumptions'!$I$15,0,IF(AND('Project Assumptions'!$C$70="No",Operations!F3&gt;ProjectLife),0,Operations!F$44*F33))</f>
        <v>17045.0218972333</v>
      </c>
      <c r="G35" s="30" t="n">
        <f aca="false">IF(G3&gt;'Project Assumptions'!$I$15,0,IF(AND('Project Assumptions'!$C$70="No",Operations!G3&gt;ProjectLife),0,Operations!G$44*G33))</f>
        <v>17160.518928</v>
      </c>
      <c r="H35" s="30" t="n">
        <f aca="false">IF(H3&gt;'Project Assumptions'!$I$15,0,IF(AND('Project Assumptions'!$C$70="No",Operations!H3&gt;ProjectLife),0,Operations!H$44*H33))</f>
        <v>17160.518928</v>
      </c>
      <c r="I35" s="30" t="n">
        <f aca="false">IF(I3&gt;'Project Assumptions'!$I$15,0,IF(AND('Project Assumptions'!$C$70="No",Operations!I3&gt;ProjectLife),0,Operations!I$44*I33))</f>
        <v>17160.518928</v>
      </c>
      <c r="J35" s="30" t="n">
        <f aca="false">IF(J3&gt;'Project Assumptions'!$I$15,0,IF(AND('Project Assumptions'!$C$70="No",Operations!J3&gt;ProjectLife),0,Operations!J$44*J33))</f>
        <v>17160.518928</v>
      </c>
      <c r="K35" s="30" t="n">
        <f aca="false">IF(K3&gt;'Project Assumptions'!$I$15,0,IF(AND('Project Assumptions'!$C$70="No",Operations!K3&gt;ProjectLife),0,Operations!K$44*K33))</f>
        <v>17160.518928</v>
      </c>
      <c r="L35" s="30" t="n">
        <f aca="false">IF(L3&gt;'Project Assumptions'!$I$15,0,IF(AND('Project Assumptions'!$C$70="No",Operations!L3&gt;ProjectLife),0,Operations!L$44*L33))</f>
        <v>17160.518928</v>
      </c>
      <c r="M35" s="30" t="n">
        <f aca="false">IF(M3&gt;'Project Assumptions'!$I$15,0,IF(AND('Project Assumptions'!$C$70="No",Operations!M3&gt;ProjectLife),0,Operations!M$44*M33))</f>
        <v>17160.518928</v>
      </c>
      <c r="N35" s="30" t="n">
        <f aca="false">IF(N3&gt;'Project Assumptions'!$I$15,0,IF(AND('Project Assumptions'!$C$70="No",Operations!N3&gt;ProjectLife),0,Operations!N$44*N33))</f>
        <v>17160.518928</v>
      </c>
      <c r="O35" s="30" t="n">
        <f aca="false">IF(O3&gt;'Project Assumptions'!$I$15,0,IF(AND('Project Assumptions'!$C$70="No",Operations!O3&gt;ProjectLife),0,Operations!O$44*O33))</f>
        <v>17160.518928</v>
      </c>
      <c r="P35" s="30" t="n">
        <f aca="false">IF(P3&gt;'Project Assumptions'!$I$15,0,IF(AND('Project Assumptions'!$C$70="No",Operations!P3&gt;ProjectLife),0,Operations!P$44*P33))</f>
        <v>17160.518928</v>
      </c>
      <c r="Q35" s="30" t="n">
        <f aca="false">IF(Q3&gt;'Project Assumptions'!$I$15,0,IF(AND('Project Assumptions'!$C$70="No",Operations!Q3&gt;ProjectLife),0,Operations!Q$44*Q33))</f>
        <v>17160.518928</v>
      </c>
      <c r="R35" s="30" t="n">
        <f aca="false">IF(R3&gt;'Project Assumptions'!$I$15,0,IF(AND('Project Assumptions'!$C$70="No",Operations!R3&gt;ProjectLife),0,Operations!R$44*R33))</f>
        <v>17160.518928</v>
      </c>
      <c r="S35" s="30" t="n">
        <f aca="false">IF(S3&gt;'Project Assumptions'!$I$15,0,IF(AND('Project Assumptions'!$C$70="No",Operations!S3&gt;ProjectLife),0,Operations!S$44*S33))</f>
        <v>17160.518928</v>
      </c>
      <c r="T35" s="30" t="n">
        <f aca="false">IF(T3&gt;'Project Assumptions'!$I$15,0,IF(AND('Project Assumptions'!$C$70="No",Operations!T3&gt;ProjectLife),0,Operations!T$44*T33))</f>
        <v>17160.518928</v>
      </c>
      <c r="U35" s="30" t="n">
        <f aca="false">IF(U3&gt;'Project Assumptions'!$I$15,0,IF(AND('Project Assumptions'!$C$70="No",Operations!U3&gt;ProjectLife),0,Operations!U$44*U33))</f>
        <v>17160.518928</v>
      </c>
      <c r="V35" s="30" t="n">
        <f aca="false">IF(V3&gt;'Project Assumptions'!$I$15,0,IF(AND('Project Assumptions'!$C$70="No",Operations!V3&gt;ProjectLife),0,Operations!V$44*V33))</f>
        <v>17160.518928</v>
      </c>
      <c r="W35" s="437" t="n">
        <f aca="false">IF(W3&gt;'Project Assumptions'!$I$15+1,0,IF(AND('Project Assumptions'!$C$70="No",Operations!W3&gt;ProjectLife+1),0,Operations!W$44*W33))</f>
        <v>17160.518928</v>
      </c>
      <c r="X35" s="30"/>
      <c r="Y35" s="30"/>
      <c r="Z35" s="30"/>
      <c r="AA35" s="30"/>
      <c r="AB35" s="480"/>
      <c r="AC35" s="480"/>
      <c r="AD35" s="480"/>
      <c r="AE35" s="480"/>
      <c r="AF35" s="480"/>
      <c r="AG35" s="480"/>
    </row>
    <row r="36" customFormat="false" ht="12.6" hidden="false" customHeight="true" outlineLevel="0" collapsed="false">
      <c r="A36" s="416" t="s">
        <v>422</v>
      </c>
      <c r="B36" s="480"/>
      <c r="C36" s="30" t="n">
        <f aca="false">'Tax Calculations'!D66</f>
        <v>14.2343769463405</v>
      </c>
      <c r="D36" s="30" t="n">
        <f aca="false">'Tax Calculations'!E66</f>
        <v>20.2511475274299</v>
      </c>
      <c r="E36" s="30" t="n">
        <f aca="false">'Tax Calculations'!F66</f>
        <v>20.5448423239829</v>
      </c>
      <c r="F36" s="30" t="n">
        <f aca="false">'Tax Calculations'!G66</f>
        <v>21.3427664505394</v>
      </c>
      <c r="G36" s="30" t="n">
        <f aca="false">'Tax Calculations'!H66</f>
        <v>22.0203765205917</v>
      </c>
      <c r="H36" s="30" t="n">
        <f aca="false">'Tax Calculations'!I66</f>
        <v>21.9386244969395</v>
      </c>
      <c r="I36" s="30" t="n">
        <f aca="false">'Tax Calculations'!J66</f>
        <v>21.9897109632778</v>
      </c>
      <c r="J36" s="30" t="n">
        <f aca="false">'Tax Calculations'!K66</f>
        <v>22.3576010241062</v>
      </c>
      <c r="K36" s="30" t="n">
        <f aca="false">'Tax Calculations'!L66</f>
        <v>22.7365277867595</v>
      </c>
      <c r="L36" s="30" t="n">
        <f aca="false">'Tax Calculations'!M66</f>
        <v>23.1268223522923</v>
      </c>
      <c r="M36" s="30" t="n">
        <f aca="false">'Tax Calculations'!N66</f>
        <v>23.5288257547912</v>
      </c>
      <c r="N36" s="30" t="n">
        <f aca="false">'Tax Calculations'!O66</f>
        <v>23.942889259365</v>
      </c>
      <c r="O36" s="30" t="n">
        <f aca="false">'Tax Calculations'!P66</f>
        <v>24.369374669076</v>
      </c>
      <c r="P36" s="30" t="n">
        <f aca="false">'Tax Calculations'!Q66</f>
        <v>24.8086546410784</v>
      </c>
      <c r="Q36" s="30" t="n">
        <f aca="false">'Tax Calculations'!R66</f>
        <v>25.2611130122408</v>
      </c>
      <c r="R36" s="30" t="n">
        <f aca="false">'Tax Calculations'!S66</f>
        <v>25.7271451345381</v>
      </c>
      <c r="S36" s="30" t="n">
        <f aca="false">'Tax Calculations'!T66</f>
        <v>26.2071582205043</v>
      </c>
      <c r="T36" s="30" t="n">
        <f aca="false">'Tax Calculations'!U66</f>
        <v>26.7015716990496</v>
      </c>
      <c r="U36" s="30" t="n">
        <f aca="false">'Tax Calculations'!V66</f>
        <v>27.2108175819511</v>
      </c>
      <c r="V36" s="30" t="n">
        <f aca="false">'Tax Calculations'!W66</f>
        <v>27.7353408413397</v>
      </c>
      <c r="W36" s="437" t="n">
        <f aca="false">'Tax Calculations'!X66</f>
        <v>23.5740031294299</v>
      </c>
      <c r="X36" s="30"/>
      <c r="Y36" s="30"/>
      <c r="Z36" s="30"/>
      <c r="AA36" s="30"/>
      <c r="AB36" s="480"/>
      <c r="AC36" s="480"/>
      <c r="AD36" s="480"/>
      <c r="AE36" s="480"/>
      <c r="AF36" s="480"/>
      <c r="AG36" s="480"/>
    </row>
    <row r="37" customFormat="false" ht="12.75" hidden="false" customHeight="false" outlineLevel="0" collapsed="false">
      <c r="A37" s="400" t="s">
        <v>423</v>
      </c>
      <c r="B37" s="265"/>
      <c r="C37" s="511" t="n">
        <f aca="false">C44*'Maintenance Reserves'!D7*('Project Assumptions'!$H$8+'Project Assumptions'!$I$8)*'Project Assumptions'!$N$59/1000</f>
        <v>0</v>
      </c>
      <c r="D37" s="511" t="n">
        <f aca="false">D44*'Maintenance Reserves'!E7*('Project Assumptions'!$H$8+'Project Assumptions'!$I$8)*'Project Assumptions'!$N$59/1000</f>
        <v>0</v>
      </c>
      <c r="E37" s="511" t="n">
        <f aca="false">E44*'Maintenance Reserves'!F7*('Project Assumptions'!$H$8+'Project Assumptions'!$I$8)*'Project Assumptions'!$N$59/1000</f>
        <v>0</v>
      </c>
      <c r="F37" s="511" t="n">
        <f aca="false">F44*'Maintenance Reserves'!G7*('Project Assumptions'!$H$8+'Project Assumptions'!$I$8)*'Project Assumptions'!$N$59/1000</f>
        <v>0</v>
      </c>
      <c r="G37" s="511" t="n">
        <f aca="false">G44*'Maintenance Reserves'!H7*('Project Assumptions'!$H$8+'Project Assumptions'!$I$8)*'Project Assumptions'!$N$59/1000</f>
        <v>0</v>
      </c>
      <c r="H37" s="511" t="n">
        <f aca="false">H44*'Maintenance Reserves'!I7*('Project Assumptions'!$H$8+'Project Assumptions'!$I$8)*'Project Assumptions'!$N$59/1000</f>
        <v>0</v>
      </c>
      <c r="I37" s="511" t="n">
        <f aca="false">I44*'Maintenance Reserves'!J7*('Project Assumptions'!$H$8+'Project Assumptions'!$I$8)*'Project Assumptions'!$N$59/1000</f>
        <v>0</v>
      </c>
      <c r="J37" s="511" t="n">
        <f aca="false">J44*'Maintenance Reserves'!K7*('Project Assumptions'!$H$8+'Project Assumptions'!$I$8)*'Project Assumptions'!$N$59/1000</f>
        <v>0</v>
      </c>
      <c r="K37" s="511" t="n">
        <f aca="false">K44*'Maintenance Reserves'!L7*('Project Assumptions'!$H$8+'Project Assumptions'!$I$8)*'Project Assumptions'!$N$59/1000</f>
        <v>0</v>
      </c>
      <c r="L37" s="511" t="n">
        <f aca="false">L44*'Maintenance Reserves'!M7*('Project Assumptions'!$H$8+'Project Assumptions'!$I$8)*'Project Assumptions'!$N$59/1000</f>
        <v>0</v>
      </c>
      <c r="M37" s="511" t="n">
        <f aca="false">M44*'Maintenance Reserves'!N7*('Project Assumptions'!$H$8+'Project Assumptions'!$I$8)*'Project Assumptions'!$N$59/1000</f>
        <v>0</v>
      </c>
      <c r="N37" s="511" t="n">
        <f aca="false">N44*'Maintenance Reserves'!O7*('Project Assumptions'!$H$8+'Project Assumptions'!$I$8)*'Project Assumptions'!$N$59/1000</f>
        <v>0</v>
      </c>
      <c r="O37" s="511" t="n">
        <f aca="false">O44*'Maintenance Reserves'!P7*('Project Assumptions'!$H$8+'Project Assumptions'!$I$8)*'Project Assumptions'!$N$59/1000</f>
        <v>0</v>
      </c>
      <c r="P37" s="511" t="n">
        <f aca="false">P44*'Maintenance Reserves'!Q7*('Project Assumptions'!$H$8+'Project Assumptions'!$I$8)*'Project Assumptions'!$N$59/1000</f>
        <v>0</v>
      </c>
      <c r="Q37" s="511" t="n">
        <f aca="false">Q44*'Maintenance Reserves'!R7*('Project Assumptions'!$H$8+'Project Assumptions'!$I$8)*'Project Assumptions'!$N$59/1000</f>
        <v>0</v>
      </c>
      <c r="R37" s="511" t="n">
        <f aca="false">R44*'Maintenance Reserves'!S7*('Project Assumptions'!$H$8+'Project Assumptions'!$I$8)*'Project Assumptions'!$N$59/1000</f>
        <v>0</v>
      </c>
      <c r="S37" s="511" t="n">
        <f aca="false">S44*'Maintenance Reserves'!T7*('Project Assumptions'!$H$8+'Project Assumptions'!$I$8)*'Project Assumptions'!$N$59/1000</f>
        <v>0</v>
      </c>
      <c r="T37" s="511" t="n">
        <f aca="false">T44*'Maintenance Reserves'!U7*('Project Assumptions'!$H$8+'Project Assumptions'!$I$8)*'Project Assumptions'!$N$59/1000</f>
        <v>0</v>
      </c>
      <c r="U37" s="511" t="n">
        <f aca="false">U44*'Maintenance Reserves'!V7*('Project Assumptions'!$H$8+'Project Assumptions'!$I$8)*'Project Assumptions'!$N$59/1000</f>
        <v>0</v>
      </c>
      <c r="V37" s="511" t="n">
        <f aca="false">V44*'Maintenance Reserves'!W7*('Project Assumptions'!$H$8+'Project Assumptions'!$I$8)*'Project Assumptions'!$N$59/1000</f>
        <v>0</v>
      </c>
      <c r="W37" s="512" t="n">
        <f aca="false">W44*'Maintenance Reserves'!X7*('Project Assumptions'!$H$8+'Project Assumptions'!$I$8)*'Project Assumptions'!$N$59/1000</f>
        <v>0</v>
      </c>
      <c r="X37" s="513"/>
      <c r="Y37" s="513"/>
      <c r="Z37" s="513"/>
      <c r="AA37" s="513"/>
    </row>
    <row r="38" customFormat="false" ht="12.75" hidden="false" customHeight="false" outlineLevel="0" collapsed="false">
      <c r="A38" s="514" t="s">
        <v>424</v>
      </c>
      <c r="B38" s="476"/>
      <c r="C38" s="515" t="n">
        <f aca="false">SUM(C35:C37)</f>
        <v>16697.3543769463</v>
      </c>
      <c r="D38" s="515" t="n">
        <f aca="false">SUM(D35:D37)</f>
        <v>16703.3711475274</v>
      </c>
      <c r="E38" s="515" t="n">
        <f aca="false">SUM(E35:E37)</f>
        <v>16703.664842324</v>
      </c>
      <c r="F38" s="515" t="n">
        <f aca="false">SUM(F35:F37)</f>
        <v>17066.3646636839</v>
      </c>
      <c r="G38" s="515" t="n">
        <f aca="false">SUM(G35:G37)</f>
        <v>17182.5393045206</v>
      </c>
      <c r="H38" s="515" t="n">
        <f aca="false">SUM(H35:H37)</f>
        <v>17182.4575524969</v>
      </c>
      <c r="I38" s="515" t="n">
        <f aca="false">SUM(I35:I37)</f>
        <v>17182.5086389633</v>
      </c>
      <c r="J38" s="515" t="n">
        <f aca="false">SUM(J35:J37)</f>
        <v>17182.8765290241</v>
      </c>
      <c r="K38" s="515" t="n">
        <f aca="false">SUM(K35:K37)</f>
        <v>17183.2554557868</v>
      </c>
      <c r="L38" s="515" t="n">
        <f aca="false">SUM(L35:L37)</f>
        <v>17183.6457503523</v>
      </c>
      <c r="M38" s="515" t="n">
        <f aca="false">SUM(M35:M37)</f>
        <v>17184.0477537548</v>
      </c>
      <c r="N38" s="515" t="n">
        <f aca="false">SUM(N35:N37)</f>
        <v>17184.4618172594</v>
      </c>
      <c r="O38" s="515" t="n">
        <f aca="false">SUM(O35:O37)</f>
        <v>17184.8883026691</v>
      </c>
      <c r="P38" s="515" t="n">
        <f aca="false">SUM(P35:P37)</f>
        <v>17185.3275826411</v>
      </c>
      <c r="Q38" s="515" t="n">
        <f aca="false">SUM(Q35:Q37)</f>
        <v>17185.7800410122</v>
      </c>
      <c r="R38" s="515" t="n">
        <f aca="false">SUM(R35:R37)</f>
        <v>17186.2460731345</v>
      </c>
      <c r="S38" s="515" t="n">
        <f aca="false">SUM(S35:S37)</f>
        <v>17186.7260862205</v>
      </c>
      <c r="T38" s="515" t="n">
        <f aca="false">SUM(T35:T37)</f>
        <v>17187.220499699</v>
      </c>
      <c r="U38" s="515" t="n">
        <f aca="false">SUM(U35:U37)</f>
        <v>17187.729745582</v>
      </c>
      <c r="V38" s="515" t="n">
        <f aca="false">SUM(V35:V37)</f>
        <v>17188.2542688413</v>
      </c>
      <c r="W38" s="516" t="n">
        <f aca="false">SUM(W35:W37)</f>
        <v>17184.0929311294</v>
      </c>
      <c r="X38" s="513"/>
      <c r="Y38" s="513"/>
      <c r="Z38" s="513"/>
      <c r="AA38" s="513"/>
    </row>
    <row r="39" customFormat="false" ht="12.6" hidden="false" customHeight="true" outlineLevel="0" collapsed="false">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row>
    <row r="40" customFormat="false" ht="15.75" hidden="false" customHeight="false" outlineLevel="0" collapsed="false">
      <c r="A40" s="430" t="s">
        <v>425</v>
      </c>
      <c r="B40" s="381"/>
      <c r="C40" s="381"/>
      <c r="D40" s="381"/>
      <c r="E40" s="381"/>
      <c r="F40" s="381"/>
      <c r="G40" s="381"/>
      <c r="H40" s="381"/>
      <c r="I40" s="381"/>
      <c r="J40" s="381"/>
      <c r="K40" s="381"/>
      <c r="L40" s="381"/>
      <c r="M40" s="381"/>
      <c r="N40" s="381"/>
      <c r="O40" s="381"/>
      <c r="P40" s="381"/>
      <c r="Q40" s="381"/>
      <c r="R40" s="381"/>
      <c r="S40" s="381"/>
      <c r="T40" s="381"/>
      <c r="U40" s="381"/>
      <c r="V40" s="381"/>
      <c r="W40" s="517"/>
      <c r="X40" s="518"/>
      <c r="Y40" s="518"/>
      <c r="Z40" s="518"/>
      <c r="AA40" s="518"/>
      <c r="AB40" s="518"/>
      <c r="AC40" s="518"/>
      <c r="AD40" s="518"/>
      <c r="AE40" s="518"/>
      <c r="AF40" s="518"/>
      <c r="AG40" s="518"/>
    </row>
    <row r="41" customFormat="false" ht="12.6" hidden="false" customHeight="true" outlineLevel="0" collapsed="false">
      <c r="A41" s="416" t="s">
        <v>426</v>
      </c>
      <c r="B41" s="480"/>
      <c r="C41" s="519" t="n">
        <v>2.00713208333333</v>
      </c>
      <c r="D41" s="519" t="n">
        <v>2.30475916666667</v>
      </c>
      <c r="E41" s="519" t="n">
        <v>2.34312666666667</v>
      </c>
      <c r="F41" s="519" t="n">
        <v>2.37128</v>
      </c>
      <c r="G41" s="519" t="n">
        <v>2.408875</v>
      </c>
      <c r="H41" s="519" t="n">
        <v>2.45711333333333</v>
      </c>
      <c r="I41" s="519" t="n">
        <v>2.51530833333333</v>
      </c>
      <c r="J41" s="519" t="n">
        <v>2.5888675</v>
      </c>
      <c r="K41" s="519" t="n">
        <v>2.67753333333333</v>
      </c>
      <c r="L41" s="519" t="n">
        <v>2.7819925</v>
      </c>
      <c r="M41" s="519" t="n">
        <v>2.906365</v>
      </c>
      <c r="N41" s="519" t="n">
        <v>3.05193833333333</v>
      </c>
      <c r="O41" s="519" t="n">
        <v>3.21811166666667</v>
      </c>
      <c r="P41" s="519" t="n">
        <v>3.39544333333333</v>
      </c>
      <c r="Q41" s="519" t="n">
        <v>3.583075</v>
      </c>
      <c r="R41" s="519" t="n">
        <v>3.77628583333333</v>
      </c>
      <c r="S41" s="519" t="n">
        <v>3.97705</v>
      </c>
      <c r="T41" s="519" t="n">
        <v>4.2069975</v>
      </c>
      <c r="U41" s="519" t="n">
        <v>4.40458583333333</v>
      </c>
      <c r="V41" s="519" t="n">
        <v>4.60517833333333</v>
      </c>
      <c r="W41" s="520" t="n">
        <v>4.71246586666667</v>
      </c>
      <c r="X41" s="521"/>
      <c r="Y41" s="521"/>
      <c r="Z41" s="521"/>
      <c r="AA41" s="521"/>
      <c r="AB41" s="417"/>
      <c r="AC41" s="417"/>
      <c r="AD41" s="417"/>
      <c r="AE41" s="417"/>
      <c r="AF41" s="417"/>
      <c r="AG41" s="417"/>
    </row>
    <row r="42" customFormat="false" ht="12.6" hidden="false" customHeight="true" outlineLevel="0" collapsed="false">
      <c r="A42" s="416" t="s">
        <v>427</v>
      </c>
      <c r="B42" s="480"/>
      <c r="C42" s="521" t="n">
        <f aca="false">IF('PPA Assumptions &amp;Summary'!C3&gt;'Project Assumptions'!$I$15,0,'Project Assumptions'!$C$65)</f>
        <v>2.5</v>
      </c>
      <c r="D42" s="521" t="n">
        <f aca="false">IF('PPA Assumptions &amp;Summary'!D3&gt;'Project Assumptions'!$I$15,0,'Project Assumptions'!$C$65)</f>
        <v>2.5</v>
      </c>
      <c r="E42" s="521" t="n">
        <f aca="false">IF('PPA Assumptions &amp;Summary'!E3&gt;'Project Assumptions'!$I$15,0,'Project Assumptions'!$C$65)</f>
        <v>2.5</v>
      </c>
      <c r="F42" s="521" t="n">
        <f aca="false">IF('PPA Assumptions &amp;Summary'!F3&gt;'Project Assumptions'!$I$15,0,'Project Assumptions'!$C$65)</f>
        <v>2.5</v>
      </c>
      <c r="G42" s="521" t="n">
        <f aca="false">IF('PPA Assumptions &amp;Summary'!G3&gt;'Project Assumptions'!$I$15,0,'Project Assumptions'!$C$65)</f>
        <v>2.5</v>
      </c>
      <c r="H42" s="521" t="n">
        <f aca="false">IF('PPA Assumptions &amp;Summary'!H3&gt;'Project Assumptions'!$I$15,0,'Project Assumptions'!$C$65)</f>
        <v>2.5</v>
      </c>
      <c r="I42" s="521" t="n">
        <f aca="false">IF('PPA Assumptions &amp;Summary'!I3&gt;'Project Assumptions'!$I$15,0,'Project Assumptions'!$C$65)</f>
        <v>2.5</v>
      </c>
      <c r="J42" s="521" t="n">
        <f aca="false">IF('PPA Assumptions &amp;Summary'!J3&gt;'Project Assumptions'!$I$15,0,'Project Assumptions'!$C$65)</f>
        <v>2.5</v>
      </c>
      <c r="K42" s="521" t="n">
        <f aca="false">IF('PPA Assumptions &amp;Summary'!K3&gt;'Project Assumptions'!$I$15,0,'Project Assumptions'!$C$65)</f>
        <v>2.5</v>
      </c>
      <c r="L42" s="521" t="n">
        <f aca="false">IF('PPA Assumptions &amp;Summary'!L3&gt;'Project Assumptions'!$I$15,0,'Project Assumptions'!$C$65)</f>
        <v>2.5</v>
      </c>
      <c r="M42" s="521" t="n">
        <f aca="false">IF('PPA Assumptions &amp;Summary'!M3&gt;'Project Assumptions'!$I$15,0,'Project Assumptions'!$C$65)</f>
        <v>2.5</v>
      </c>
      <c r="N42" s="521" t="n">
        <f aca="false">IF('PPA Assumptions &amp;Summary'!N3&gt;'Project Assumptions'!$I$15,0,'Project Assumptions'!$C$65)</f>
        <v>2.5</v>
      </c>
      <c r="O42" s="521" t="n">
        <f aca="false">IF('PPA Assumptions &amp;Summary'!O3&gt;'Project Assumptions'!$I$15,0,'Project Assumptions'!$C$65)</f>
        <v>2.5</v>
      </c>
      <c r="P42" s="521" t="n">
        <f aca="false">IF('PPA Assumptions &amp;Summary'!P3&gt;'Project Assumptions'!$I$15,0,'Project Assumptions'!$C$65)</f>
        <v>2.5</v>
      </c>
      <c r="Q42" s="521" t="n">
        <f aca="false">IF('PPA Assumptions &amp;Summary'!Q3&gt;'Project Assumptions'!$I$15,0,'Project Assumptions'!$C$65)</f>
        <v>2.5</v>
      </c>
      <c r="R42" s="521" t="n">
        <f aca="false">IF('PPA Assumptions &amp;Summary'!R3&gt;'Project Assumptions'!$I$15,0,'Project Assumptions'!$C$65)</f>
        <v>2.5</v>
      </c>
      <c r="S42" s="521" t="n">
        <f aca="false">IF('PPA Assumptions &amp;Summary'!S3&gt;'Project Assumptions'!$I$15,0,'Project Assumptions'!$C$65)</f>
        <v>2.5</v>
      </c>
      <c r="T42" s="521" t="n">
        <f aca="false">IF('PPA Assumptions &amp;Summary'!T3&gt;'Project Assumptions'!$I$15,0,'Project Assumptions'!$C$65)</f>
        <v>2.5</v>
      </c>
      <c r="U42" s="521" t="n">
        <f aca="false">IF('PPA Assumptions &amp;Summary'!U3&gt;'Project Assumptions'!$I$15,0,'Project Assumptions'!$C$65)</f>
        <v>2.5</v>
      </c>
      <c r="V42" s="521" t="n">
        <f aca="false">IF('PPA Assumptions &amp;Summary'!V3&gt;'Project Assumptions'!$I$15,0,'Project Assumptions'!$C$65)</f>
        <v>2.5</v>
      </c>
      <c r="W42" s="522" t="n">
        <f aca="false">IF('PPA Assumptions &amp;Summary'!W3&gt;'Project Assumptions'!$I$15+1,0,'Project Assumptions'!$C$65)</f>
        <v>2.5</v>
      </c>
      <c r="X42" s="521"/>
      <c r="Y42" s="521"/>
      <c r="Z42" s="521"/>
      <c r="AA42" s="521"/>
      <c r="AB42" s="480"/>
      <c r="AC42" s="1"/>
      <c r="AD42" s="480"/>
      <c r="AE42" s="480"/>
      <c r="AF42" s="480"/>
      <c r="AG42" s="480"/>
    </row>
    <row r="43" customFormat="false" ht="12.6" hidden="false" customHeight="true" outlineLevel="0" collapsed="false">
      <c r="A43" s="420" t="s">
        <v>428</v>
      </c>
      <c r="B43" s="417"/>
      <c r="C43" s="523" t="n">
        <v>0</v>
      </c>
      <c r="D43" s="523" t="n">
        <v>0</v>
      </c>
      <c r="E43" s="523" t="n">
        <v>0</v>
      </c>
      <c r="F43" s="523" t="n">
        <v>0</v>
      </c>
      <c r="G43" s="523" t="n">
        <v>0</v>
      </c>
      <c r="H43" s="523" t="n">
        <v>0</v>
      </c>
      <c r="I43" s="523" t="n">
        <v>0</v>
      </c>
      <c r="J43" s="523" t="n">
        <v>0</v>
      </c>
      <c r="K43" s="523" t="n">
        <v>0</v>
      </c>
      <c r="L43" s="523" t="n">
        <v>0</v>
      </c>
      <c r="M43" s="523" t="n">
        <v>0</v>
      </c>
      <c r="N43" s="523" t="n">
        <v>0</v>
      </c>
      <c r="O43" s="523" t="n">
        <v>0</v>
      </c>
      <c r="P43" s="523" t="n">
        <v>0</v>
      </c>
      <c r="Q43" s="523" t="n">
        <v>0</v>
      </c>
      <c r="R43" s="523" t="n">
        <v>0</v>
      </c>
      <c r="S43" s="523" t="n">
        <v>0</v>
      </c>
      <c r="T43" s="523" t="n">
        <v>0</v>
      </c>
      <c r="U43" s="523" t="n">
        <v>0</v>
      </c>
      <c r="V43" s="523" t="n">
        <v>0</v>
      </c>
      <c r="W43" s="523" t="n">
        <v>0</v>
      </c>
      <c r="X43" s="469"/>
      <c r="Y43" s="469"/>
      <c r="Z43" s="469"/>
      <c r="AA43" s="469"/>
      <c r="AB43" s="417"/>
      <c r="AC43" s="417"/>
      <c r="AD43" s="417"/>
      <c r="AE43" s="417"/>
      <c r="AF43" s="417"/>
      <c r="AG43" s="417"/>
    </row>
    <row r="44" customFormat="false" ht="12.6" hidden="false" customHeight="true" outlineLevel="0" collapsed="false">
      <c r="A44" s="420" t="s">
        <v>429</v>
      </c>
      <c r="B44" s="417"/>
      <c r="C44" s="524" t="n">
        <f aca="false">IF(AND('Project Assumptions'!$C$64="Fixed",C43&gt;0),C42*(1+C43),IF(AND('Project Assumptions'!$C$64="Index",C43&gt;0),C41+((0.03*('Book Income Statement'!D25+'Book Income Statement'!D26+'Book Income Statement'!D27+'Book Income Statement'!D42+'Book Income Statement'!D51)*C43))/C33,IF('Project Assumptions'!$C$64="Fixed",C42,C41)))</f>
        <v>2.5</v>
      </c>
      <c r="D44" s="524" t="n">
        <f aca="false">IF(AND('Project Assumptions'!$C$64="Fixed",D43&gt;0),D42*(1+D43),IF(AND('Project Assumptions'!$C$64="Index",D43&gt;0),D41+((0.03*('Book Income Statement'!E25+'Book Income Statement'!E26+'Book Income Statement'!E27+'Book Income Statement'!E42+'Book Income Statement'!E51)*D43))/D33,IF('Project Assumptions'!$C$64="Fixed",D42,D41)))</f>
        <v>2.5</v>
      </c>
      <c r="E44" s="524" t="n">
        <f aca="false">IF(AND('Project Assumptions'!$C$64="Fixed",E43&gt;0),E42*(1+E43),IF(AND('Project Assumptions'!$C$64="Index",E43&gt;0),E41+((0.03*('Book Income Statement'!F25+'Book Income Statement'!F26+'Book Income Statement'!F27+'Book Income Statement'!F42+'Book Income Statement'!F51)*E43))/E33,IF('Project Assumptions'!$C$64="Fixed",E42,E41)))</f>
        <v>2.5</v>
      </c>
      <c r="F44" s="524" t="n">
        <f aca="false">IF(AND('Project Assumptions'!$C$64="Fixed",F43&gt;0),F42*(1+F43),IF(AND('Project Assumptions'!$C$64="Index",F43&gt;0),F41+((0.03*('Book Income Statement'!G25+'Book Income Statement'!G26+'Book Income Statement'!G27+'Book Income Statement'!G42+'Book Income Statement'!G51)*F43))/F33,IF('Project Assumptions'!$C$64="Fixed",F42,F41)))</f>
        <v>2.5</v>
      </c>
      <c r="G44" s="524" t="n">
        <f aca="false">IF(AND('Project Assumptions'!$C$64="Fixed",G43&gt;0),G42*(1+G43),IF(AND('Project Assumptions'!$C$64="Index",G43&gt;0),G41+((0.03*('Book Income Statement'!H25+'Book Income Statement'!H26+'Book Income Statement'!H27+'Book Income Statement'!H42+'Book Income Statement'!H51)*G43))/G33,IF('Project Assumptions'!$C$64="Fixed",G42,G41)))</f>
        <v>2.5</v>
      </c>
      <c r="H44" s="524" t="n">
        <f aca="false">IF(AND('Project Assumptions'!$C$64="Fixed",H43&gt;0),H42*(1+H43),IF(AND('Project Assumptions'!$C$64="Index",H43&gt;0),H41+((0.03*('Book Income Statement'!I25+'Book Income Statement'!I26+'Book Income Statement'!I27+'Book Income Statement'!I42+'Book Income Statement'!I51)*H43))/H33,IF('Project Assumptions'!$C$64="Fixed",H42,H41)))</f>
        <v>2.5</v>
      </c>
      <c r="I44" s="524" t="n">
        <f aca="false">IF(AND('Project Assumptions'!$C$64="Fixed",I43&gt;0),I42*(1+I43),IF(AND('Project Assumptions'!$C$64="Index",I43&gt;0),I41+((0.03*('Book Income Statement'!J25+'Book Income Statement'!J26+'Book Income Statement'!J27+'Book Income Statement'!J42+'Book Income Statement'!J51)*I43))/I33,IF('Project Assumptions'!$C$64="Fixed",I42,I41)))</f>
        <v>2.5</v>
      </c>
      <c r="J44" s="524" t="n">
        <f aca="false">IF(AND('Project Assumptions'!$C$64="Fixed",J43&gt;0),J42*(1+J43),IF(AND('Project Assumptions'!$C$64="Index",J43&gt;0),J41+((0.03*('Book Income Statement'!K25+'Book Income Statement'!K26+'Book Income Statement'!K27+'Book Income Statement'!K42+'Book Income Statement'!K51)*J43))/J33,IF('Project Assumptions'!$C$64="Fixed",J42,J41)))</f>
        <v>2.5</v>
      </c>
      <c r="K44" s="524" t="n">
        <f aca="false">IF(AND('Project Assumptions'!$C$64="Fixed",K43&gt;0),K42*(1+K43),IF(AND('Project Assumptions'!$C$64="Index",K43&gt;0),K41+((0.03*('Book Income Statement'!L25+'Book Income Statement'!L26+'Book Income Statement'!L27+'Book Income Statement'!L42+'Book Income Statement'!L51)*K43))/K33,IF('Project Assumptions'!$C$64="Fixed",K42,K41)))</f>
        <v>2.5</v>
      </c>
      <c r="L44" s="524" t="n">
        <f aca="false">IF(AND('Project Assumptions'!$C$64="Fixed",L43&gt;0),L42*(1+L43),IF(AND('Project Assumptions'!$C$64="Index",L43&gt;0),L41+((0.03*('Book Income Statement'!M25+'Book Income Statement'!M26+'Book Income Statement'!M27+'Book Income Statement'!M42+'Book Income Statement'!M51)*L43))/L33,IF('Project Assumptions'!$C$64="Fixed",L42,L41)))</f>
        <v>2.5</v>
      </c>
      <c r="M44" s="524" t="n">
        <f aca="false">IF(AND('Project Assumptions'!$C$64="Fixed",M43&gt;0),M42*(1+M43),IF(AND('Project Assumptions'!$C$64="Index",M43&gt;0),M41+((0.03*('Book Income Statement'!N25+'Book Income Statement'!N26+'Book Income Statement'!N27+'Book Income Statement'!N42+'Book Income Statement'!N51)*M43))/M33,IF('Project Assumptions'!$C$64="Fixed",M42,M41)))</f>
        <v>2.5</v>
      </c>
      <c r="N44" s="524" t="n">
        <f aca="false">IF(AND('Project Assumptions'!$C$64="Fixed",N43&gt;0),N42*(1+N43),IF(AND('Project Assumptions'!$C$64="Index",N43&gt;0),N41+((0.03*('Book Income Statement'!O25+'Book Income Statement'!O26+'Book Income Statement'!O27+'Book Income Statement'!O42+'Book Income Statement'!O51)*N43))/N33,IF('Project Assumptions'!$C$64="Fixed",N42,N41)))</f>
        <v>2.5</v>
      </c>
      <c r="O44" s="524" t="n">
        <f aca="false">IF(AND('Project Assumptions'!$C$64="Fixed",O43&gt;0),O42*(1+O43),IF(AND('Project Assumptions'!$C$64="Index",O43&gt;0),O41+((0.03*('Book Income Statement'!P25+'Book Income Statement'!P26+'Book Income Statement'!P27+'Book Income Statement'!P42+'Book Income Statement'!P51)*O43))/O33,IF('Project Assumptions'!$C$64="Fixed",O42,O41)))</f>
        <v>2.5</v>
      </c>
      <c r="P44" s="524" t="n">
        <f aca="false">IF(AND('Project Assumptions'!$C$64="Fixed",P43&gt;0),P42*(1+P43),IF(AND('Project Assumptions'!$C$64="Index",P43&gt;0),P41+((0.03*('Book Income Statement'!Q25+'Book Income Statement'!Q26+'Book Income Statement'!Q27+'Book Income Statement'!Q42+'Book Income Statement'!Q51)*P43))/P33,IF('Project Assumptions'!$C$64="Fixed",P42,P41)))</f>
        <v>2.5</v>
      </c>
      <c r="Q44" s="524" t="n">
        <f aca="false">IF(AND('Project Assumptions'!$C$64="Fixed",Q43&gt;0),Q42*(1+Q43),IF(AND('Project Assumptions'!$C$64="Index",Q43&gt;0),Q41+((0.03*('Book Income Statement'!R25+'Book Income Statement'!R26+'Book Income Statement'!R27+'Book Income Statement'!R42+'Book Income Statement'!R51)*Q43))/Q33,IF('Project Assumptions'!$C$64="Fixed",Q42,Q41)))</f>
        <v>2.5</v>
      </c>
      <c r="R44" s="524" t="n">
        <f aca="false">IF(AND('Project Assumptions'!$C$64="Fixed",R43&gt;0),R42*(1+R43),IF(AND('Project Assumptions'!$C$64="Index",R43&gt;0),R41+((0.03*('Book Income Statement'!S25+'Book Income Statement'!S26+'Book Income Statement'!S27+'Book Income Statement'!S42+'Book Income Statement'!S51)*R43))/R33,IF('Project Assumptions'!$C$64="Fixed",R42,R41)))</f>
        <v>2.5</v>
      </c>
      <c r="S44" s="524" t="n">
        <f aca="false">IF(AND('Project Assumptions'!$C$64="Fixed",S43&gt;0),S42*(1+S43),IF(AND('Project Assumptions'!$C$64="Index",S43&gt;0),S41+((0.03*('Book Income Statement'!T25+'Book Income Statement'!T26+'Book Income Statement'!T27+'Book Income Statement'!T42+'Book Income Statement'!T51)*S43))/S33,IF('Project Assumptions'!$C$64="Fixed",S42,S41)))</f>
        <v>2.5</v>
      </c>
      <c r="T44" s="524" t="n">
        <f aca="false">IF(AND('Project Assumptions'!$C$64="Fixed",T43&gt;0),T42*(1+T43),IF(AND('Project Assumptions'!$C$64="Index",T43&gt;0),T41+((0.03*('Book Income Statement'!U25+'Book Income Statement'!U26+'Book Income Statement'!U27+'Book Income Statement'!U42+'Book Income Statement'!U51)*T43))/T33,IF('Project Assumptions'!$C$64="Fixed",T42,T41)))</f>
        <v>2.5</v>
      </c>
      <c r="U44" s="524" t="n">
        <f aca="false">IF(AND('Project Assumptions'!$C$64="Fixed",U43&gt;0),U42*(1+U43),IF(AND('Project Assumptions'!$C$64="Index",U43&gt;0),U41+((0.03*('Book Income Statement'!V25+'Book Income Statement'!V26+'Book Income Statement'!V27+'Book Income Statement'!V42+'Book Income Statement'!V51)*U43))/U33,IF('Project Assumptions'!$C$64="Fixed",U42,U41)))</f>
        <v>2.5</v>
      </c>
      <c r="V44" s="524" t="n">
        <f aca="false">IF(AND('Project Assumptions'!$C$64="Fixed",V43&gt;0),V42*(1+V43),IF(AND('Project Assumptions'!$C$64="Index",V43&gt;0),V41+((0.03*('Book Income Statement'!W25+'Book Income Statement'!W26+'Book Income Statement'!W27+'Book Income Statement'!W42+'Book Income Statement'!W51)*V43))/V33,IF('Project Assumptions'!$C$64="Fixed",V42,V41)))</f>
        <v>2.5</v>
      </c>
      <c r="W44" s="525" t="n">
        <f aca="false">IF(AND('Project Assumptions'!$C$64="Fixed",W43&gt;0),W42*(1+W43),IF(AND('Project Assumptions'!$C$64="Index",W43&gt;0),W41+((0.03*('Book Income Statement'!X25+'Book Income Statement'!X26+'Book Income Statement'!X27+'Book Income Statement'!X42+'Book Income Statement'!X51)*W43))/W33,IF('Project Assumptions'!$C$64="Fixed",W42,W41)))</f>
        <v>2.5</v>
      </c>
      <c r="X44" s="524"/>
      <c r="Y44" s="524"/>
      <c r="Z44" s="524"/>
      <c r="AA44" s="524"/>
      <c r="AB44" s="417"/>
      <c r="AC44" s="417"/>
      <c r="AD44" s="417"/>
      <c r="AE44" s="417"/>
      <c r="AF44" s="417"/>
      <c r="AG44" s="417"/>
    </row>
    <row r="45" customFormat="false" ht="12.6" hidden="false" customHeight="true" outlineLevel="0" collapsed="false">
      <c r="A45" s="420"/>
      <c r="B45" s="417"/>
      <c r="C45" s="524"/>
      <c r="D45" s="524"/>
      <c r="E45" s="524"/>
      <c r="F45" s="524"/>
      <c r="G45" s="524"/>
      <c r="H45" s="524"/>
      <c r="I45" s="524"/>
      <c r="J45" s="524"/>
      <c r="K45" s="524"/>
      <c r="L45" s="524"/>
      <c r="M45" s="524"/>
      <c r="N45" s="524"/>
      <c r="O45" s="524"/>
      <c r="P45" s="524"/>
      <c r="Q45" s="524"/>
      <c r="R45" s="524"/>
      <c r="S45" s="524"/>
      <c r="T45" s="524"/>
      <c r="U45" s="524"/>
      <c r="V45" s="524"/>
      <c r="W45" s="525"/>
      <c r="X45" s="524"/>
      <c r="Y45" s="524"/>
      <c r="Z45" s="524"/>
      <c r="AA45" s="524"/>
      <c r="AB45" s="417"/>
      <c r="AC45" s="417"/>
      <c r="AD45" s="417"/>
      <c r="AE45" s="417"/>
      <c r="AF45" s="417"/>
      <c r="AG45" s="417"/>
    </row>
    <row r="46" customFormat="false" ht="12.6" hidden="false" customHeight="true" outlineLevel="0" collapsed="false">
      <c r="A46" s="416" t="s">
        <v>430</v>
      </c>
      <c r="B46" s="480"/>
      <c r="C46" s="521" t="n">
        <v>21.1797</v>
      </c>
      <c r="D46" s="521" t="n">
        <v>22.01295</v>
      </c>
      <c r="E46" s="521" t="n">
        <v>23.55825</v>
      </c>
      <c r="F46" s="521" t="n">
        <v>24.58845</v>
      </c>
      <c r="G46" s="521" t="n">
        <v>26.462</v>
      </c>
      <c r="H46" s="521" t="n">
        <v>29.110725</v>
      </c>
      <c r="I46" s="521" t="n">
        <v>31.221625</v>
      </c>
      <c r="J46" s="521" t="n">
        <v>32.913375</v>
      </c>
      <c r="K46" s="521" t="n">
        <v>31.893275</v>
      </c>
      <c r="L46" s="521" t="n">
        <v>34.744</v>
      </c>
      <c r="M46" s="521" t="n">
        <v>38.104775</v>
      </c>
      <c r="N46" s="521" t="n">
        <v>40.0566</v>
      </c>
      <c r="O46" s="521" t="n">
        <v>39.882375</v>
      </c>
      <c r="P46" s="521" t="n">
        <v>39.331925</v>
      </c>
      <c r="Q46" s="521" t="n">
        <v>46.321125</v>
      </c>
      <c r="R46" s="521" t="n">
        <v>44.642</v>
      </c>
      <c r="S46" s="521" t="n">
        <v>50.891375</v>
      </c>
      <c r="T46" s="521" t="n">
        <v>50.096</v>
      </c>
      <c r="U46" s="521" t="n">
        <v>49.431925</v>
      </c>
      <c r="V46" s="521" t="n">
        <v>56.320125</v>
      </c>
      <c r="W46" s="522" t="n">
        <v>52.0453</v>
      </c>
      <c r="X46" s="521"/>
      <c r="Y46" s="521"/>
      <c r="Z46" s="521"/>
      <c r="AA46" s="521"/>
      <c r="AB46" s="480"/>
      <c r="AC46" s="480"/>
      <c r="AD46" s="480"/>
      <c r="AE46" s="480"/>
      <c r="AF46" s="480"/>
      <c r="AG46" s="480"/>
    </row>
    <row r="47" customFormat="false" ht="12.75" hidden="false" customHeight="false" outlineLevel="0" collapsed="false">
      <c r="A47" s="424" t="s">
        <v>431</v>
      </c>
      <c r="B47" s="476"/>
      <c r="C47" s="526" t="str">
        <f aca="false">IF('PPA Assumptions &amp;Summary'!C3&gt;ProjectLife,'Project Assumptions'!$C$72,"")</f>
        <v/>
      </c>
      <c r="D47" s="526" t="str">
        <f aca="false">IF('PPA Assumptions &amp;Summary'!D3&gt;ProjectLife,'Project Assumptions'!$C$72,"")</f>
        <v/>
      </c>
      <c r="E47" s="526" t="str">
        <f aca="false">IF('PPA Assumptions &amp;Summary'!E3&gt;ProjectLife,'Project Assumptions'!$C$72,"")</f>
        <v/>
      </c>
      <c r="F47" s="526" t="str">
        <f aca="false">IF('PPA Assumptions &amp;Summary'!F3&gt;ProjectLife,'Project Assumptions'!$C$72,"")</f>
        <v/>
      </c>
      <c r="G47" s="526" t="str">
        <f aca="false">IF('PPA Assumptions &amp;Summary'!G3&gt;ProjectLife,'Project Assumptions'!$C$72,"")</f>
        <v/>
      </c>
      <c r="H47" s="526" t="str">
        <f aca="false">IF('PPA Assumptions &amp;Summary'!H3&gt;ProjectLife,'Project Assumptions'!$C$72,"")</f>
        <v/>
      </c>
      <c r="I47" s="526" t="str">
        <f aca="false">IF('PPA Assumptions &amp;Summary'!I3&gt;ProjectLife,'Project Assumptions'!$C$72,"")</f>
        <v/>
      </c>
      <c r="J47" s="526" t="str">
        <f aca="false">IF('PPA Assumptions &amp;Summary'!J3&gt;ProjectLife,'Project Assumptions'!$C$72,"")</f>
        <v/>
      </c>
      <c r="K47" s="526" t="str">
        <f aca="false">IF('PPA Assumptions &amp;Summary'!K3&gt;ProjectLife,'Project Assumptions'!$C$72,"")</f>
        <v/>
      </c>
      <c r="L47" s="526" t="str">
        <f aca="false">IF('PPA Assumptions &amp;Summary'!L3&gt;ProjectLife,'Project Assumptions'!$C$72,"")</f>
        <v/>
      </c>
      <c r="M47" s="526" t="str">
        <f aca="false">IF('PPA Assumptions &amp;Summary'!M3&gt;ProjectLife,'Project Assumptions'!$C$72,"")</f>
        <v/>
      </c>
      <c r="N47" s="526" t="str">
        <f aca="false">IF('PPA Assumptions &amp;Summary'!N3&gt;ProjectLife,'Project Assumptions'!$C$72,"")</f>
        <v/>
      </c>
      <c r="O47" s="526" t="str">
        <f aca="false">IF('PPA Assumptions &amp;Summary'!O3&gt;ProjectLife,'Project Assumptions'!$C$72,"")</f>
        <v/>
      </c>
      <c r="P47" s="526" t="str">
        <f aca="false">IF('PPA Assumptions &amp;Summary'!P3&gt;ProjectLife,'Project Assumptions'!$C$72,"")</f>
        <v/>
      </c>
      <c r="Q47" s="526" t="str">
        <f aca="false">IF('PPA Assumptions &amp;Summary'!Q3&gt;ProjectLife,'Project Assumptions'!$C$72,"")</f>
        <v/>
      </c>
      <c r="R47" s="526" t="str">
        <f aca="false">IF('PPA Assumptions &amp;Summary'!R3&gt;ProjectLife,'Project Assumptions'!$C$72,"")</f>
        <v/>
      </c>
      <c r="S47" s="526" t="str">
        <f aca="false">IF('PPA Assumptions &amp;Summary'!S3&gt;ProjectLife,'Project Assumptions'!$C$72,"")</f>
        <v/>
      </c>
      <c r="T47" s="526" t="str">
        <f aca="false">IF('PPA Assumptions &amp;Summary'!T3&gt;ProjectLife,'Project Assumptions'!$C$72,"")</f>
        <v/>
      </c>
      <c r="U47" s="526" t="str">
        <f aca="false">IF('PPA Assumptions &amp;Summary'!U3&gt;ProjectLife,'Project Assumptions'!$C$72,"")</f>
        <v/>
      </c>
      <c r="V47" s="526" t="str">
        <f aca="false">IF('PPA Assumptions &amp;Summary'!V3&gt;ProjectLife,'Project Assumptions'!$C$72,"")</f>
        <v/>
      </c>
      <c r="W47" s="527" t="n">
        <f aca="false">IF('PPA Assumptions &amp;Summary'!W3&gt;ProjectLife,'Project Assumptions'!$C$72,"")</f>
        <v>0</v>
      </c>
      <c r="X47" s="521"/>
      <c r="Y47" s="521"/>
      <c r="Z47" s="521"/>
      <c r="AA47" s="521"/>
    </row>
    <row r="70" customFormat="false" ht="12.75" hidden="false" customHeight="false" outlineLevel="0" collapsed="false">
      <c r="C70" s="528"/>
      <c r="D70" s="528"/>
      <c r="E70" s="528"/>
      <c r="F70" s="528"/>
      <c r="G70" s="528"/>
      <c r="H70" s="528"/>
      <c r="I70" s="528"/>
      <c r="J70" s="528"/>
    </row>
    <row r="72" customFormat="false" ht="12.6" hidden="false" customHeight="true" outlineLevel="0" collapsed="false"/>
  </sheetData>
  <printOptions headings="false" gridLines="false" gridLinesSet="true" horizontalCentered="false" verticalCentered="false"/>
  <pageMargins left="0.25" right="0.25" top="0.2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colBreaks count="3" manualBreakCount="3">
    <brk id="14" man="true" max="65535" min="0"/>
    <brk id="31" man="true" max="65535" min="0"/>
    <brk id="48" man="true" max="65535" min="0"/>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BA284"/>
  <sheetViews>
    <sheetView showFormulas="false" showGridLines="true" showRowColHeaders="true" showZeros="true" rightToLeft="false" tabSelected="false" showOutlineSymbols="true" defaultGridColor="true" view="normal" topLeftCell="A1" colorId="64" zoomScale="75" zoomScaleNormal="75" zoomScalePageLayoutView="85"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1" min="1" style="7" width="36.28"/>
    <col collapsed="false" customWidth="true" hidden="false" outlineLevel="0" max="3" min="2" style="7" width="12.42"/>
    <col collapsed="false" customWidth="true" hidden="false" outlineLevel="0" max="4" min="4" style="7" width="9.14"/>
    <col collapsed="false" customWidth="true" hidden="false" outlineLevel="0" max="12" min="5" style="7" width="11.42"/>
    <col collapsed="false" customWidth="true" hidden="false" outlineLevel="0" max="13" min="13" style="7" width="9.85"/>
    <col collapsed="false" customWidth="true" hidden="false" outlineLevel="0" max="29" min="14" style="7" width="11.42"/>
    <col collapsed="false" customWidth="true" hidden="false" outlineLevel="0" max="35" min="30" style="7" width="9.14"/>
  </cols>
  <sheetData>
    <row r="1" customFormat="false" ht="20.25" hidden="false" customHeight="false" outlineLevel="0" collapsed="false">
      <c r="A1" s="529" t="str">
        <f aca="false">'Project Assumptions'!$A$2</f>
        <v>GLEASON, TN</v>
      </c>
    </row>
    <row r="2" customFormat="false" ht="15.6" hidden="false" customHeight="true" outlineLevel="0" collapsed="false">
      <c r="A2" s="530" t="s">
        <v>432</v>
      </c>
      <c r="E2" s="480"/>
    </row>
    <row r="3" customFormat="false" ht="12.6" hidden="false" customHeight="true" outlineLevel="0" collapsed="false">
      <c r="A3" s="29"/>
      <c r="B3" s="1"/>
      <c r="C3" s="1"/>
      <c r="D3" s="1"/>
      <c r="E3" s="480"/>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row>
    <row r="4" customFormat="false" ht="12.6" hidden="false" customHeight="true" outlineLevel="0" collapsed="false">
      <c r="A4" s="1"/>
      <c r="B4" s="1"/>
      <c r="C4" s="1"/>
      <c r="D4" s="480"/>
      <c r="E4" s="480" t="n">
        <f aca="false">'Book Income Statement'!D3</f>
        <v>1</v>
      </c>
      <c r="F4" s="480" t="n">
        <f aca="false">'Book Income Statement'!E3</f>
        <v>2</v>
      </c>
      <c r="G4" s="480" t="n">
        <f aca="false">'Book Income Statement'!F3</f>
        <v>3</v>
      </c>
      <c r="H4" s="480" t="n">
        <f aca="false">'Book Income Statement'!G3</f>
        <v>4</v>
      </c>
      <c r="I4" s="480" t="n">
        <f aca="false">'Book Income Statement'!H3</f>
        <v>5</v>
      </c>
      <c r="J4" s="480" t="n">
        <f aca="false">'Book Income Statement'!I3</f>
        <v>6</v>
      </c>
      <c r="K4" s="480" t="n">
        <f aca="false">'Book Income Statement'!J3</f>
        <v>7</v>
      </c>
      <c r="L4" s="480" t="n">
        <f aca="false">'Book Income Statement'!K3</f>
        <v>8</v>
      </c>
      <c r="M4" s="480" t="n">
        <f aca="false">'Book Income Statement'!L3</f>
        <v>9</v>
      </c>
      <c r="N4" s="480" t="n">
        <f aca="false">'Book Income Statement'!M3</f>
        <v>10</v>
      </c>
      <c r="O4" s="480" t="n">
        <f aca="false">'Book Income Statement'!N3</f>
        <v>11</v>
      </c>
      <c r="P4" s="480" t="n">
        <f aca="false">'Book Income Statement'!O3</f>
        <v>12</v>
      </c>
      <c r="Q4" s="480" t="n">
        <f aca="false">'Book Income Statement'!P3</f>
        <v>13</v>
      </c>
      <c r="R4" s="480" t="n">
        <f aca="false">'Book Income Statement'!Q3</f>
        <v>14</v>
      </c>
      <c r="S4" s="480" t="n">
        <f aca="false">'Book Income Statement'!R3</f>
        <v>15</v>
      </c>
      <c r="T4" s="480" t="n">
        <f aca="false">'Book Income Statement'!S3</f>
        <v>16</v>
      </c>
      <c r="U4" s="480" t="n">
        <f aca="false">'Book Income Statement'!T3</f>
        <v>17</v>
      </c>
      <c r="V4" s="480" t="n">
        <f aca="false">'Book Income Statement'!U3</f>
        <v>18</v>
      </c>
      <c r="W4" s="480" t="n">
        <f aca="false">'Book Income Statement'!V3</f>
        <v>19</v>
      </c>
      <c r="X4" s="480" t="n">
        <f aca="false">'Book Income Statement'!W3</f>
        <v>20</v>
      </c>
      <c r="Y4" s="480" t="n">
        <f aca="false">'Book Income Statement'!X3</f>
        <v>21</v>
      </c>
      <c r="Z4" s="480" t="n">
        <f aca="false">'Book Income Statement'!Y3</f>
        <v>22</v>
      </c>
      <c r="AA4" s="480" t="n">
        <f aca="false">'Book Income Statement'!Z3</f>
        <v>23</v>
      </c>
      <c r="AB4" s="480" t="n">
        <f aca="false">'Book Income Statement'!AA3</f>
        <v>24</v>
      </c>
      <c r="AC4" s="480" t="n">
        <f aca="false">'Book Income Statement'!AB3</f>
        <v>25</v>
      </c>
    </row>
    <row r="5" customFormat="false" ht="12.6" hidden="false" customHeight="true" outlineLevel="0" collapsed="false">
      <c r="A5" s="483"/>
      <c r="B5" s="531"/>
      <c r="C5" s="484"/>
      <c r="D5" s="484"/>
      <c r="E5" s="532" t="n">
        <f aca="false">YEAR('Project Assumptions'!$G$16)</f>
        <v>2000</v>
      </c>
      <c r="F5" s="532" t="n">
        <f aca="false">E5+1</f>
        <v>2001</v>
      </c>
      <c r="G5" s="532" t="n">
        <f aca="false">F5+1</f>
        <v>2002</v>
      </c>
      <c r="H5" s="532" t="n">
        <f aca="false">G5+1</f>
        <v>2003</v>
      </c>
      <c r="I5" s="532" t="n">
        <f aca="false">H5+1</f>
        <v>2004</v>
      </c>
      <c r="J5" s="532" t="n">
        <f aca="false">I5+1</f>
        <v>2005</v>
      </c>
      <c r="K5" s="532" t="n">
        <f aca="false">J5+1</f>
        <v>2006</v>
      </c>
      <c r="L5" s="532" t="n">
        <f aca="false">K5+1</f>
        <v>2007</v>
      </c>
      <c r="M5" s="532" t="n">
        <f aca="false">L5+1</f>
        <v>2008</v>
      </c>
      <c r="N5" s="532" t="n">
        <f aca="false">M5+1</f>
        <v>2009</v>
      </c>
      <c r="O5" s="532" t="n">
        <f aca="false">N5+1</f>
        <v>2010</v>
      </c>
      <c r="P5" s="532" t="n">
        <f aca="false">O5+1</f>
        <v>2011</v>
      </c>
      <c r="Q5" s="532" t="n">
        <f aca="false">P5+1</f>
        <v>2012</v>
      </c>
      <c r="R5" s="532" t="n">
        <f aca="false">Q5+1</f>
        <v>2013</v>
      </c>
      <c r="S5" s="532" t="n">
        <f aca="false">R5+1</f>
        <v>2014</v>
      </c>
      <c r="T5" s="532" t="n">
        <f aca="false">S5+1</f>
        <v>2015</v>
      </c>
      <c r="U5" s="532" t="n">
        <f aca="false">T5+1</f>
        <v>2016</v>
      </c>
      <c r="V5" s="532" t="n">
        <f aca="false">U5+1</f>
        <v>2017</v>
      </c>
      <c r="W5" s="532" t="n">
        <f aca="false">V5+1</f>
        <v>2018</v>
      </c>
      <c r="X5" s="532" t="n">
        <f aca="false">W5+1</f>
        <v>2019</v>
      </c>
      <c r="Y5" s="532" t="n">
        <f aca="false">X5+1</f>
        <v>2020</v>
      </c>
      <c r="Z5" s="532" t="n">
        <f aca="false">Y5+1</f>
        <v>2021</v>
      </c>
      <c r="AA5" s="532" t="n">
        <f aca="false">Z5+1</f>
        <v>2022</v>
      </c>
      <c r="AB5" s="532" t="n">
        <f aca="false">AA5+1</f>
        <v>2023</v>
      </c>
      <c r="AC5" s="533" t="n">
        <f aca="false">AB5+1</f>
        <v>2024</v>
      </c>
      <c r="AD5" s="397"/>
      <c r="AE5" s="397"/>
      <c r="AF5" s="397"/>
      <c r="AG5" s="397"/>
      <c r="AH5" s="397"/>
      <c r="AI5" s="397"/>
      <c r="AJ5" s="485"/>
      <c r="AK5" s="485"/>
      <c r="AL5" s="485"/>
      <c r="AM5" s="485"/>
      <c r="AN5" s="485"/>
      <c r="AO5" s="485"/>
      <c r="AP5" s="485"/>
      <c r="AQ5" s="485"/>
      <c r="AR5" s="485"/>
      <c r="AS5" s="485"/>
      <c r="AT5" s="485"/>
      <c r="AU5" s="485"/>
      <c r="AV5" s="485"/>
      <c r="AW5" s="485"/>
      <c r="AX5" s="485"/>
      <c r="AY5" s="485"/>
      <c r="AZ5" s="485"/>
      <c r="BA5" s="485"/>
    </row>
    <row r="6" customFormat="false" ht="12.6" hidden="false" customHeight="true" outlineLevel="0" collapsed="false">
      <c r="A6" s="384" t="s">
        <v>433</v>
      </c>
      <c r="B6" s="534"/>
      <c r="C6" s="534"/>
      <c r="D6" s="535"/>
      <c r="E6" s="536" t="n">
        <f aca="false">'Book Income Statement'!D63</f>
        <v>12751.3317317553</v>
      </c>
      <c r="F6" s="536" t="n">
        <f aca="false">'Book Income Statement'!E63</f>
        <v>22021.9178964612</v>
      </c>
      <c r="G6" s="536" t="n">
        <f aca="false">'Book Income Statement'!F63</f>
        <v>21955.5436240494</v>
      </c>
      <c r="H6" s="536" t="n">
        <f aca="false">'Book Income Statement'!G63</f>
        <v>26861.0903560925</v>
      </c>
      <c r="I6" s="536" t="n">
        <f aca="false">'Book Income Statement'!H63</f>
        <v>30724.8303363861</v>
      </c>
      <c r="J6" s="536" t="n">
        <f aca="false">'Book Income Statement'!I63</f>
        <v>31021.2849679446</v>
      </c>
      <c r="K6" s="536" t="n">
        <f aca="false">'Book Income Statement'!J63</f>
        <v>31307.6648156034</v>
      </c>
      <c r="L6" s="536" t="n">
        <f aca="false">'Book Income Statement'!K63</f>
        <v>32253.8852430859</v>
      </c>
      <c r="M6" s="536" t="n">
        <f aca="false">'Book Income Statement'!L63</f>
        <v>32537.5820236693</v>
      </c>
      <c r="N6" s="536" t="n">
        <f aca="false">'Book Income Statement'!M63</f>
        <v>33520.6999673938</v>
      </c>
      <c r="O6" s="536" t="n">
        <f aca="false">'Book Income Statement'!N63</f>
        <v>33800.3247548893</v>
      </c>
      <c r="P6" s="536" t="n">
        <f aca="false">'Book Income Statement'!O63</f>
        <v>34821.3249805504</v>
      </c>
      <c r="Q6" s="536" t="n">
        <f aca="false">'Book Income Statement'!P63</f>
        <v>35095.3296287431</v>
      </c>
      <c r="R6" s="536" t="n">
        <f aca="false">'Book Income Statement'!Q63</f>
        <v>35354.2256488544</v>
      </c>
      <c r="S6" s="536" t="n">
        <f aca="false">'Book Income Statement'!R63</f>
        <v>35596.8599190161</v>
      </c>
      <c r="T6" s="536" t="n">
        <f aca="false">'Book Income Statement'!S63</f>
        <v>35822.0237278131</v>
      </c>
      <c r="U6" s="536" t="n">
        <f aca="false">'Book Income Statement'!T63</f>
        <v>36028.4504767204</v>
      </c>
      <c r="V6" s="536" t="n">
        <f aca="false">'Book Income Statement'!U63</f>
        <v>36214.8132947166</v>
      </c>
      <c r="W6" s="536" t="n">
        <f aca="false">'Book Income Statement'!V63</f>
        <v>36379.7225618731</v>
      </c>
      <c r="X6" s="536" t="n">
        <f aca="false">'Book Income Statement'!W63</f>
        <v>36521.7233386034</v>
      </c>
      <c r="Y6" s="536" t="n">
        <f aca="false">'Book Income Statement'!X63</f>
        <v>13385.7848839732</v>
      </c>
      <c r="Z6" s="536" t="n">
        <f aca="false">'Book Income Statement'!Y63</f>
        <v>0</v>
      </c>
      <c r="AA6" s="536" t="n">
        <f aca="false">'Book Income Statement'!Z63</f>
        <v>0</v>
      </c>
      <c r="AB6" s="536" t="n">
        <f aca="false">'Book Income Statement'!AA63</f>
        <v>0</v>
      </c>
      <c r="AC6" s="537" t="n">
        <f aca="false">'Book Income Statement'!AB63</f>
        <v>0</v>
      </c>
      <c r="AD6" s="535"/>
      <c r="AE6" s="535"/>
      <c r="AG6" s="535"/>
      <c r="AH6" s="535"/>
      <c r="AI6" s="535"/>
    </row>
    <row r="7" customFormat="false" ht="12.6" hidden="false" customHeight="true" outlineLevel="0" collapsed="false">
      <c r="A7" s="416"/>
      <c r="B7" s="538"/>
      <c r="C7" s="480"/>
      <c r="D7" s="417"/>
      <c r="E7" s="417"/>
      <c r="F7" s="417"/>
      <c r="G7" s="417"/>
      <c r="H7" s="417"/>
      <c r="I7" s="417"/>
      <c r="J7" s="417"/>
      <c r="K7" s="417"/>
      <c r="L7" s="417"/>
      <c r="M7" s="417"/>
      <c r="N7" s="417"/>
      <c r="O7" s="417"/>
      <c r="P7" s="417"/>
      <c r="Q7" s="417"/>
      <c r="R7" s="417"/>
      <c r="S7" s="417"/>
      <c r="T7" s="417"/>
      <c r="U7" s="417"/>
      <c r="V7" s="417"/>
      <c r="W7" s="417"/>
      <c r="X7" s="417"/>
      <c r="Y7" s="417"/>
      <c r="Z7" s="417"/>
      <c r="AA7" s="417"/>
      <c r="AB7" s="417"/>
      <c r="AC7" s="539"/>
      <c r="AD7" s="480"/>
      <c r="AF7" s="480"/>
      <c r="AG7" s="480"/>
      <c r="AH7" s="480"/>
      <c r="AI7" s="480"/>
    </row>
    <row r="8" customFormat="false" ht="12.75" hidden="false" customHeight="false" outlineLevel="0" collapsed="false">
      <c r="A8" s="540" t="s">
        <v>434</v>
      </c>
      <c r="B8" s="541"/>
      <c r="C8" s="541"/>
      <c r="D8" s="541"/>
      <c r="E8" s="542" t="n">
        <f aca="false">IF(E4&lt;='Project Assumptions'!$F$39,'Project Assumptions'!$F$41,0)</f>
        <v>1.3</v>
      </c>
      <c r="F8" s="542" t="n">
        <f aca="false">IF(F4&lt;='Project Assumptions'!$F$39,'Project Assumptions'!$F$41,0)</f>
        <v>1.3</v>
      </c>
      <c r="G8" s="542" t="n">
        <f aca="false">IF(G4&lt;='Project Assumptions'!$F$39,'Project Assumptions'!$F$41,0)</f>
        <v>1.3</v>
      </c>
      <c r="H8" s="542" t="n">
        <f aca="false">IF(H4&lt;='Project Assumptions'!$F$39,'Project Assumptions'!$F$41,0)</f>
        <v>1.3</v>
      </c>
      <c r="I8" s="542" t="n">
        <f aca="false">IF(I4&lt;='Project Assumptions'!$F$39,'Project Assumptions'!$F$41,0)</f>
        <v>0</v>
      </c>
      <c r="J8" s="542" t="n">
        <f aca="false">IF(J4&lt;='Project Assumptions'!$F$39,'Project Assumptions'!$F$41,0)</f>
        <v>0</v>
      </c>
      <c r="K8" s="542" t="n">
        <f aca="false">IF(K4&lt;='Project Assumptions'!$F$39,'Project Assumptions'!$F$41,0)</f>
        <v>0</v>
      </c>
      <c r="L8" s="542" t="n">
        <f aca="false">IF(L4&lt;='Project Assumptions'!$F$39,'Project Assumptions'!$F$41,0)</f>
        <v>0</v>
      </c>
      <c r="M8" s="542" t="n">
        <f aca="false">IF(M4&lt;='Project Assumptions'!$F$39,'Project Assumptions'!$F$41,0)</f>
        <v>0</v>
      </c>
      <c r="N8" s="542" t="n">
        <f aca="false">IF(N4&lt;='Project Assumptions'!$F$39,'Project Assumptions'!$F$41,0)</f>
        <v>0</v>
      </c>
      <c r="O8" s="542" t="n">
        <f aca="false">IF(O4&lt;='Project Assumptions'!$F$39,'Project Assumptions'!$F$41,0)</f>
        <v>0</v>
      </c>
      <c r="P8" s="542" t="n">
        <f aca="false">IF(P4&lt;='Project Assumptions'!$F$39,'Project Assumptions'!$F$41,0)</f>
        <v>0</v>
      </c>
      <c r="Q8" s="542" t="n">
        <f aca="false">IF(Q4&lt;='Project Assumptions'!$F$39,'Project Assumptions'!$F$41,0)</f>
        <v>0</v>
      </c>
      <c r="R8" s="542" t="n">
        <f aca="false">IF(R4&lt;='Project Assumptions'!$F$39,'Project Assumptions'!$F$41,0)</f>
        <v>0</v>
      </c>
      <c r="S8" s="542" t="n">
        <f aca="false">IF(S4&lt;='Project Assumptions'!$F$39,'Project Assumptions'!$F$41,0)</f>
        <v>0</v>
      </c>
      <c r="T8" s="542" t="n">
        <f aca="false">IF(T4&lt;='Project Assumptions'!$F$39,'Project Assumptions'!$F$41,0)</f>
        <v>0</v>
      </c>
      <c r="U8" s="542" t="n">
        <f aca="false">IF(U4&lt;='Project Assumptions'!$F$39,'Project Assumptions'!$F$41,0)</f>
        <v>0</v>
      </c>
      <c r="V8" s="542" t="n">
        <f aca="false">IF(V4&lt;='Project Assumptions'!$F$39,'Project Assumptions'!$F$41,0)</f>
        <v>0</v>
      </c>
      <c r="W8" s="542" t="n">
        <f aca="false">IF(W4&lt;='Project Assumptions'!$F$39,'Project Assumptions'!$F$41,0)</f>
        <v>0</v>
      </c>
      <c r="X8" s="542" t="n">
        <f aca="false">IF(X4&lt;='Project Assumptions'!$F$39,'Project Assumptions'!$F$41,0)</f>
        <v>0</v>
      </c>
      <c r="Y8" s="542" t="n">
        <f aca="false">IF(Y4&lt;='Project Assumptions'!$F$39,'Project Assumptions'!$F$41,0)</f>
        <v>0</v>
      </c>
      <c r="Z8" s="542" t="n">
        <f aca="false">IF(Z4&lt;='Project Assumptions'!$F$39,'Project Assumptions'!$F$41,0)</f>
        <v>0</v>
      </c>
      <c r="AA8" s="542" t="n">
        <f aca="false">IF(AA4&lt;='Project Assumptions'!$F$39,'Project Assumptions'!$F$41,0)</f>
        <v>0</v>
      </c>
      <c r="AB8" s="542" t="n">
        <f aca="false">IF(AB4&lt;='Project Assumptions'!$F$39,'Project Assumptions'!$F$41,0)</f>
        <v>0</v>
      </c>
      <c r="AC8" s="543" t="n">
        <f aca="false">IF(AC4&lt;='Project Assumptions'!$F$39,'Project Assumptions'!$F$41,0)</f>
        <v>0</v>
      </c>
      <c r="AD8" s="544"/>
      <c r="AE8" s="545"/>
      <c r="AF8" s="545"/>
      <c r="AG8" s="545"/>
      <c r="AH8" s="545"/>
      <c r="AI8" s="545"/>
    </row>
    <row r="9" customFormat="false" ht="12.75" hidden="false" customHeight="false" outlineLevel="0" collapsed="false">
      <c r="A9" s="540" t="s">
        <v>435</v>
      </c>
      <c r="B9" s="541"/>
      <c r="C9" s="541"/>
      <c r="D9" s="541"/>
      <c r="E9" s="542" t="n">
        <f aca="false">IF(AND(E4&gt;'Project Assumptions'!$F$39,E4&lt;='Project Assumptions'!$G$39),'Project Assumptions'!$G$41,0)</f>
        <v>0</v>
      </c>
      <c r="F9" s="542" t="n">
        <f aca="false">IF(AND(F4&gt;'Project Assumptions'!$F$39,F4&lt;='Project Assumptions'!$G$39),'Project Assumptions'!$G$41,0)</f>
        <v>0</v>
      </c>
      <c r="G9" s="542" t="n">
        <f aca="false">IF(AND(G4&gt;'Project Assumptions'!$F$39,G4&lt;='Project Assumptions'!$G$39),'Project Assumptions'!$G$41,0)</f>
        <v>0</v>
      </c>
      <c r="H9" s="542" t="n">
        <f aca="false">IF(AND(H4&gt;'Project Assumptions'!$F$39,H4&lt;='Project Assumptions'!$G$39),'Project Assumptions'!$G$41,0)</f>
        <v>0</v>
      </c>
      <c r="I9" s="542" t="n">
        <f aca="false">IF(AND(I4&gt;'Project Assumptions'!$F$39,I4&lt;='Project Assumptions'!$G$39),'Project Assumptions'!$G$41,0)</f>
        <v>2.5</v>
      </c>
      <c r="J9" s="542" t="n">
        <f aca="false">IF(AND(J4&gt;'Project Assumptions'!$F$39,J4&lt;='Project Assumptions'!$G$39),'Project Assumptions'!$G$41,0)</f>
        <v>2.5</v>
      </c>
      <c r="K9" s="542" t="n">
        <f aca="false">IF(AND(K4&gt;'Project Assumptions'!$F$39,K4&lt;='Project Assumptions'!$G$39),'Project Assumptions'!$G$41,0)</f>
        <v>2.5</v>
      </c>
      <c r="L9" s="542" t="n">
        <f aca="false">IF(AND(L4&gt;'Project Assumptions'!$F$39,L4&lt;='Project Assumptions'!$G$39),'Project Assumptions'!$G$41,0)</f>
        <v>2.5</v>
      </c>
      <c r="M9" s="542" t="n">
        <f aca="false">IF(AND(M4&gt;'Project Assumptions'!$F$39,M4&lt;='Project Assumptions'!$G$39),'Project Assumptions'!$G$41,0)</f>
        <v>2.5</v>
      </c>
      <c r="N9" s="542" t="n">
        <f aca="false">IF(AND(N4&gt;'Project Assumptions'!$F$39,N4&lt;='Project Assumptions'!$G$39),'Project Assumptions'!$G$41,0)</f>
        <v>2.5</v>
      </c>
      <c r="O9" s="542" t="n">
        <f aca="false">IF(AND(O4&gt;'Project Assumptions'!$F$39,O4&lt;='Project Assumptions'!$G$39),'Project Assumptions'!$G$41,0)</f>
        <v>0</v>
      </c>
      <c r="P9" s="542" t="n">
        <f aca="false">IF(AND(P4&gt;'Project Assumptions'!$F$39,P4&lt;='Project Assumptions'!$G$39),'Project Assumptions'!$G$41,0)</f>
        <v>0</v>
      </c>
      <c r="Q9" s="542" t="n">
        <f aca="false">IF(AND(Q4&gt;'Project Assumptions'!$F$39,Q4&lt;='Project Assumptions'!$G$39),'Project Assumptions'!$G$41,0)</f>
        <v>0</v>
      </c>
      <c r="R9" s="542" t="n">
        <f aca="false">IF(AND(R4&gt;'Project Assumptions'!$F$39,R4&lt;='Project Assumptions'!$G$39),'Project Assumptions'!$G$41,0)</f>
        <v>0</v>
      </c>
      <c r="S9" s="542" t="n">
        <f aca="false">IF(AND(S4&gt;'Project Assumptions'!$F$39,S4&lt;='Project Assumptions'!$G$39),'Project Assumptions'!$G$41,0)</f>
        <v>0</v>
      </c>
      <c r="T9" s="542" t="n">
        <f aca="false">IF(AND(T4&gt;'Project Assumptions'!$F$39,T4&lt;='Project Assumptions'!$G$39),'Project Assumptions'!$G$41,0)</f>
        <v>0</v>
      </c>
      <c r="U9" s="542" t="n">
        <f aca="false">IF(AND(U4&gt;'Project Assumptions'!$F$39,U4&lt;='Project Assumptions'!$G$39),'Project Assumptions'!$G$41,0)</f>
        <v>0</v>
      </c>
      <c r="V9" s="542" t="n">
        <f aca="false">IF(AND(V4&gt;'Project Assumptions'!$F$39,V4&lt;='Project Assumptions'!$G$39),'Project Assumptions'!$G$41,0)</f>
        <v>0</v>
      </c>
      <c r="W9" s="542" t="n">
        <f aca="false">IF(AND(W4&gt;'Project Assumptions'!$F$39,W4&lt;='Project Assumptions'!$G$39),'Project Assumptions'!$G$41,0)</f>
        <v>0</v>
      </c>
      <c r="X9" s="542" t="n">
        <f aca="false">IF(AND(X4&gt;'Project Assumptions'!$F$39,X4&lt;='Project Assumptions'!$G$39),'Project Assumptions'!$G$41,0)</f>
        <v>0</v>
      </c>
      <c r="Y9" s="542" t="n">
        <f aca="false">IF(AND(Y4&gt;'Project Assumptions'!$F$39,Y4&lt;='Project Assumptions'!$G$39),'Project Assumptions'!$G$41,0)</f>
        <v>0</v>
      </c>
      <c r="Z9" s="542" t="n">
        <f aca="false">IF(AND(Z4&gt;'Project Assumptions'!$F$39,Z4&lt;='Project Assumptions'!$G$39),'Project Assumptions'!$G$41,0)</f>
        <v>0</v>
      </c>
      <c r="AA9" s="542" t="n">
        <f aca="false">IF(AND(AA4&gt;'Project Assumptions'!$F$39,AA4&lt;='Project Assumptions'!$G$39),'Project Assumptions'!$G$41,0)</f>
        <v>0</v>
      </c>
      <c r="AB9" s="542" t="n">
        <f aca="false">IF(AND(AB4&gt;'Project Assumptions'!$F$39,AB4&lt;='Project Assumptions'!$G$39),'Project Assumptions'!$G$41,0)</f>
        <v>0</v>
      </c>
      <c r="AC9" s="543" t="n">
        <f aca="false">IF(AND(AC4&gt;'Project Assumptions'!$F$39,AC4&lt;='Project Assumptions'!$G$39),'Project Assumptions'!$G$41,0)</f>
        <v>0</v>
      </c>
      <c r="AD9" s="544"/>
      <c r="AE9" s="545"/>
      <c r="AF9" s="545"/>
      <c r="AG9" s="545"/>
      <c r="AH9" s="545"/>
      <c r="AI9" s="545"/>
    </row>
    <row r="10" customFormat="false" ht="12.75" hidden="false" customHeight="false" outlineLevel="0" collapsed="false">
      <c r="A10" s="540" t="s">
        <v>436</v>
      </c>
      <c r="B10" s="541"/>
      <c r="C10" s="541"/>
      <c r="D10" s="541"/>
      <c r="E10" s="542" t="n">
        <f aca="false">IF(AND(E4&gt;'Project Assumptions'!$G$39,E4&lt;='Project Assumptions'!$H$39),'Project Assumptions'!$H$41,0)</f>
        <v>0</v>
      </c>
      <c r="F10" s="542" t="n">
        <f aca="false">IF(AND(F4&gt;'Project Assumptions'!$G$39,F4&lt;='Project Assumptions'!$H$39),'Project Assumptions'!$H$41,0)</f>
        <v>0</v>
      </c>
      <c r="G10" s="542" t="n">
        <f aca="false">IF(AND(G4&gt;'Project Assumptions'!$G$39,G4&lt;='Project Assumptions'!$H$39),'Project Assumptions'!$H$41,0)</f>
        <v>0</v>
      </c>
      <c r="H10" s="542" t="n">
        <f aca="false">IF(AND(H4&gt;'Project Assumptions'!$G$39,H4&lt;='Project Assumptions'!$H$39),'Project Assumptions'!$H$41,0)</f>
        <v>0</v>
      </c>
      <c r="I10" s="542" t="n">
        <f aca="false">IF(AND(I4&gt;'Project Assumptions'!$G$39,I4&lt;='Project Assumptions'!$H$39),'Project Assumptions'!$H$41,0)</f>
        <v>0</v>
      </c>
      <c r="J10" s="542" t="n">
        <f aca="false">IF(AND(J4&gt;'Project Assumptions'!$G$39,J4&lt;='Project Assumptions'!$H$39),'Project Assumptions'!$H$41,0)</f>
        <v>0</v>
      </c>
      <c r="K10" s="542" t="n">
        <f aca="false">IF(AND(K4&gt;'Project Assumptions'!$G$39,K4&lt;='Project Assumptions'!$H$39),'Project Assumptions'!$H$41,0)</f>
        <v>0</v>
      </c>
      <c r="L10" s="542" t="n">
        <f aca="false">IF(AND(L4&gt;'Project Assumptions'!$G$39,L4&lt;='Project Assumptions'!$H$39),'Project Assumptions'!$H$41,0)</f>
        <v>0</v>
      </c>
      <c r="M10" s="542" t="n">
        <f aca="false">IF(AND(M4&gt;'Project Assumptions'!$G$39,M4&lt;='Project Assumptions'!$H$39),'Project Assumptions'!$H$41,0)</f>
        <v>0</v>
      </c>
      <c r="N10" s="542" t="n">
        <f aca="false">IF(AND(N4&gt;'Project Assumptions'!$G$39,N4&lt;='Project Assumptions'!$H$39),'Project Assumptions'!$H$41,0)</f>
        <v>0</v>
      </c>
      <c r="O10" s="542" t="n">
        <f aca="false">IF(AND(O4&gt;'Project Assumptions'!$G$39,O4&lt;='Project Assumptions'!$H$39),'Project Assumptions'!$H$41,0)</f>
        <v>2.5</v>
      </c>
      <c r="P10" s="542" t="n">
        <f aca="false">IF(AND(P4&gt;'Project Assumptions'!$G$39,P4&lt;='Project Assumptions'!$H$39),'Project Assumptions'!$H$41,0)</f>
        <v>2.5</v>
      </c>
      <c r="Q10" s="542" t="n">
        <f aca="false">IF(AND(Q4&gt;'Project Assumptions'!$G$39,Q4&lt;='Project Assumptions'!$H$39),'Project Assumptions'!$H$41,0)</f>
        <v>2.5</v>
      </c>
      <c r="R10" s="542" t="n">
        <f aca="false">IF(AND(R4&gt;'Project Assumptions'!$G$39,R4&lt;='Project Assumptions'!$H$39),'Project Assumptions'!$H$41,0)</f>
        <v>2.5</v>
      </c>
      <c r="S10" s="542" t="n">
        <f aca="false">IF(AND(S4&gt;'Project Assumptions'!$G$39,S4&lt;='Project Assumptions'!$H$39),'Project Assumptions'!$H$41,0)</f>
        <v>2.5</v>
      </c>
      <c r="T10" s="542" t="n">
        <f aca="false">IF(AND(T4&gt;'Project Assumptions'!$G$39,T4&lt;='Project Assumptions'!$H$39),'Project Assumptions'!$H$41,0)</f>
        <v>2.5</v>
      </c>
      <c r="U10" s="542" t="n">
        <f aca="false">IF(AND(U4&gt;'Project Assumptions'!$G$39,U4&lt;='Project Assumptions'!$H$39),'Project Assumptions'!$H$41,0)</f>
        <v>2.5</v>
      </c>
      <c r="V10" s="542" t="n">
        <f aca="false">IF(AND(V4&gt;'Project Assumptions'!$G$39,V4&lt;='Project Assumptions'!$H$39),'Project Assumptions'!$H$41,0)</f>
        <v>2.5</v>
      </c>
      <c r="W10" s="542" t="n">
        <f aca="false">IF(AND(W4&gt;'Project Assumptions'!$G$39,W4&lt;='Project Assumptions'!$H$39),'Project Assumptions'!$H$41,0)</f>
        <v>2.5</v>
      </c>
      <c r="X10" s="542" t="n">
        <f aca="false">IF(AND(X4&gt;'Project Assumptions'!$G$39,X4&lt;='Project Assumptions'!$H$39),'Project Assumptions'!$H$41,0)</f>
        <v>2.5</v>
      </c>
      <c r="Y10" s="542" t="n">
        <f aca="false">IF(AND(Y4&gt;'Project Assumptions'!$G$39,Y4&lt;='Project Assumptions'!$H$39),'Project Assumptions'!$H$41,0)</f>
        <v>0</v>
      </c>
      <c r="Z10" s="542" t="n">
        <f aca="false">IF(AND(Z4&gt;'Project Assumptions'!$G$39,Z4&lt;='Project Assumptions'!$H$39),'Project Assumptions'!$H$41,0)</f>
        <v>0</v>
      </c>
      <c r="AA10" s="542" t="n">
        <f aca="false">IF(AND(AA4&gt;'Project Assumptions'!$G$39,AA4&lt;='Project Assumptions'!$H$39),'Project Assumptions'!$H$41,0)</f>
        <v>0</v>
      </c>
      <c r="AB10" s="542" t="n">
        <f aca="false">IF(AND(AB4&gt;'Project Assumptions'!$G$39,AB4&lt;='Project Assumptions'!$H$39),'Project Assumptions'!$H$41,0)</f>
        <v>0</v>
      </c>
      <c r="AC10" s="543" t="n">
        <f aca="false">IF(AND(AC4&gt;'Project Assumptions'!$G$39,AC4&lt;='Project Assumptions'!$H$39),'Project Assumptions'!$H$41,0)</f>
        <v>0</v>
      </c>
      <c r="AD10" s="544"/>
      <c r="AE10" s="545"/>
      <c r="AF10" s="545"/>
      <c r="AG10" s="545"/>
      <c r="AH10" s="545"/>
      <c r="AI10" s="545"/>
    </row>
    <row r="11" customFormat="false" ht="12.75" hidden="false" customHeight="false" outlineLevel="0" collapsed="false">
      <c r="A11" s="540"/>
      <c r="B11" s="541"/>
      <c r="C11" s="541"/>
      <c r="D11" s="541"/>
      <c r="E11" s="542"/>
      <c r="F11" s="542"/>
      <c r="G11" s="542"/>
      <c r="H11" s="542"/>
      <c r="I11" s="542"/>
      <c r="J11" s="542"/>
      <c r="K11" s="542"/>
      <c r="L11" s="542"/>
      <c r="M11" s="542"/>
      <c r="N11" s="542"/>
      <c r="O11" s="542"/>
      <c r="P11" s="542"/>
      <c r="Q11" s="542"/>
      <c r="R11" s="542"/>
      <c r="S11" s="542"/>
      <c r="T11" s="542"/>
      <c r="U11" s="542"/>
      <c r="V11" s="542"/>
      <c r="W11" s="542"/>
      <c r="X11" s="542"/>
      <c r="Y11" s="542"/>
      <c r="Z11" s="542"/>
      <c r="AA11" s="542"/>
      <c r="AB11" s="542"/>
      <c r="AC11" s="543"/>
      <c r="AD11" s="544"/>
      <c r="AE11" s="545"/>
      <c r="AF11" s="545"/>
      <c r="AG11" s="545"/>
      <c r="AH11" s="545"/>
      <c r="AI11" s="545"/>
    </row>
    <row r="12" customFormat="false" ht="12.75" hidden="false" customHeight="false" outlineLevel="0" collapsed="false">
      <c r="A12" s="540" t="s">
        <v>437</v>
      </c>
      <c r="B12" s="541"/>
      <c r="C12" s="541"/>
      <c r="D12" s="541"/>
      <c r="E12" s="546" t="n">
        <f aca="false">IF(E4&lt;='Project Assumptions'!$F$39,'Project Assumptions'!$F$40,0)</f>
        <v>0.06725</v>
      </c>
      <c r="F12" s="546" t="n">
        <f aca="false">IF(F4&lt;='Project Assumptions'!$F$39,'Project Assumptions'!$F$40,0)</f>
        <v>0.06725</v>
      </c>
      <c r="G12" s="546" t="n">
        <f aca="false">IF(G4&lt;='Project Assumptions'!$F$39,'Project Assumptions'!$F$40,0)</f>
        <v>0.06725</v>
      </c>
      <c r="H12" s="546" t="n">
        <f aca="false">IF(H4&lt;='Project Assumptions'!$F$39,'Project Assumptions'!$F$40,0)</f>
        <v>0.06725</v>
      </c>
      <c r="I12" s="546" t="n">
        <f aca="false">IF(I4&lt;='Project Assumptions'!$F$39,'Project Assumptions'!$F$40,0)</f>
        <v>0</v>
      </c>
      <c r="J12" s="546" t="n">
        <f aca="false">IF(J4&lt;='Project Assumptions'!$F$39,'Project Assumptions'!$F$40,0)</f>
        <v>0</v>
      </c>
      <c r="K12" s="546" t="n">
        <f aca="false">IF(K4&lt;='Project Assumptions'!$F$39,'Project Assumptions'!$F$40,0)</f>
        <v>0</v>
      </c>
      <c r="L12" s="546" t="n">
        <f aca="false">IF(L4&lt;='Project Assumptions'!$F$39,'Project Assumptions'!$F$40,0)</f>
        <v>0</v>
      </c>
      <c r="M12" s="546" t="n">
        <f aca="false">IF(M4&lt;='Project Assumptions'!$F$39,'Project Assumptions'!$F$40,0)</f>
        <v>0</v>
      </c>
      <c r="N12" s="546" t="n">
        <f aca="false">IF(N4&lt;='Project Assumptions'!$F$39,'Project Assumptions'!$F$40,0)</f>
        <v>0</v>
      </c>
      <c r="O12" s="546" t="n">
        <f aca="false">IF(O4&lt;='Project Assumptions'!$F$39,'Project Assumptions'!$F$40,0)</f>
        <v>0</v>
      </c>
      <c r="P12" s="546" t="n">
        <f aca="false">IF(P4&lt;='Project Assumptions'!$F$39,'Project Assumptions'!$F$40,0)</f>
        <v>0</v>
      </c>
      <c r="Q12" s="546" t="n">
        <f aca="false">IF(Q4&lt;='Project Assumptions'!$F$39,'Project Assumptions'!$F$40,0)</f>
        <v>0</v>
      </c>
      <c r="R12" s="546" t="n">
        <f aca="false">IF(R4&lt;='Project Assumptions'!$F$39,'Project Assumptions'!$F$40,0)</f>
        <v>0</v>
      </c>
      <c r="S12" s="546" t="n">
        <f aca="false">IF(S4&lt;='Project Assumptions'!$F$39,'Project Assumptions'!$F$40,0)</f>
        <v>0</v>
      </c>
      <c r="T12" s="546" t="n">
        <f aca="false">IF(T4&lt;='Project Assumptions'!$F$39,'Project Assumptions'!$F$40,0)</f>
        <v>0</v>
      </c>
      <c r="U12" s="546" t="n">
        <f aca="false">IF(U4&lt;='Project Assumptions'!$F$39,'Project Assumptions'!$F$40,0)</f>
        <v>0</v>
      </c>
      <c r="V12" s="546" t="n">
        <f aca="false">IF(V4&lt;='Project Assumptions'!$F$39,'Project Assumptions'!$F$40,0)</f>
        <v>0</v>
      </c>
      <c r="W12" s="546" t="n">
        <f aca="false">IF(W4&lt;='Project Assumptions'!$F$39,'Project Assumptions'!$F$40,0)</f>
        <v>0</v>
      </c>
      <c r="X12" s="546" t="n">
        <f aca="false">IF(X4&lt;='Project Assumptions'!$F$39,'Project Assumptions'!$F$40,0)</f>
        <v>0</v>
      </c>
      <c r="Y12" s="546" t="n">
        <f aca="false">IF(Y4&lt;='Project Assumptions'!$F$39,'Project Assumptions'!$F$40,0)</f>
        <v>0</v>
      </c>
      <c r="Z12" s="546" t="n">
        <f aca="false">IF(Z4&lt;='Project Assumptions'!$F$39,'Project Assumptions'!$F$40,0)</f>
        <v>0</v>
      </c>
      <c r="AA12" s="546" t="n">
        <f aca="false">IF(AA4&lt;='Project Assumptions'!$F$39,'Project Assumptions'!$F$40,0)</f>
        <v>0</v>
      </c>
      <c r="AB12" s="546" t="n">
        <f aca="false">IF(AB4&lt;='Project Assumptions'!$F$39,'Project Assumptions'!$F$40,0)</f>
        <v>0</v>
      </c>
      <c r="AC12" s="547" t="n">
        <f aca="false">IF(AC4&lt;='Project Assumptions'!$F$39,'Project Assumptions'!$F$40,0)</f>
        <v>0</v>
      </c>
      <c r="AD12" s="545"/>
      <c r="AE12" s="545"/>
      <c r="AF12" s="545"/>
      <c r="AG12" s="545"/>
      <c r="AH12" s="545"/>
      <c r="AI12" s="545"/>
    </row>
    <row r="13" customFormat="false" ht="12.75" hidden="false" customHeight="false" outlineLevel="0" collapsed="false">
      <c r="A13" s="540" t="s">
        <v>438</v>
      </c>
      <c r="B13" s="541"/>
      <c r="C13" s="541"/>
      <c r="D13" s="541"/>
      <c r="E13" s="546" t="n">
        <f aca="false">IF('Project Assumptions'!$G$39=0,0,IF(E4&lt;='Project Assumptions'!$G$39,'Project Assumptions'!$G$40,0))</f>
        <v>0.0757</v>
      </c>
      <c r="F13" s="546" t="n">
        <f aca="false">IF('Project Assumptions'!$G$39=0,0,IF(F4&lt;='Project Assumptions'!$G$39,'Project Assumptions'!$G$40,0))</f>
        <v>0.0757</v>
      </c>
      <c r="G13" s="546" t="n">
        <f aca="false">IF('Project Assumptions'!$G$39=0,0,IF(G4&lt;='Project Assumptions'!$G$39,'Project Assumptions'!$G$40,0))</f>
        <v>0.0757</v>
      </c>
      <c r="H13" s="546" t="n">
        <f aca="false">IF('Project Assumptions'!$G$39=0,0,IF(H4&lt;='Project Assumptions'!$G$39,'Project Assumptions'!$G$40,0))</f>
        <v>0.0757</v>
      </c>
      <c r="I13" s="546" t="n">
        <f aca="false">IF('Project Assumptions'!$G$39=0,0,IF(I4&lt;='Project Assumptions'!$G$39,'Project Assumptions'!$G$40,0))</f>
        <v>0.0757</v>
      </c>
      <c r="J13" s="546" t="n">
        <f aca="false">IF('Project Assumptions'!$G$39=0,0,IF(J4&lt;='Project Assumptions'!$G$39,'Project Assumptions'!$G$40,0))</f>
        <v>0.0757</v>
      </c>
      <c r="K13" s="546" t="n">
        <f aca="false">IF('Project Assumptions'!$G$39=0,0,IF(K4&lt;='Project Assumptions'!$G$39,'Project Assumptions'!$G$40,0))</f>
        <v>0.0757</v>
      </c>
      <c r="L13" s="546" t="n">
        <f aca="false">IF('Project Assumptions'!$G$39=0,0,IF(L4&lt;='Project Assumptions'!$G$39,'Project Assumptions'!$G$40,0))</f>
        <v>0.0757</v>
      </c>
      <c r="M13" s="546" t="n">
        <f aca="false">IF('Project Assumptions'!$G$39=0,0,IF(M4&lt;='Project Assumptions'!$G$39,'Project Assumptions'!$G$40,0))</f>
        <v>0.0757</v>
      </c>
      <c r="N13" s="546" t="n">
        <f aca="false">IF('Project Assumptions'!$G$39=0,0,IF(N4&lt;='Project Assumptions'!$G$39,'Project Assumptions'!$G$40,0))</f>
        <v>0.0757</v>
      </c>
      <c r="O13" s="546" t="n">
        <f aca="false">IF('Project Assumptions'!$G$39=0,0,IF(O4&lt;='Project Assumptions'!$G$39,'Project Assumptions'!$G$40,0))</f>
        <v>0</v>
      </c>
      <c r="P13" s="546" t="n">
        <f aca="false">IF('Project Assumptions'!$G$39=0,0,IF(P4&lt;='Project Assumptions'!$G$39,'Project Assumptions'!$G$40,0))</f>
        <v>0</v>
      </c>
      <c r="Q13" s="546" t="n">
        <f aca="false">IF('Project Assumptions'!$G$39=0,0,IF(Q4&lt;='Project Assumptions'!$G$39,'Project Assumptions'!$G$40,0))</f>
        <v>0</v>
      </c>
      <c r="R13" s="546" t="n">
        <f aca="false">IF('Project Assumptions'!$G$39=0,0,IF(R4&lt;='Project Assumptions'!$G$39,'Project Assumptions'!$G$40,0))</f>
        <v>0</v>
      </c>
      <c r="S13" s="546" t="n">
        <f aca="false">IF('Project Assumptions'!$G$39=0,0,IF(S4&lt;='Project Assumptions'!$G$39,'Project Assumptions'!$G$40,0))</f>
        <v>0</v>
      </c>
      <c r="T13" s="546" t="n">
        <f aca="false">IF('Project Assumptions'!$G$39=0,0,IF(T4&lt;='Project Assumptions'!$G$39,'Project Assumptions'!$G$40,0))</f>
        <v>0</v>
      </c>
      <c r="U13" s="546" t="n">
        <f aca="false">IF('Project Assumptions'!$G$39=0,0,IF(U4&lt;='Project Assumptions'!$G$39,'Project Assumptions'!$G$40,0))</f>
        <v>0</v>
      </c>
      <c r="V13" s="546" t="n">
        <f aca="false">IF('Project Assumptions'!$G$39=0,0,IF(V4&lt;='Project Assumptions'!$G$39,'Project Assumptions'!$G$40,0))</f>
        <v>0</v>
      </c>
      <c r="W13" s="546" t="n">
        <f aca="false">IF('Project Assumptions'!$G$39=0,0,IF(W4&lt;='Project Assumptions'!$G$39,'Project Assumptions'!$G$40,0))</f>
        <v>0</v>
      </c>
      <c r="X13" s="546" t="n">
        <f aca="false">IF('Project Assumptions'!$G$39=0,0,IF(X4&lt;='Project Assumptions'!$G$39,'Project Assumptions'!$G$40,0))</f>
        <v>0</v>
      </c>
      <c r="Y13" s="546" t="n">
        <f aca="false">IF('Project Assumptions'!$G$39=0,0,IF(Y4&lt;='Project Assumptions'!$G$39,'Project Assumptions'!$G$40,0))</f>
        <v>0</v>
      </c>
      <c r="Z13" s="546" t="n">
        <f aca="false">IF('Project Assumptions'!$G$39=0,0,IF(Z4&lt;='Project Assumptions'!$G$39,'Project Assumptions'!$G$40,0))</f>
        <v>0</v>
      </c>
      <c r="AA13" s="546" t="n">
        <f aca="false">IF('Project Assumptions'!$G$39=0,0,IF(AA4&lt;='Project Assumptions'!$G$39,'Project Assumptions'!$G$40,0))</f>
        <v>0</v>
      </c>
      <c r="AB13" s="546" t="n">
        <f aca="false">IF('Project Assumptions'!$G$39=0,0,IF(AB4&lt;='Project Assumptions'!$G$39,'Project Assumptions'!$G$40,0))</f>
        <v>0</v>
      </c>
      <c r="AC13" s="547" t="n">
        <f aca="false">IF('Project Assumptions'!$G$39=0,0,IF(AC4&lt;='Project Assumptions'!$G$39,'Project Assumptions'!$G$40,0))</f>
        <v>0</v>
      </c>
      <c r="AD13" s="545"/>
      <c r="AE13" s="545"/>
      <c r="AF13" s="545"/>
      <c r="AG13" s="545"/>
      <c r="AH13" s="545"/>
      <c r="AI13" s="545"/>
    </row>
    <row r="14" customFormat="false" ht="12.75" hidden="false" customHeight="false" outlineLevel="0" collapsed="false">
      <c r="A14" s="548" t="s">
        <v>439</v>
      </c>
      <c r="B14" s="549"/>
      <c r="C14" s="549"/>
      <c r="D14" s="549"/>
      <c r="E14" s="550" t="n">
        <f aca="false">IF('Project Assumptions'!$H$39=0,0,IF(E4&lt;='Project Assumptions'!$H$39,'Project Assumptions'!$H$40,0))</f>
        <v>0.0818</v>
      </c>
      <c r="F14" s="550" t="n">
        <f aca="false">IF('Project Assumptions'!$H$39=0,0,IF(F4&lt;='Project Assumptions'!$H$39,'Project Assumptions'!$H$40,0))</f>
        <v>0.0818</v>
      </c>
      <c r="G14" s="550" t="n">
        <f aca="false">IF('Project Assumptions'!$H$39=0,0,IF(G4&lt;='Project Assumptions'!$H$39,'Project Assumptions'!$H$40,0))</f>
        <v>0.0818</v>
      </c>
      <c r="H14" s="550" t="n">
        <f aca="false">IF('Project Assumptions'!$H$39=0,0,IF(H4&lt;='Project Assumptions'!$H$39,'Project Assumptions'!$H$40,0))</f>
        <v>0.0818</v>
      </c>
      <c r="I14" s="550" t="n">
        <f aca="false">IF('Project Assumptions'!$H$39=0,0,IF(I4&lt;='Project Assumptions'!$H$39,'Project Assumptions'!$H$40,0))</f>
        <v>0.0818</v>
      </c>
      <c r="J14" s="550" t="n">
        <f aca="false">IF('Project Assumptions'!$H$39=0,0,IF(J4&lt;='Project Assumptions'!$H$39,'Project Assumptions'!$H$40,0))</f>
        <v>0.0818</v>
      </c>
      <c r="K14" s="550" t="n">
        <f aca="false">IF('Project Assumptions'!$H$39=0,0,IF(K4&lt;='Project Assumptions'!$H$39,'Project Assumptions'!$H$40,0))</f>
        <v>0.0818</v>
      </c>
      <c r="L14" s="550" t="n">
        <f aca="false">IF('Project Assumptions'!$H$39=0,0,IF(L4&lt;='Project Assumptions'!$H$39,'Project Assumptions'!$H$40,0))</f>
        <v>0.0818</v>
      </c>
      <c r="M14" s="550" t="n">
        <f aca="false">IF('Project Assumptions'!$H$39=0,0,IF(M4&lt;='Project Assumptions'!$H$39,'Project Assumptions'!$H$40,0))</f>
        <v>0.0818</v>
      </c>
      <c r="N14" s="550" t="n">
        <f aca="false">IF('Project Assumptions'!$H$39=0,0,IF(N4&lt;='Project Assumptions'!$H$39,'Project Assumptions'!$H$40,0))</f>
        <v>0.0818</v>
      </c>
      <c r="O14" s="550" t="n">
        <f aca="false">IF('Project Assumptions'!$H$39=0,0,IF(O4&lt;='Project Assumptions'!$H$39,'Project Assumptions'!$H$40,0))</f>
        <v>0.0818</v>
      </c>
      <c r="P14" s="550" t="n">
        <f aca="false">IF('Project Assumptions'!$H$39=0,0,IF(P4&lt;='Project Assumptions'!$H$39,'Project Assumptions'!$H$40,0))</f>
        <v>0.0818</v>
      </c>
      <c r="Q14" s="550" t="n">
        <f aca="false">IF('Project Assumptions'!$H$39=0,0,IF(Q4&lt;='Project Assumptions'!$H$39,'Project Assumptions'!$H$40,0))</f>
        <v>0.0818</v>
      </c>
      <c r="R14" s="550" t="n">
        <f aca="false">IF('Project Assumptions'!$H$39=0,0,IF(R4&lt;='Project Assumptions'!$H$39,'Project Assumptions'!$H$40,0))</f>
        <v>0.0818</v>
      </c>
      <c r="S14" s="550" t="n">
        <f aca="false">IF('Project Assumptions'!$H$39=0,0,IF(S4&lt;='Project Assumptions'!$H$39,'Project Assumptions'!$H$40,0))</f>
        <v>0.0818</v>
      </c>
      <c r="T14" s="550" t="n">
        <f aca="false">IF('Project Assumptions'!$H$39=0,0,IF(T4&lt;='Project Assumptions'!$H$39,'Project Assumptions'!$H$40,0))</f>
        <v>0.0818</v>
      </c>
      <c r="U14" s="550" t="n">
        <f aca="false">IF('Project Assumptions'!$H$39=0,0,IF(U4&lt;='Project Assumptions'!$H$39,'Project Assumptions'!$H$40,0))</f>
        <v>0.0818</v>
      </c>
      <c r="V14" s="550" t="n">
        <f aca="false">IF('Project Assumptions'!$H$39=0,0,IF(V4&lt;='Project Assumptions'!$H$39,'Project Assumptions'!$H$40,0))</f>
        <v>0.0818</v>
      </c>
      <c r="W14" s="550" t="n">
        <f aca="false">IF('Project Assumptions'!$H$39=0,0,IF(W4&lt;='Project Assumptions'!$H$39,'Project Assumptions'!$H$40,0))</f>
        <v>0.0818</v>
      </c>
      <c r="X14" s="550" t="n">
        <f aca="false">IF('Project Assumptions'!$H$39=0,0,IF(X4&lt;='Project Assumptions'!$H$39,'Project Assumptions'!$H$40,0))</f>
        <v>0.0818</v>
      </c>
      <c r="Y14" s="550" t="n">
        <f aca="false">IF('Project Assumptions'!$H$39=0,0,IF(Y4&lt;='Project Assumptions'!$H$39,'Project Assumptions'!$H$40,0))</f>
        <v>0</v>
      </c>
      <c r="Z14" s="550" t="n">
        <f aca="false">IF('Project Assumptions'!$H$39=0,0,IF(Z4&lt;='Project Assumptions'!$H$39,'Project Assumptions'!$H$40,0))</f>
        <v>0</v>
      </c>
      <c r="AA14" s="550" t="n">
        <f aca="false">IF('Project Assumptions'!$H$39=0,0,IF(AA4&lt;='Project Assumptions'!$H$39,'Project Assumptions'!$H$40,0))</f>
        <v>0</v>
      </c>
      <c r="AB14" s="550" t="n">
        <f aca="false">IF('Project Assumptions'!$H$39=0,0,IF(AB4&lt;='Project Assumptions'!$H$39,'Project Assumptions'!$H$40,0))</f>
        <v>0</v>
      </c>
      <c r="AC14" s="551" t="n">
        <f aca="false">IF('Project Assumptions'!$H$39=0,0,IF(AC4&lt;='Project Assumptions'!$H$39,'Project Assumptions'!$H$40,0))</f>
        <v>0</v>
      </c>
      <c r="AD14" s="545"/>
      <c r="AE14" s="545"/>
      <c r="AF14" s="545"/>
      <c r="AG14" s="545"/>
      <c r="AH14" s="545"/>
      <c r="AI14" s="545"/>
    </row>
    <row r="15" customFormat="false" ht="12.75" hidden="false" customHeight="false" outlineLevel="0" collapsed="false">
      <c r="A15" s="545"/>
      <c r="B15" s="545"/>
      <c r="C15" s="545"/>
      <c r="D15" s="513"/>
      <c r="E15" s="513"/>
      <c r="F15" s="513"/>
      <c r="G15" s="513"/>
      <c r="H15" s="513"/>
      <c r="I15" s="513"/>
      <c r="J15" s="513"/>
      <c r="K15" s="513"/>
      <c r="L15" s="513"/>
      <c r="M15" s="513"/>
      <c r="N15" s="513"/>
      <c r="O15" s="513"/>
      <c r="P15" s="513"/>
      <c r="Q15" s="513"/>
      <c r="R15" s="513"/>
      <c r="S15" s="513"/>
      <c r="T15" s="513"/>
      <c r="U15" s="513"/>
      <c r="V15" s="513"/>
      <c r="W15" s="513"/>
      <c r="X15" s="513"/>
      <c r="Y15" s="513"/>
      <c r="Z15" s="513"/>
      <c r="AA15" s="513"/>
      <c r="AB15" s="513"/>
      <c r="AC15" s="545"/>
      <c r="AD15" s="545"/>
      <c r="AE15" s="545"/>
      <c r="AF15" s="545"/>
      <c r="AG15" s="545"/>
      <c r="AH15" s="545"/>
      <c r="AI15" s="545"/>
    </row>
    <row r="16" customFormat="false" ht="12.75" hidden="false" customHeight="false" outlineLevel="0" collapsed="false">
      <c r="A16" s="552" t="s">
        <v>440</v>
      </c>
      <c r="B16" s="553"/>
      <c r="C16" s="553"/>
      <c r="D16" s="553"/>
      <c r="E16" s="554" t="n">
        <f aca="false">IF(E4&gt;MAX('Project Assumptions'!$F$39,'Project Assumptions'!$G$39,'Project Assumptions'!$H$39),0,IF(E4&lt;='Project Assumptions'!$F$39,E6/E8,IF(E4&lt;='Project Assumptions'!$G$39,E6/E9,E6/E10)))</f>
        <v>9808.71671673484</v>
      </c>
      <c r="F16" s="554" t="n">
        <f aca="false">IF(F4&gt;MAX('Project Assumptions'!$F$39,'Project Assumptions'!$G$39,'Project Assumptions'!$H$39),0,IF(F4&lt;='Project Assumptions'!$F$39,F6/F8,IF(F4&lt;='Project Assumptions'!$G$39,F6/F9,F6/F10)))</f>
        <v>16939.9368434317</v>
      </c>
      <c r="G16" s="554" t="n">
        <f aca="false">IF(G4&gt;MAX('Project Assumptions'!$F$39,'Project Assumptions'!$G$39,'Project Assumptions'!$H$39),0,IF(G4&lt;='Project Assumptions'!$F$39,G6/G8,IF(G4&lt;='Project Assumptions'!$G$39,G6/G9,G6/G10)))</f>
        <v>16888.8797108072</v>
      </c>
      <c r="H16" s="554" t="n">
        <f aca="false">IF(H4&gt;MAX('Project Assumptions'!$F$39,'Project Assumptions'!$G$39,'Project Assumptions'!$H$39),0,IF(H4&lt;='Project Assumptions'!$F$39,H6/H8,IF(H4&lt;='Project Assumptions'!$G$39,H6/H9,H6/H10)))</f>
        <v>20662.3771969942</v>
      </c>
      <c r="I16" s="554" t="n">
        <f aca="false">IF(I4&gt;MAX('Project Assumptions'!$F$39,'Project Assumptions'!$G$39,'Project Assumptions'!$H$39),0,IF(I4&lt;='Project Assumptions'!$F$39,I6/I8,IF(I4&lt;='Project Assumptions'!$G$39,I6/I9,I6/I10)))</f>
        <v>12289.9321345544</v>
      </c>
      <c r="J16" s="554" t="n">
        <f aca="false">IF(J4&gt;MAX('Project Assumptions'!$F$39,'Project Assumptions'!$G$39,'Project Assumptions'!$H$39),0,IF(J4&lt;='Project Assumptions'!$F$39,J6/J8,IF(J4&lt;='Project Assumptions'!$G$39,J6/J9,J6/J10)))</f>
        <v>12408.5139871778</v>
      </c>
      <c r="K16" s="554" t="n">
        <f aca="false">IF(K4&gt;MAX('Project Assumptions'!$F$39,'Project Assumptions'!$G$39,'Project Assumptions'!$H$39),0,IF(K4&lt;='Project Assumptions'!$F$39,K6/K8,IF(K4&lt;='Project Assumptions'!$G$39,K6/K9,K6/K10)))</f>
        <v>12523.0659262414</v>
      </c>
      <c r="L16" s="554" t="n">
        <f aca="false">IF(L4&gt;MAX('Project Assumptions'!$F$39,'Project Assumptions'!$G$39,'Project Assumptions'!$H$39),0,IF(L4&lt;='Project Assumptions'!$F$39,L6/L8,IF(L4&lt;='Project Assumptions'!$G$39,L6/L9,L6/L10)))</f>
        <v>12901.5540972344</v>
      </c>
      <c r="M16" s="554" t="n">
        <f aca="false">IF(M4&gt;MAX('Project Assumptions'!$F$39,'Project Assumptions'!$G$39,'Project Assumptions'!$H$39),0,IF(M4&lt;='Project Assumptions'!$F$39,M6/M8,IF(M4&lt;='Project Assumptions'!$G$39,M6/M9,M6/M10)))</f>
        <v>13015.0328094677</v>
      </c>
      <c r="N16" s="554" t="n">
        <f aca="false">IF(N4&gt;MAX('Project Assumptions'!$F$39,'Project Assumptions'!$G$39,'Project Assumptions'!$H$39),0,IF(N4&lt;='Project Assumptions'!$F$39,N6/N8,IF(N4&lt;='Project Assumptions'!$G$39,N6/N9,N6/N10)))</f>
        <v>13408.2799869575</v>
      </c>
      <c r="O16" s="554" t="n">
        <f aca="false">IF(O4&gt;MAX('Project Assumptions'!$F$39,'Project Assumptions'!$G$39,'Project Assumptions'!$H$39),0,IF(O4&lt;='Project Assumptions'!$F$39,O6/O8,IF(O4&lt;='Project Assumptions'!$G$39,O6/O9,O6/O10)))</f>
        <v>13520.1299019557</v>
      </c>
      <c r="P16" s="554" t="n">
        <f aca="false">IF(P4&gt;MAX('Project Assumptions'!$F$39,'Project Assumptions'!$G$39,'Project Assumptions'!$H$39),0,IF(P4&lt;='Project Assumptions'!$F$39,P6/P8,IF(P4&lt;='Project Assumptions'!$G$39,P6/P9,P6/P10)))</f>
        <v>13928.5299922202</v>
      </c>
      <c r="Q16" s="554" t="n">
        <f aca="false">IF(Q4&gt;MAX('Project Assumptions'!$F$39,'Project Assumptions'!$G$39,'Project Assumptions'!$H$39),0,IF(Q4&lt;='Project Assumptions'!$F$39,Q6/Q8,IF(Q4&lt;='Project Assumptions'!$G$39,Q6/Q9,Q6/Q10)))</f>
        <v>14038.1318514972</v>
      </c>
      <c r="R16" s="554" t="n">
        <f aca="false">IF(R4&gt;MAX('Project Assumptions'!$F$39,'Project Assumptions'!$G$39,'Project Assumptions'!$H$39),0,IF(R4&lt;='Project Assumptions'!$F$39,R6/R8,IF(R4&lt;='Project Assumptions'!$G$39,R6/R9,R6/R10)))</f>
        <v>14141.6902595418</v>
      </c>
      <c r="S16" s="554" t="n">
        <f aca="false">IF(S4&gt;MAX('Project Assumptions'!$F$39,'Project Assumptions'!$G$39,'Project Assumptions'!$H$39),0,IF(S4&lt;='Project Assumptions'!$F$39,S6/S8,IF(S4&lt;='Project Assumptions'!$G$39,S6/S9,S6/S10)))</f>
        <v>14238.7439676064</v>
      </c>
      <c r="T16" s="554" t="n">
        <f aca="false">IF(T4&gt;MAX('Project Assumptions'!$F$39,'Project Assumptions'!$G$39,'Project Assumptions'!$H$39),0,IF(T4&lt;='Project Assumptions'!$F$39,T6/T8,IF(T4&lt;='Project Assumptions'!$G$39,T6/T9,T6/T10)))</f>
        <v>14328.8094911252</v>
      </c>
      <c r="U16" s="554" t="n">
        <f aca="false">IF(U4&gt;MAX('Project Assumptions'!$F$39,'Project Assumptions'!$G$39,'Project Assumptions'!$H$39),0,IF(U4&lt;='Project Assumptions'!$F$39,U6/U8,IF(U4&lt;='Project Assumptions'!$G$39,U6/U9,U6/U10)))</f>
        <v>14411.3801906881</v>
      </c>
      <c r="V16" s="554" t="n">
        <f aca="false">IF(V4&gt;MAX('Project Assumptions'!$F$39,'Project Assumptions'!$G$39,'Project Assumptions'!$H$39),0,IF(V4&lt;='Project Assumptions'!$F$39,V6/V8,IF(V4&lt;='Project Assumptions'!$G$39,V6/V9,V6/V10)))</f>
        <v>14485.9253178866</v>
      </c>
      <c r="W16" s="554" t="n">
        <f aca="false">IF(W4&gt;MAX('Project Assumptions'!$F$39,'Project Assumptions'!$G$39,'Project Assumptions'!$H$39),0,IF(W4&lt;='Project Assumptions'!$F$39,W6/W8,IF(W4&lt;='Project Assumptions'!$G$39,W6/W9,W6/W10)))</f>
        <v>14551.8890247493</v>
      </c>
      <c r="X16" s="554" t="n">
        <f aca="false">IF(X4&gt;MAX('Project Assumptions'!$F$39,'Project Assumptions'!$G$39,'Project Assumptions'!$H$39),0,IF(X4&lt;='Project Assumptions'!$F$39,X6/X8,IF(X4&lt;='Project Assumptions'!$G$39,X6/X9,X6/X10)))</f>
        <v>14608.6893354414</v>
      </c>
      <c r="Y16" s="554" t="n">
        <f aca="false">IF(Y4&gt;MAX('Project Assumptions'!$F$39,'Project Assumptions'!$G$39,'Project Assumptions'!$H$39),0,IF(Y4&lt;='Project Assumptions'!$F$39,Y6/Y8,IF(Y4&lt;='Project Assumptions'!$G$39,Y6/Y9,Y6/Y10)))</f>
        <v>0</v>
      </c>
      <c r="Z16" s="554" t="n">
        <f aca="false">IF(Z4&gt;MAX('Project Assumptions'!$F$39,'Project Assumptions'!$G$39,'Project Assumptions'!$H$39),0,IF(Z4&lt;='Project Assumptions'!$F$39,Z6/Z8,IF(Z4&lt;='Project Assumptions'!$G$39,Z6/Z9,Z6/Z10)))</f>
        <v>0</v>
      </c>
      <c r="AA16" s="554" t="n">
        <f aca="false">IF(AA4&gt;MAX('Project Assumptions'!$F$39,'Project Assumptions'!$G$39,'Project Assumptions'!$H$39),0,IF(AA4&lt;='Project Assumptions'!$F$39,AA6/AA8,IF(AA4&lt;='Project Assumptions'!$G$39,AA6/AA9,AA6/AA10)))</f>
        <v>0</v>
      </c>
      <c r="AB16" s="554" t="n">
        <f aca="false">IF(AB4&gt;MAX('Project Assumptions'!$F$39,'Project Assumptions'!$G$39,'Project Assumptions'!$H$39),0,IF(AB4&lt;='Project Assumptions'!$F$39,AB6/AB8,IF(AB4&lt;='Project Assumptions'!$G$39,AB6/AB9,AB6/AB10)))</f>
        <v>0</v>
      </c>
      <c r="AC16" s="555" t="n">
        <f aca="false">IF(AC4&gt;MAX('Project Assumptions'!$F$39,'Project Assumptions'!$G$39,'Project Assumptions'!$H$39),0,IF(AC4&lt;='Project Assumptions'!$F$39,AC6/AC8,IF(AC4&lt;='Project Assumptions'!$G$39,AC6/AC9,AC6/AC10)))</f>
        <v>0</v>
      </c>
      <c r="AD16" s="513"/>
      <c r="AE16" s="545"/>
      <c r="AF16" s="545"/>
      <c r="AG16" s="545"/>
      <c r="AH16" s="545"/>
      <c r="AI16" s="545"/>
    </row>
    <row r="17" customFormat="false" ht="12.75" hidden="false" customHeight="false" outlineLevel="0" collapsed="false">
      <c r="A17" s="556"/>
      <c r="B17" s="541"/>
      <c r="C17" s="541"/>
      <c r="D17" s="541"/>
      <c r="E17" s="513"/>
      <c r="F17" s="513"/>
      <c r="G17" s="513"/>
      <c r="H17" s="513"/>
      <c r="I17" s="513"/>
      <c r="J17" s="513"/>
      <c r="K17" s="513"/>
      <c r="L17" s="513"/>
      <c r="M17" s="513"/>
      <c r="N17" s="513"/>
      <c r="O17" s="513"/>
      <c r="P17" s="513"/>
      <c r="Q17" s="513"/>
      <c r="R17" s="513"/>
      <c r="S17" s="513"/>
      <c r="T17" s="513"/>
      <c r="U17" s="513"/>
      <c r="V17" s="513"/>
      <c r="W17" s="513"/>
      <c r="X17" s="513"/>
      <c r="Y17" s="513"/>
      <c r="Z17" s="513"/>
      <c r="AA17" s="513"/>
      <c r="AB17" s="513"/>
      <c r="AC17" s="557"/>
      <c r="AD17" s="513"/>
      <c r="AE17" s="545"/>
      <c r="AF17" s="545"/>
      <c r="AG17" s="545"/>
      <c r="AH17" s="545"/>
      <c r="AI17" s="545"/>
    </row>
    <row r="18" customFormat="false" ht="12.75" hidden="false" customHeight="false" outlineLevel="0" collapsed="false">
      <c r="A18" s="540"/>
      <c r="B18" s="558" t="n">
        <f aca="false">'Project Assumptions'!$G$16</f>
        <v>36678</v>
      </c>
      <c r="C18" s="558" t="n">
        <f aca="false">DATE(YEAR('Project Assumptions'!$G$16),12,31)</f>
        <v>36891</v>
      </c>
      <c r="D18" s="541"/>
      <c r="E18" s="513"/>
      <c r="F18" s="513"/>
      <c r="G18" s="513"/>
      <c r="H18" s="513"/>
      <c r="I18" s="513"/>
      <c r="J18" s="513"/>
      <c r="K18" s="513"/>
      <c r="L18" s="513"/>
      <c r="M18" s="513"/>
      <c r="N18" s="513"/>
      <c r="O18" s="513"/>
      <c r="P18" s="513"/>
      <c r="Q18" s="513"/>
      <c r="R18" s="513"/>
      <c r="S18" s="513"/>
      <c r="T18" s="513"/>
      <c r="U18" s="513"/>
      <c r="V18" s="513"/>
      <c r="W18" s="513"/>
      <c r="X18" s="513"/>
      <c r="Y18" s="513"/>
      <c r="Z18" s="513"/>
      <c r="AA18" s="513"/>
      <c r="AB18" s="513"/>
      <c r="AC18" s="557"/>
      <c r="AD18" s="545"/>
      <c r="AE18" s="545"/>
      <c r="AF18" s="545"/>
      <c r="AG18" s="545"/>
      <c r="AH18" s="545"/>
      <c r="AI18" s="545"/>
    </row>
    <row r="19" customFormat="false" ht="12.75" hidden="false" customHeight="false" outlineLevel="0" collapsed="false">
      <c r="A19" s="540" t="s">
        <v>441</v>
      </c>
      <c r="B19" s="536" t="n">
        <f aca="false">NPV(E12*(13-MONTH('Project Assumptions'!G16))/12,C19)</f>
        <v>41367.2816609214</v>
      </c>
      <c r="C19" s="536" t="n">
        <f aca="false">NPV(F12,F19:AC19)+E19</f>
        <v>42990.0856477446</v>
      </c>
      <c r="D19" s="541"/>
      <c r="E19" s="536" t="n">
        <f aca="false">IF(E4&gt;'Project Assumptions'!$F$39,0,E16-E35-E43)</f>
        <v>7179.72778134326</v>
      </c>
      <c r="F19" s="536" t="n">
        <f aca="false">IF(F4&gt;'Project Assumptions'!$F$39,0,F16-F35-F43)</f>
        <v>12433.0986684747</v>
      </c>
      <c r="G19" s="536" t="n">
        <f aca="false">IF(G4&gt;'Project Assumptions'!$F$39,0,G16-G35-G43)</f>
        <v>12382.0415358503</v>
      </c>
      <c r="H19" s="536" t="n">
        <f aca="false">IF(H4&gt;'Project Assumptions'!$F$39,0,H16-H35-H43)</f>
        <v>16155.5390220372</v>
      </c>
      <c r="I19" s="536" t="n">
        <f aca="false">IF(I4&gt;'Project Assumptions'!$F$39,0,I16-I35-I43)</f>
        <v>0</v>
      </c>
      <c r="J19" s="536" t="n">
        <f aca="false">IF(J4&gt;'Project Assumptions'!$F$39,0,J16-J35-J43)</f>
        <v>0</v>
      </c>
      <c r="K19" s="536" t="n">
        <f aca="false">IF(K4&gt;'Project Assumptions'!$F$39,0,K16-K35-K43)</f>
        <v>0</v>
      </c>
      <c r="L19" s="536" t="n">
        <f aca="false">IF(L4&gt;'Project Assumptions'!$F$39,0,L16-L35-L43)</f>
        <v>0</v>
      </c>
      <c r="M19" s="536" t="n">
        <f aca="false">IF(M4&gt;'Project Assumptions'!$F$39,0,M16-M35-M43)</f>
        <v>0</v>
      </c>
      <c r="N19" s="536" t="n">
        <f aca="false">IF(N4&gt;'Project Assumptions'!$F$39,0,N16-N35-N43)</f>
        <v>0</v>
      </c>
      <c r="O19" s="536" t="n">
        <f aca="false">IF(O4&gt;'Project Assumptions'!$F$39,0,O16-O35-O43)</f>
        <v>0</v>
      </c>
      <c r="P19" s="536" t="n">
        <f aca="false">IF(P4&gt;'Project Assumptions'!$F$39,0,P16-P35-P43)</f>
        <v>0</v>
      </c>
      <c r="Q19" s="536" t="n">
        <f aca="false">IF(Q4&gt;'Project Assumptions'!$F$39,0,Q16-Q35-Q43)</f>
        <v>0</v>
      </c>
      <c r="R19" s="536" t="n">
        <f aca="false">IF(R4&gt;'Project Assumptions'!$F$39,0,R16-R35-R43)</f>
        <v>0</v>
      </c>
      <c r="S19" s="536" t="n">
        <f aca="false">IF(S4&gt;'Project Assumptions'!$F$39,0,S16-S35-S43)</f>
        <v>0</v>
      </c>
      <c r="T19" s="536" t="n">
        <f aca="false">IF(T4&gt;'Project Assumptions'!$F$39,0,T16-T35-T43)</f>
        <v>0</v>
      </c>
      <c r="U19" s="536" t="n">
        <f aca="false">IF(U4&gt;'Project Assumptions'!$F$39,0,U16-U35-U43)</f>
        <v>0</v>
      </c>
      <c r="V19" s="536" t="n">
        <f aca="false">IF(V4&gt;'Project Assumptions'!$F$39,0,V16-V35-V43)</f>
        <v>0</v>
      </c>
      <c r="W19" s="536" t="n">
        <f aca="false">IF(W4&gt;'Project Assumptions'!$F$39,0,W16-W35-W43)</f>
        <v>0</v>
      </c>
      <c r="X19" s="536" t="n">
        <f aca="false">IF(X4&gt;'Project Assumptions'!$F$39,0,X16-X35-X43)</f>
        <v>0</v>
      </c>
      <c r="Y19" s="536" t="n">
        <f aca="false">IF(Y4&gt;'Project Assumptions'!$F$39,0,Y16-Y35-Y43)</f>
        <v>0</v>
      </c>
      <c r="Z19" s="536" t="n">
        <f aca="false">IF(Z4&gt;'Project Assumptions'!$F$39,0,Z16-Z35-Z43)</f>
        <v>0</v>
      </c>
      <c r="AA19" s="536" t="n">
        <f aca="false">IF(AA4&gt;'Project Assumptions'!$F$39,0,AA16-AA35-AA43)</f>
        <v>0</v>
      </c>
      <c r="AB19" s="536" t="n">
        <f aca="false">IF(AB4&gt;'Project Assumptions'!$F$39,0,AB16-AB35-AB43)</f>
        <v>0</v>
      </c>
      <c r="AC19" s="537" t="n">
        <f aca="false">IF(AC4&gt;'Project Assumptions'!$F$39,0,AC16-AC35-AC43)</f>
        <v>0</v>
      </c>
      <c r="AD19" s="545"/>
      <c r="AE19" s="545"/>
      <c r="AF19" s="545"/>
      <c r="AG19" s="545"/>
      <c r="AH19" s="545"/>
      <c r="AI19" s="545"/>
    </row>
    <row r="20" customFormat="false" ht="12.75" hidden="false" customHeight="false" outlineLevel="0" collapsed="false">
      <c r="A20" s="540" t="s">
        <v>442</v>
      </c>
      <c r="B20" s="513" t="n">
        <f aca="false">HLOOKUP('Project Assumptions'!$F$39,$E$4:$AC$20,17)</f>
        <v>59535.5108977146</v>
      </c>
      <c r="C20" s="513"/>
      <c r="D20" s="541"/>
      <c r="E20" s="536" t="n">
        <f aca="false">IF(E4&lt;'Project Assumptions'!$F$39,0,IF(E4='Project Assumptions'!$F$39,NPV(F13,F20:$AC$20),IF(E4&lt;='Project Assumptions'!$G$39,E16-E43,0)))</f>
        <v>0</v>
      </c>
      <c r="F20" s="536" t="n">
        <f aca="false">IF(F4&lt;'Project Assumptions'!$F$39,0,IF(F4='Project Assumptions'!$F$39,NPV(G13,G20:$AC$20),IF(F4&lt;='Project Assumptions'!$G$39,F16-F43,0)))</f>
        <v>0</v>
      </c>
      <c r="G20" s="536" t="n">
        <f aca="false">IF(G4&lt;'Project Assumptions'!$F$39,0,IF(G4='Project Assumptions'!$F$39,NPV(H13,H20:$AC$20),IF(G4&lt;='Project Assumptions'!$G$39,G16-G43,0)))</f>
        <v>0</v>
      </c>
      <c r="H20" s="536" t="n">
        <f aca="false">IF(H4&lt;'Project Assumptions'!$F$39,0,IF(H4='Project Assumptions'!$F$39,NPV(I13,I20:$AC$20),IF(H4&lt;='Project Assumptions'!$G$39,H16-H43,0)))</f>
        <v>59535.5108977146</v>
      </c>
      <c r="I20" s="536" t="n">
        <f aca="false">IF(I4&lt;'Project Assumptions'!$F$39,0,IF(I4='Project Assumptions'!$F$39,NPV(J13,J20:$AC$20),IF(I4&lt;='Project Assumptions'!$G$39,I16-I43,0)))</f>
        <v>12289.9321345544</v>
      </c>
      <c r="J20" s="536" t="n">
        <f aca="false">IF(J4&lt;'Project Assumptions'!$F$39,0,IF(J4='Project Assumptions'!$F$39,NPV(K13,K20:$AC$20),IF(J4&lt;='Project Assumptions'!$G$39,J16-J43,0)))</f>
        <v>12408.5139871778</v>
      </c>
      <c r="K20" s="536" t="n">
        <f aca="false">IF(K4&lt;'Project Assumptions'!$F$39,0,IF(K4='Project Assumptions'!$F$39,NPV(L13,L20:$AC$20),IF(K4&lt;='Project Assumptions'!$G$39,K16-K43,0)))</f>
        <v>12523.0659262414</v>
      </c>
      <c r="L20" s="536" t="n">
        <f aca="false">IF(L4&lt;'Project Assumptions'!$F$39,0,IF(L4='Project Assumptions'!$F$39,NPV(M13,M20:$AC$20),IF(L4&lt;='Project Assumptions'!$G$39,L16-L43,0)))</f>
        <v>12901.5540972344</v>
      </c>
      <c r="M20" s="536" t="n">
        <f aca="false">IF(M4&lt;'Project Assumptions'!$F$39,0,IF(M4='Project Assumptions'!$F$39,NPV(N13,N20:$AC$20),IF(M4&lt;='Project Assumptions'!$G$39,M16-M43,0)))</f>
        <v>13015.0328094677</v>
      </c>
      <c r="N20" s="536" t="n">
        <f aca="false">IF(N4&lt;'Project Assumptions'!$F$39,0,IF(N4='Project Assumptions'!$F$39,NPV(O13,O20:$AC$20),IF(N4&lt;='Project Assumptions'!$G$39,N16-N43,0)))</f>
        <v>13408.2799869575</v>
      </c>
      <c r="O20" s="536" t="n">
        <f aca="false">IF(O4&lt;'Project Assumptions'!$F$39,0,IF(O4='Project Assumptions'!$F$39,NPV(P13,P20:$AC$20),IF(O4&lt;='Project Assumptions'!$G$39,O16-O43,0)))</f>
        <v>0</v>
      </c>
      <c r="P20" s="536" t="n">
        <f aca="false">IF(P4&lt;'Project Assumptions'!$F$39,0,IF(P4='Project Assumptions'!$F$39,NPV(Q13,Q20:$AC$20),IF(P4&lt;='Project Assumptions'!$G$39,P16-P43,0)))</f>
        <v>0</v>
      </c>
      <c r="Q20" s="536" t="n">
        <f aca="false">IF(Q4&lt;'Project Assumptions'!$F$39,0,IF(Q4='Project Assumptions'!$F$39,NPV(R13,R20:$AC$20),IF(Q4&lt;='Project Assumptions'!$G$39,Q16-Q43,0)))</f>
        <v>0</v>
      </c>
      <c r="R20" s="536" t="n">
        <f aca="false">IF(R4&lt;'Project Assumptions'!$F$39,0,IF(R4='Project Assumptions'!$F$39,NPV(S13,S20:$AC$20),IF(R4&lt;='Project Assumptions'!$G$39,R16-R43,0)))</f>
        <v>0</v>
      </c>
      <c r="S20" s="536" t="n">
        <f aca="false">IF(S4&lt;'Project Assumptions'!$F$39,0,IF(S4='Project Assumptions'!$F$39,NPV(T13,T20:$AC$20),IF(S4&lt;='Project Assumptions'!$G$39,S16-S43,0)))</f>
        <v>0</v>
      </c>
      <c r="T20" s="536" t="n">
        <f aca="false">IF(T4&lt;'Project Assumptions'!$F$39,0,IF(T4='Project Assumptions'!$F$39,NPV(U13,U20:$AC$20),IF(T4&lt;='Project Assumptions'!$G$39,T16-T43,0)))</f>
        <v>0</v>
      </c>
      <c r="U20" s="536" t="n">
        <f aca="false">IF(U4&lt;'Project Assumptions'!$F$39,0,IF(U4='Project Assumptions'!$F$39,NPV(V13,V20:$AC$20),IF(U4&lt;='Project Assumptions'!$G$39,U16-U43,0)))</f>
        <v>0</v>
      </c>
      <c r="V20" s="536" t="n">
        <f aca="false">IF(V4&lt;'Project Assumptions'!$F$39,0,IF(V4='Project Assumptions'!$F$39,NPV(W13,W20:$AC$20),IF(V4&lt;='Project Assumptions'!$G$39,V16-V43,0)))</f>
        <v>0</v>
      </c>
      <c r="W20" s="536" t="n">
        <f aca="false">IF(W4&lt;'Project Assumptions'!$F$39,0,IF(W4='Project Assumptions'!$F$39,NPV(X13,X20:$AC$20),IF(W4&lt;='Project Assumptions'!$G$39,W16-W43,0)))</f>
        <v>0</v>
      </c>
      <c r="X20" s="536" t="n">
        <f aca="false">IF(X4&lt;'Project Assumptions'!$F$39,0,IF(X4='Project Assumptions'!$F$39,NPV(Y13,Y20:$AC$20),IF(X4&lt;='Project Assumptions'!$G$39,X16-X43,0)))</f>
        <v>0</v>
      </c>
      <c r="Y20" s="536" t="n">
        <f aca="false">IF(Y4&lt;'Project Assumptions'!$F$39,0,IF(Y4='Project Assumptions'!$F$39,NPV(Z13,Z20:$AC$20),IF(Y4&lt;='Project Assumptions'!$G$39,Y16-Y43,0)))</f>
        <v>0</v>
      </c>
      <c r="Z20" s="536" t="n">
        <f aca="false">IF(Z4&lt;'Project Assumptions'!$F$39,0,IF(Z4='Project Assumptions'!$F$39,NPV(AA13,AA20:$AC$20),IF(Z4&lt;='Project Assumptions'!$G$39,Z16-Z43,0)))</f>
        <v>0</v>
      </c>
      <c r="AA20" s="536" t="n">
        <f aca="false">IF(AA4&lt;'Project Assumptions'!$F$39,0,IF(AA4='Project Assumptions'!$F$39,NPV(AB13,AB20:$AC$20),IF(AA4&lt;='Project Assumptions'!$G$39,AA16-AA43,0)))</f>
        <v>0</v>
      </c>
      <c r="AB20" s="536" t="n">
        <f aca="false">IF(AB4&lt;'Project Assumptions'!$F$39,0,IF(AB4='Project Assumptions'!$F$39,NPV(AC13,AC20:$AC$20),IF(AB4&lt;='Project Assumptions'!$G$39,AB16-AB43,0)))</f>
        <v>0</v>
      </c>
      <c r="AC20" s="537" t="n">
        <f aca="false">IF(AC4&lt;'Project Assumptions'!$F$39,0,IF(AC4='Project Assumptions'!$F$39,NPV(AD13,$AC20:AD$20),IF(AC4&lt;='Project Assumptions'!$G$39,AC16-AC43,0)))</f>
        <v>0</v>
      </c>
      <c r="AD20" s="545"/>
      <c r="AE20" s="545"/>
      <c r="AF20" s="545"/>
      <c r="AG20" s="545"/>
      <c r="AH20" s="545"/>
      <c r="AI20" s="545"/>
    </row>
    <row r="21" customFormat="false" ht="15" hidden="false" customHeight="false" outlineLevel="0" collapsed="false">
      <c r="A21" s="540" t="s">
        <v>443</v>
      </c>
      <c r="B21" s="559" t="n">
        <f aca="false">IF('Project Assumptions'!$H$39=0,0,HLOOKUP('Project Assumptions'!$G$39,$E$4:$AC$21,18))</f>
        <v>94223.9700782092</v>
      </c>
      <c r="C21" s="559"/>
      <c r="D21" s="541"/>
      <c r="E21" s="536" t="n">
        <f aca="false">IF(OR(E4&lt;'Project Assumptions'!$G$39,'Project Assumptions'!$G$39=0,'Project Assumptions'!$H$39=0),0,IF(E4='Project Assumptions'!$G$39,NPV(F14,F21:$AC$21),IF(E4&lt;='Project Assumptions'!$H$39,E16,0)))</f>
        <v>0</v>
      </c>
      <c r="F21" s="536" t="n">
        <f aca="false">IF(OR(F4&lt;'Project Assumptions'!$G$39,'Project Assumptions'!$G$39=0,'Project Assumptions'!$H$39=0),0,IF(F4='Project Assumptions'!$G$39,NPV(G14,G21:$AC$21),IF(F4&lt;='Project Assumptions'!$H$39,F16,0)))</f>
        <v>0</v>
      </c>
      <c r="G21" s="536" t="n">
        <f aca="false">IF(OR(G4&lt;'Project Assumptions'!$G$39,'Project Assumptions'!$G$39=0,'Project Assumptions'!$H$39=0),0,IF(G4='Project Assumptions'!$G$39,NPV(H14,H21:$AC$21),IF(G4&lt;='Project Assumptions'!$H$39,G16,0)))</f>
        <v>0</v>
      </c>
      <c r="H21" s="536" t="n">
        <f aca="false">IF(OR(H4&lt;'Project Assumptions'!$G$39,'Project Assumptions'!$G$39=0,'Project Assumptions'!$H$39=0),0,IF(H4='Project Assumptions'!$G$39,NPV(I14,I21:$AC$21),IF(H4&lt;='Project Assumptions'!$H$39,H16,0)))</f>
        <v>0</v>
      </c>
      <c r="I21" s="536" t="n">
        <f aca="false">IF(OR(I4&lt;'Project Assumptions'!$G$39,'Project Assumptions'!$G$39=0,'Project Assumptions'!$H$39=0),0,IF(I4='Project Assumptions'!$G$39,NPV(J14,J21:$AC$21),IF(I4&lt;='Project Assumptions'!$H$39,I16,0)))</f>
        <v>0</v>
      </c>
      <c r="J21" s="536" t="n">
        <f aca="false">IF(OR(J4&lt;'Project Assumptions'!$G$39,'Project Assumptions'!$G$39=0,'Project Assumptions'!$H$39=0),0,IF(J4='Project Assumptions'!$G$39,NPV(K14,K21:$AC$21),IF(J4&lt;='Project Assumptions'!$H$39,J16,0)))</f>
        <v>0</v>
      </c>
      <c r="K21" s="536" t="n">
        <f aca="false">IF(OR(K4&lt;'Project Assumptions'!$G$39,'Project Assumptions'!$G$39=0,'Project Assumptions'!$H$39=0),0,IF(K4='Project Assumptions'!$G$39,NPV(L14,L21:$AC$21),IF(K4&lt;='Project Assumptions'!$H$39,K16,0)))</f>
        <v>0</v>
      </c>
      <c r="L21" s="536" t="n">
        <f aca="false">IF(OR(L4&lt;'Project Assumptions'!$G$39,'Project Assumptions'!$G$39=0,'Project Assumptions'!$H$39=0),0,IF(L4='Project Assumptions'!$G$39,NPV(M14,M21:$AC$21),IF(L4&lt;='Project Assumptions'!$H$39,L16,0)))</f>
        <v>0</v>
      </c>
      <c r="M21" s="536" t="n">
        <f aca="false">IF(OR(M4&lt;'Project Assumptions'!$G$39,'Project Assumptions'!$G$39=0,'Project Assumptions'!$H$39=0),0,IF(M4='Project Assumptions'!$G$39,NPV(N14,N21:$AC$21),IF(M4&lt;='Project Assumptions'!$H$39,M16,0)))</f>
        <v>0</v>
      </c>
      <c r="N21" s="536" t="n">
        <f aca="false">IF(OR(N4&lt;'Project Assumptions'!$G$39,'Project Assumptions'!$G$39=0,'Project Assumptions'!$H$39=0),0,IF(N4='Project Assumptions'!$G$39,NPV(O14,O21:$AC$21),IF(N4&lt;='Project Assumptions'!$H$39,N16,0)))</f>
        <v>94223.9700782092</v>
      </c>
      <c r="O21" s="536" t="n">
        <f aca="false">IF(OR(O4&lt;'Project Assumptions'!$G$39,'Project Assumptions'!$G$39=0,'Project Assumptions'!$H$39=0),0,IF(O4='Project Assumptions'!$G$39,NPV(P14,P21:$AC$21),IF(O4&lt;='Project Assumptions'!$H$39,O16,0)))</f>
        <v>13520.1299019557</v>
      </c>
      <c r="P21" s="536" t="n">
        <f aca="false">IF(OR(P4&lt;'Project Assumptions'!$G$39,'Project Assumptions'!$G$39=0,'Project Assumptions'!$H$39=0),0,IF(P4='Project Assumptions'!$G$39,NPV(Q14,Q21:$AC$21),IF(P4&lt;='Project Assumptions'!$H$39,P16,0)))</f>
        <v>13928.5299922202</v>
      </c>
      <c r="Q21" s="536" t="n">
        <f aca="false">IF(OR(Q4&lt;'Project Assumptions'!$G$39,'Project Assumptions'!$G$39=0,'Project Assumptions'!$H$39=0),0,IF(Q4='Project Assumptions'!$G$39,NPV(R14,R21:$AC$21),IF(Q4&lt;='Project Assumptions'!$H$39,Q16,0)))</f>
        <v>14038.1318514972</v>
      </c>
      <c r="R21" s="536" t="n">
        <f aca="false">IF(OR(R4&lt;'Project Assumptions'!$G$39,'Project Assumptions'!$G$39=0,'Project Assumptions'!$H$39=0),0,IF(R4='Project Assumptions'!$G$39,NPV(S14,S21:$AC$21),IF(R4&lt;='Project Assumptions'!$H$39,R16,0)))</f>
        <v>14141.6902595418</v>
      </c>
      <c r="S21" s="536" t="n">
        <f aca="false">IF(OR(S4&lt;'Project Assumptions'!$G$39,'Project Assumptions'!$G$39=0,'Project Assumptions'!$H$39=0),0,IF(S4='Project Assumptions'!$G$39,NPV(T14,T21:$AC$21),IF(S4&lt;='Project Assumptions'!$H$39,S16,0)))</f>
        <v>14238.7439676064</v>
      </c>
      <c r="T21" s="536" t="n">
        <f aca="false">IF(OR(T4&lt;'Project Assumptions'!$G$39,'Project Assumptions'!$G$39=0,'Project Assumptions'!$H$39=0),0,IF(T4='Project Assumptions'!$G$39,NPV(U14,U21:$AC$21),IF(T4&lt;='Project Assumptions'!$H$39,T16,0)))</f>
        <v>14328.8094911252</v>
      </c>
      <c r="U21" s="536" t="n">
        <f aca="false">IF(OR(U4&lt;'Project Assumptions'!$G$39,'Project Assumptions'!$G$39=0,'Project Assumptions'!$H$39=0),0,IF(U4='Project Assumptions'!$G$39,NPV(V14,V21:$AC$21),IF(U4&lt;='Project Assumptions'!$H$39,U16,0)))</f>
        <v>14411.3801906881</v>
      </c>
      <c r="V21" s="536" t="n">
        <f aca="false">IF(OR(V4&lt;'Project Assumptions'!$G$39,'Project Assumptions'!$G$39=0,'Project Assumptions'!$H$39=0),0,IF(V4='Project Assumptions'!$G$39,NPV(W14,W21:$AC$21),IF(V4&lt;='Project Assumptions'!$H$39,V16,0)))</f>
        <v>14485.9253178866</v>
      </c>
      <c r="W21" s="536" t="n">
        <f aca="false">IF(OR(W4&lt;'Project Assumptions'!$G$39,'Project Assumptions'!$G$39=0,'Project Assumptions'!$H$39=0),0,IF(W4='Project Assumptions'!$G$39,NPV(X14,X21:$AC$21),IF(W4&lt;='Project Assumptions'!$H$39,W16,0)))</f>
        <v>14551.8890247493</v>
      </c>
      <c r="X21" s="536" t="n">
        <f aca="false">IF(OR(X4&lt;'Project Assumptions'!$G$39,'Project Assumptions'!$G$39=0,'Project Assumptions'!$H$39=0),0,IF(X4='Project Assumptions'!$G$39,NPV(Y14,Y21:$AC$21),IF(X4&lt;='Project Assumptions'!$H$39,X16,0)))</f>
        <v>14608.6893354414</v>
      </c>
      <c r="Y21" s="536" t="n">
        <f aca="false">IF(OR(Y4&lt;'Project Assumptions'!$G$39,'Project Assumptions'!$G$39=0,'Project Assumptions'!$H$39=0),0,IF(Y4='Project Assumptions'!$G$39,NPV(Z14,Z21:$AC$21),IF(Y4&lt;='Project Assumptions'!$H$39,Y16,0)))</f>
        <v>0</v>
      </c>
      <c r="Z21" s="536" t="n">
        <f aca="false">IF(OR(Z4&lt;'Project Assumptions'!$G$39,'Project Assumptions'!$G$39=0,'Project Assumptions'!$H$39=0),0,IF(Z4='Project Assumptions'!$G$39,NPV(AA14,AA21:$AC$21),IF(Z4&lt;='Project Assumptions'!$H$39,Z16,0)))</f>
        <v>0</v>
      </c>
      <c r="AA21" s="536" t="n">
        <f aca="false">IF(OR(AA4&lt;'Project Assumptions'!$G$39,'Project Assumptions'!$G$39=0,'Project Assumptions'!$H$39=0),0,IF(AA4='Project Assumptions'!$G$39,NPV(AB14,AB21:$AC$21),IF(AA4&lt;='Project Assumptions'!$H$39,AA16,0)))</f>
        <v>0</v>
      </c>
      <c r="AB21" s="536" t="n">
        <f aca="false">IF(OR(AB4&lt;'Project Assumptions'!$G$39,'Project Assumptions'!$G$39=0,'Project Assumptions'!$H$39=0),0,IF(AB4='Project Assumptions'!$G$39,NPV(AC14,AC21:$AC$21),IF(AB4&lt;='Project Assumptions'!$H$39,AB16,0)))</f>
        <v>0</v>
      </c>
      <c r="AC21" s="537" t="n">
        <f aca="false">IF(OR(AC4&lt;'Project Assumptions'!$G$39,'Project Assumptions'!$G$39=0,'Project Assumptions'!$H$39=0),0,IF(AC4='Project Assumptions'!$G$39,NPV(AD14,$AC21:AD$21),IF(AC4&lt;='Project Assumptions'!$H$39,AC16,0)))</f>
        <v>0</v>
      </c>
      <c r="AD21" s="545"/>
      <c r="AE21" s="545"/>
      <c r="AF21" s="545"/>
      <c r="AG21" s="545"/>
      <c r="AH21" s="545"/>
      <c r="AI21" s="545"/>
    </row>
    <row r="22" customFormat="false" ht="12.75" hidden="false" customHeight="false" outlineLevel="0" collapsed="false">
      <c r="A22" s="560" t="s">
        <v>444</v>
      </c>
      <c r="B22" s="561" t="n">
        <f aca="false">SUM(B19:B21)</f>
        <v>195126.762636845</v>
      </c>
      <c r="C22" s="562"/>
      <c r="D22" s="549"/>
      <c r="E22" s="563"/>
      <c r="F22" s="563"/>
      <c r="G22" s="563"/>
      <c r="H22" s="563"/>
      <c r="I22" s="563"/>
      <c r="J22" s="563"/>
      <c r="K22" s="563"/>
      <c r="L22" s="563"/>
      <c r="M22" s="563"/>
      <c r="N22" s="563"/>
      <c r="O22" s="563"/>
      <c r="P22" s="563"/>
      <c r="Q22" s="563"/>
      <c r="R22" s="563"/>
      <c r="S22" s="563"/>
      <c r="T22" s="563"/>
      <c r="U22" s="563"/>
      <c r="V22" s="563"/>
      <c r="W22" s="563"/>
      <c r="X22" s="563"/>
      <c r="Y22" s="563"/>
      <c r="Z22" s="563"/>
      <c r="AA22" s="563"/>
      <c r="AB22" s="563"/>
      <c r="AC22" s="564"/>
      <c r="AD22" s="545"/>
      <c r="AE22" s="545"/>
      <c r="AF22" s="545"/>
      <c r="AG22" s="545"/>
      <c r="AH22" s="545"/>
      <c r="AI22" s="545"/>
    </row>
    <row r="23" customFormat="false" ht="12.75" hidden="false" customHeight="false" outlineLevel="0" collapsed="false">
      <c r="B23" s="565"/>
      <c r="C23" s="565"/>
      <c r="D23" s="513"/>
      <c r="E23" s="566"/>
      <c r="F23" s="566"/>
      <c r="G23" s="566"/>
      <c r="H23" s="566"/>
      <c r="I23" s="566"/>
      <c r="J23" s="566"/>
      <c r="K23" s="566"/>
      <c r="L23" s="566"/>
      <c r="M23" s="566"/>
      <c r="N23" s="566"/>
      <c r="O23" s="566"/>
      <c r="P23" s="566"/>
      <c r="Q23" s="566"/>
      <c r="R23" s="566"/>
      <c r="S23" s="566"/>
      <c r="T23" s="566"/>
      <c r="U23" s="566"/>
      <c r="V23" s="566"/>
      <c r="W23" s="566"/>
      <c r="X23" s="566"/>
      <c r="Y23" s="566"/>
      <c r="Z23" s="566"/>
      <c r="AA23" s="566"/>
      <c r="AB23" s="566"/>
      <c r="AC23" s="566"/>
    </row>
    <row r="24" customFormat="false" ht="12.75" hidden="false" customHeight="false" outlineLevel="0" collapsed="false">
      <c r="B24" s="565"/>
      <c r="C24" s="565"/>
      <c r="D24" s="513"/>
      <c r="E24" s="567"/>
      <c r="F24" s="567"/>
      <c r="G24" s="513"/>
      <c r="H24" s="513"/>
      <c r="I24" s="513"/>
      <c r="J24" s="513"/>
      <c r="K24" s="513"/>
      <c r="L24" s="513"/>
      <c r="M24" s="513"/>
      <c r="N24" s="513"/>
      <c r="O24" s="513"/>
      <c r="P24" s="513"/>
      <c r="Q24" s="513"/>
      <c r="R24" s="513"/>
      <c r="S24" s="513"/>
      <c r="T24" s="513"/>
      <c r="U24" s="513"/>
      <c r="V24" s="513"/>
      <c r="W24" s="513"/>
      <c r="X24" s="513"/>
      <c r="Y24" s="513"/>
      <c r="Z24" s="513"/>
      <c r="AA24" s="513"/>
      <c r="AB24" s="513"/>
    </row>
    <row r="25" customFormat="false" ht="12.75" hidden="false" customHeight="false" outlineLevel="0" collapsed="false">
      <c r="A25" s="16" t="s">
        <v>230</v>
      </c>
      <c r="B25" s="568"/>
      <c r="C25" s="568"/>
      <c r="D25" s="569"/>
      <c r="E25" s="569"/>
      <c r="F25" s="569"/>
      <c r="G25" s="569"/>
      <c r="H25" s="569"/>
      <c r="I25" s="569"/>
      <c r="J25" s="569"/>
      <c r="K25" s="569"/>
      <c r="L25" s="569"/>
      <c r="M25" s="569"/>
      <c r="N25" s="569"/>
      <c r="O25" s="569"/>
      <c r="P25" s="569"/>
      <c r="Q25" s="569"/>
      <c r="R25" s="569"/>
      <c r="S25" s="569"/>
      <c r="T25" s="569"/>
      <c r="U25" s="569"/>
      <c r="V25" s="569"/>
      <c r="W25" s="569"/>
      <c r="X25" s="569"/>
      <c r="Y25" s="569"/>
      <c r="Z25" s="569"/>
      <c r="AA25" s="569"/>
      <c r="AB25" s="569"/>
      <c r="AC25" s="460"/>
    </row>
    <row r="26" customFormat="false" ht="12.75" hidden="false" customHeight="false" outlineLevel="0" collapsed="false">
      <c r="A26" s="400" t="s">
        <v>445</v>
      </c>
      <c r="B26" s="544"/>
      <c r="C26" s="544"/>
      <c r="D26" s="265"/>
      <c r="E26" s="536" t="n">
        <f aca="false">IF(E4&gt;'Project Assumptions'!$F$39,0,B19)</f>
        <v>41367.2816609214</v>
      </c>
      <c r="F26" s="536" t="n">
        <f aca="false">IF(F4&gt;'Project Assumptions'!$F$39,0,E30)</f>
        <v>35810.3578664013</v>
      </c>
      <c r="G26" s="536" t="n">
        <f aca="false">IF(G4&gt;'Project Assumptions'!$F$39,0,F30)</f>
        <v>25785.5057644421</v>
      </c>
      <c r="H26" s="536" t="n">
        <f aca="false">IF(H4&gt;'Project Assumptions'!$F$39,0,G30)</f>
        <v>15137.5394912506</v>
      </c>
      <c r="I26" s="536" t="n">
        <f aca="false">IF(I4&gt;'Project Assumptions'!$F$39,0,H30)</f>
        <v>0</v>
      </c>
      <c r="J26" s="536" t="n">
        <f aca="false">IF(J4&gt;'Project Assumptions'!$F$39,0,I30)</f>
        <v>0</v>
      </c>
      <c r="K26" s="536" t="n">
        <f aca="false">IF(K4&gt;'Project Assumptions'!$F$39,0,J30)</f>
        <v>0</v>
      </c>
      <c r="L26" s="536" t="n">
        <f aca="false">IF(L4&gt;'Project Assumptions'!$F$39,0,K30)</f>
        <v>0</v>
      </c>
      <c r="M26" s="536" t="n">
        <f aca="false">IF(M4&gt;'Project Assumptions'!$F$39,0,L30)</f>
        <v>0</v>
      </c>
      <c r="N26" s="536" t="n">
        <f aca="false">IF(N4&gt;'Project Assumptions'!$F$39,0,M30)</f>
        <v>0</v>
      </c>
      <c r="O26" s="536" t="n">
        <f aca="false">IF(O4&gt;'Project Assumptions'!$F$39,0,N30)</f>
        <v>0</v>
      </c>
      <c r="P26" s="536" t="n">
        <f aca="false">IF(P4&gt;'Project Assumptions'!$F$39,0,O30)</f>
        <v>0</v>
      </c>
      <c r="Q26" s="536" t="n">
        <f aca="false">IF(Q4&gt;'Project Assumptions'!$F$39,0,P30)</f>
        <v>0</v>
      </c>
      <c r="R26" s="536" t="n">
        <f aca="false">IF(R4&gt;'Project Assumptions'!$F$39,0,Q30)</f>
        <v>0</v>
      </c>
      <c r="S26" s="536" t="n">
        <f aca="false">IF(S4&gt;'Project Assumptions'!$F$39,0,R30)</f>
        <v>0</v>
      </c>
      <c r="T26" s="536" t="n">
        <f aca="false">IF(T4&gt;'Project Assumptions'!$F$39,0,S30)</f>
        <v>0</v>
      </c>
      <c r="U26" s="536" t="n">
        <f aca="false">IF(U4&gt;'Project Assumptions'!$F$39,0,T30)</f>
        <v>0</v>
      </c>
      <c r="V26" s="536" t="n">
        <f aca="false">IF(V4&gt;'Project Assumptions'!$F$39,0,U30)</f>
        <v>0</v>
      </c>
      <c r="W26" s="536" t="n">
        <f aca="false">IF(W4&gt;'Project Assumptions'!$F$39,0,V30)</f>
        <v>0</v>
      </c>
      <c r="X26" s="536" t="n">
        <f aca="false">IF(X4&gt;'Project Assumptions'!$F$39,0,W30)</f>
        <v>0</v>
      </c>
      <c r="Y26" s="536" t="n">
        <f aca="false">IF(Y4&gt;'Project Assumptions'!$F$39,0,X30)</f>
        <v>0</v>
      </c>
      <c r="Z26" s="536" t="n">
        <f aca="false">IF(Z4&gt;'Project Assumptions'!$F$39,0,Y30)</f>
        <v>0</v>
      </c>
      <c r="AA26" s="536" t="n">
        <f aca="false">IF(AA4&gt;'Project Assumptions'!$F$39,0,Z30)</f>
        <v>0</v>
      </c>
      <c r="AB26" s="536" t="n">
        <f aca="false">IF(AB4&gt;'Project Assumptions'!$F$39,0,AA30)</f>
        <v>0</v>
      </c>
      <c r="AC26" s="537" t="n">
        <f aca="false">IF(AC4&gt;'Project Assumptions'!$F$39,0,AB30)</f>
        <v>0</v>
      </c>
    </row>
    <row r="27" customFormat="false" ht="12.75" hidden="false" customHeight="false" outlineLevel="0" collapsed="false">
      <c r="A27" s="400" t="s">
        <v>446</v>
      </c>
      <c r="B27" s="570"/>
      <c r="C27" s="570"/>
      <c r="D27" s="265"/>
      <c r="E27" s="513" t="n">
        <f aca="false">E26*$E$12*(13-MONTH('Project Assumptions'!G16))/12</f>
        <v>1622.80398682323</v>
      </c>
      <c r="F27" s="513" t="n">
        <f aca="false">F26*F$12</f>
        <v>2408.24656651549</v>
      </c>
      <c r="G27" s="513" t="n">
        <f aca="false">G26*G$12</f>
        <v>1734.07526265873</v>
      </c>
      <c r="H27" s="513" t="n">
        <f aca="false">H26*H$12</f>
        <v>1017.9995307866</v>
      </c>
      <c r="I27" s="513" t="n">
        <f aca="false">I26*I$12</f>
        <v>0</v>
      </c>
      <c r="J27" s="513" t="n">
        <f aca="false">J26*J$12</f>
        <v>0</v>
      </c>
      <c r="K27" s="513" t="n">
        <f aca="false">K26*K$12</f>
        <v>0</v>
      </c>
      <c r="L27" s="513" t="n">
        <f aca="false">L26*L$12</f>
        <v>0</v>
      </c>
      <c r="M27" s="513" t="n">
        <f aca="false">M26*M$12</f>
        <v>0</v>
      </c>
      <c r="N27" s="513" t="n">
        <f aca="false">N26*N$12</f>
        <v>0</v>
      </c>
      <c r="O27" s="513" t="n">
        <f aca="false">O26*O$12</f>
        <v>0</v>
      </c>
      <c r="P27" s="513" t="n">
        <f aca="false">P26*P$12</f>
        <v>0</v>
      </c>
      <c r="Q27" s="513" t="n">
        <f aca="false">Q26*Q$12</f>
        <v>0</v>
      </c>
      <c r="R27" s="513" t="n">
        <f aca="false">R26*R$12</f>
        <v>0</v>
      </c>
      <c r="S27" s="513" t="n">
        <f aca="false">S26*S$12</f>
        <v>0</v>
      </c>
      <c r="T27" s="513" t="n">
        <f aca="false">T26*T$12</f>
        <v>0</v>
      </c>
      <c r="U27" s="513" t="n">
        <f aca="false">U26*U$12</f>
        <v>0</v>
      </c>
      <c r="V27" s="513" t="n">
        <f aca="false">V26*V$12</f>
        <v>0</v>
      </c>
      <c r="W27" s="513" t="n">
        <f aca="false">W26*W$12</f>
        <v>0</v>
      </c>
      <c r="X27" s="513" t="n">
        <f aca="false">X26*X$12</f>
        <v>0</v>
      </c>
      <c r="Y27" s="513" t="n">
        <f aca="false">Y26*Y$12</f>
        <v>0</v>
      </c>
      <c r="Z27" s="513" t="n">
        <f aca="false">Z26*Z$12</f>
        <v>0</v>
      </c>
      <c r="AA27" s="513" t="n">
        <f aca="false">AA26*AA$12</f>
        <v>0</v>
      </c>
      <c r="AB27" s="513" t="n">
        <f aca="false">AB26*AB$12</f>
        <v>0</v>
      </c>
      <c r="AC27" s="557" t="n">
        <f aca="false">AC26*AC$12</f>
        <v>0</v>
      </c>
    </row>
    <row r="28" customFormat="false" ht="12.75" hidden="false" customHeight="false" outlineLevel="0" collapsed="false">
      <c r="A28" s="400" t="s">
        <v>447</v>
      </c>
      <c r="B28" s="265"/>
      <c r="C28" s="265"/>
      <c r="D28" s="265"/>
      <c r="E28" s="513" t="n">
        <f aca="false">IF(E4&gt;'Project Assumptions'!$F$39,0,E29-E27)</f>
        <v>5556.92379452004</v>
      </c>
      <c r="F28" s="513" t="n">
        <f aca="false">IF(F4&gt;'Project Assumptions'!$F$39,0,F29-F27)</f>
        <v>10024.8521019592</v>
      </c>
      <c r="G28" s="513" t="n">
        <f aca="false">IF(G4&gt;'Project Assumptions'!$F$39,0,G29-G27)</f>
        <v>10647.9662731915</v>
      </c>
      <c r="H28" s="513" t="n">
        <f aca="false">IF(H4&gt;'Project Assumptions'!$F$39,0,H29-H27)</f>
        <v>15137.5394912506</v>
      </c>
      <c r="I28" s="513" t="n">
        <f aca="false">IF(I4&gt;'Project Assumptions'!$F$39,0,I29-I27)</f>
        <v>0</v>
      </c>
      <c r="J28" s="513" t="n">
        <f aca="false">IF(J4&gt;'Project Assumptions'!$F$39,0,J29-J27)</f>
        <v>0</v>
      </c>
      <c r="K28" s="513" t="n">
        <f aca="false">IF(K4&gt;'Project Assumptions'!$F$39,0,K29-K27)</f>
        <v>0</v>
      </c>
      <c r="L28" s="513" t="n">
        <f aca="false">IF(L4&gt;'Project Assumptions'!$F$39,0,L29-L27)</f>
        <v>0</v>
      </c>
      <c r="M28" s="513" t="n">
        <f aca="false">IF(M4&gt;'Project Assumptions'!$F$39,0,M29-M27)</f>
        <v>0</v>
      </c>
      <c r="N28" s="513" t="n">
        <f aca="false">IF(N4&gt;'Project Assumptions'!$F$39,0,N29-N27)</f>
        <v>0</v>
      </c>
      <c r="O28" s="513" t="n">
        <f aca="false">IF(O4&gt;'Project Assumptions'!$F$39,0,O29-O27)</f>
        <v>0</v>
      </c>
      <c r="P28" s="513" t="n">
        <f aca="false">IF(P4&gt;'Project Assumptions'!$F$39,0,P29-P27)</f>
        <v>0</v>
      </c>
      <c r="Q28" s="513" t="n">
        <f aca="false">IF(Q4&gt;'Project Assumptions'!$F$39,0,Q29-Q27)</f>
        <v>0</v>
      </c>
      <c r="R28" s="513" t="n">
        <f aca="false">IF(R4&gt;'Project Assumptions'!$F$39,0,R29-R27)</f>
        <v>0</v>
      </c>
      <c r="S28" s="513" t="n">
        <f aca="false">IF(S4&gt;'Project Assumptions'!$F$39,0,S29-S27)</f>
        <v>0</v>
      </c>
      <c r="T28" s="513" t="n">
        <f aca="false">IF(T4&gt;'Project Assumptions'!$F$39,0,T29-T27)</f>
        <v>0</v>
      </c>
      <c r="U28" s="513" t="n">
        <f aca="false">IF(U4&gt;'Project Assumptions'!$F$39,0,U29-U27)</f>
        <v>0</v>
      </c>
      <c r="V28" s="513" t="n">
        <f aca="false">IF(V4&gt;'Project Assumptions'!$F$39,0,V29-V27)</f>
        <v>0</v>
      </c>
      <c r="W28" s="513" t="n">
        <f aca="false">IF(W4&gt;'Project Assumptions'!$F$39,0,W29-W27)</f>
        <v>0</v>
      </c>
      <c r="X28" s="513" t="n">
        <f aca="false">IF(X4&gt;'Project Assumptions'!$F$39,0,X29-X27)</f>
        <v>0</v>
      </c>
      <c r="Y28" s="513" t="n">
        <f aca="false">IF(Y4&gt;'Project Assumptions'!$F$39,0,Y29-Y27)</f>
        <v>0</v>
      </c>
      <c r="Z28" s="513" t="n">
        <f aca="false">IF(Z4&gt;'Project Assumptions'!$F$39,0,Z29-Z27)</f>
        <v>0</v>
      </c>
      <c r="AA28" s="513" t="n">
        <f aca="false">IF(AA4&gt;'Project Assumptions'!$F$39,0,AA29-AA27)</f>
        <v>0</v>
      </c>
      <c r="AB28" s="513" t="n">
        <f aca="false">IF(AB4&gt;'Project Assumptions'!$F$39,0,AB29-AB27)</f>
        <v>0</v>
      </c>
      <c r="AC28" s="557" t="n">
        <f aca="false">IF(AC4&gt;'Project Assumptions'!$F$39,0,AC29-AC27)</f>
        <v>0</v>
      </c>
    </row>
    <row r="29" customFormat="false" ht="12.75" hidden="false" customHeight="false" outlineLevel="0" collapsed="false">
      <c r="A29" s="400" t="s">
        <v>448</v>
      </c>
      <c r="B29" s="265"/>
      <c r="C29" s="265"/>
      <c r="D29" s="265"/>
      <c r="E29" s="513" t="n">
        <f aca="false">IF(E4&gt;'Project Assumptions'!$F$39,0,E19)</f>
        <v>7179.72778134326</v>
      </c>
      <c r="F29" s="513" t="n">
        <f aca="false">IF(F4&gt;'Project Assumptions'!$F$39,0,F19)</f>
        <v>12433.0986684747</v>
      </c>
      <c r="G29" s="513" t="n">
        <f aca="false">IF(G4&gt;'Project Assumptions'!$F$39,0,G19)</f>
        <v>12382.0415358503</v>
      </c>
      <c r="H29" s="513" t="n">
        <f aca="false">IF(H4&gt;'Project Assumptions'!$F$39,0,H19)</f>
        <v>16155.5390220372</v>
      </c>
      <c r="I29" s="513" t="n">
        <f aca="false">IF(I4&gt;'Project Assumptions'!$F$39,0,I19)</f>
        <v>0</v>
      </c>
      <c r="J29" s="513" t="n">
        <f aca="false">IF(J4&gt;'Project Assumptions'!$F$39,0,J19)</f>
        <v>0</v>
      </c>
      <c r="K29" s="513" t="n">
        <f aca="false">IF(K4&gt;'Project Assumptions'!$F$39,0,K19)</f>
        <v>0</v>
      </c>
      <c r="L29" s="513" t="n">
        <f aca="false">IF(L4&gt;'Project Assumptions'!$F$39,0,L19)</f>
        <v>0</v>
      </c>
      <c r="M29" s="513" t="n">
        <f aca="false">IF(M4&gt;'Project Assumptions'!$F$39,0,M19)</f>
        <v>0</v>
      </c>
      <c r="N29" s="513" t="n">
        <f aca="false">IF(N4&gt;'Project Assumptions'!$F$39,0,N19)</f>
        <v>0</v>
      </c>
      <c r="O29" s="513" t="n">
        <f aca="false">IF(O4&gt;'Project Assumptions'!$F$39,0,O19)</f>
        <v>0</v>
      </c>
      <c r="P29" s="513" t="n">
        <f aca="false">IF(P4&gt;'Project Assumptions'!$F$39,0,P19)</f>
        <v>0</v>
      </c>
      <c r="Q29" s="513" t="n">
        <f aca="false">IF(Q4&gt;'Project Assumptions'!$F$39,0,Q19)</f>
        <v>0</v>
      </c>
      <c r="R29" s="513" t="n">
        <f aca="false">IF(R4&gt;'Project Assumptions'!$F$39,0,R19)</f>
        <v>0</v>
      </c>
      <c r="S29" s="513" t="n">
        <f aca="false">IF(S4&gt;'Project Assumptions'!$F$39,0,S19)</f>
        <v>0</v>
      </c>
      <c r="T29" s="513" t="n">
        <f aca="false">IF(T4&gt;'Project Assumptions'!$F$39,0,T19)</f>
        <v>0</v>
      </c>
      <c r="U29" s="513" t="n">
        <f aca="false">IF(U4&gt;'Project Assumptions'!$F$39,0,U19)</f>
        <v>0</v>
      </c>
      <c r="V29" s="513" t="n">
        <f aca="false">IF(V4&gt;'Project Assumptions'!$F$39,0,V19)</f>
        <v>0</v>
      </c>
      <c r="W29" s="513" t="n">
        <f aca="false">IF(W4&gt;'Project Assumptions'!$F$39,0,W19)</f>
        <v>0</v>
      </c>
      <c r="X29" s="513" t="n">
        <f aca="false">IF(X4&gt;'Project Assumptions'!$F$39,0,X19)</f>
        <v>0</v>
      </c>
      <c r="Y29" s="513" t="n">
        <f aca="false">IF(Y4&gt;'Project Assumptions'!$F$39,0,Y19)</f>
        <v>0</v>
      </c>
      <c r="Z29" s="513" t="n">
        <f aca="false">IF(Z4&gt;'Project Assumptions'!$F$39,0,Z19)</f>
        <v>0</v>
      </c>
      <c r="AA29" s="513" t="n">
        <f aca="false">IF(AA4&gt;'Project Assumptions'!$F$39,0,AA19)</f>
        <v>0</v>
      </c>
      <c r="AB29" s="513" t="n">
        <f aca="false">IF(AB4&gt;'Project Assumptions'!$F$39,0,AB19)</f>
        <v>0</v>
      </c>
      <c r="AC29" s="557" t="n">
        <f aca="false">IF(AC4&gt;'Project Assumptions'!$F$39,0,AC19)</f>
        <v>0</v>
      </c>
    </row>
    <row r="30" customFormat="false" ht="12.75" hidden="false" customHeight="false" outlineLevel="0" collapsed="false">
      <c r="A30" s="400" t="s">
        <v>449</v>
      </c>
      <c r="B30" s="265"/>
      <c r="C30" s="265"/>
      <c r="D30" s="265"/>
      <c r="E30" s="536" t="n">
        <f aca="false">IF(E4&lt;'Project Assumptions'!$F$39,E26-E28,IF(AND(E4='Project Assumptions'!$F$39,E26-E28&gt;1),"ERROR",IF(E4&gt;'Project Assumptions'!$F$39,0,E26-E28)))</f>
        <v>35810.3578664013</v>
      </c>
      <c r="F30" s="536" t="n">
        <f aca="false">IF(F4&lt;'Project Assumptions'!$F$39,F26-F28,IF(AND(F4='Project Assumptions'!$F$39,F26-F28&gt;1),"ERROR",IF(F4&gt;'Project Assumptions'!$F$39,0,F26-F28)))</f>
        <v>25785.5057644421</v>
      </c>
      <c r="G30" s="536" t="n">
        <f aca="false">IF(G4&lt;'Project Assumptions'!$F$39,G26-G28,IF(AND(G4='Project Assumptions'!$F$39,G26-G28&gt;1),"ERROR",IF(G4&gt;'Project Assumptions'!$F$39,0,G26-G28)))</f>
        <v>15137.5394912506</v>
      </c>
      <c r="H30" s="536" t="n">
        <f aca="false">IF(H4&lt;'Project Assumptions'!$F$39,H26-H28,IF(AND(H4='Project Assumptions'!$F$39,H26-H28&gt;1),"ERROR",IF(H4&gt;'Project Assumptions'!$F$39,0,H26-H28)))</f>
        <v>0</v>
      </c>
      <c r="I30" s="536" t="n">
        <f aca="false">IF(I4&lt;'Project Assumptions'!$F$39,I26-I28,IF(AND(I4='Project Assumptions'!$F$39,I26-I28&gt;1),"ERROR",IF(I4&gt;'Project Assumptions'!$F$39,0,I26-I28)))</f>
        <v>0</v>
      </c>
      <c r="J30" s="536" t="n">
        <f aca="false">IF(J4&lt;'Project Assumptions'!$F$39,J26-J28,IF(AND(J4='Project Assumptions'!$F$39,J26-J28&gt;1),"ERROR",IF(J4&gt;'Project Assumptions'!$F$39,0,J26-J28)))</f>
        <v>0</v>
      </c>
      <c r="K30" s="536" t="n">
        <f aca="false">IF(K4&lt;'Project Assumptions'!$F$39,K26-K28,IF(AND(K4='Project Assumptions'!$F$39,K26-K28&gt;1),"ERROR",IF(K4&gt;'Project Assumptions'!$F$39,0,K26-K28)))</f>
        <v>0</v>
      </c>
      <c r="L30" s="536" t="n">
        <f aca="false">IF(L4&lt;'Project Assumptions'!$F$39,L26-L28,IF(AND(L4='Project Assumptions'!$F$39,L26-L28&gt;1),"ERROR",IF(L4&gt;'Project Assumptions'!$F$39,0,L26-L28)))</f>
        <v>0</v>
      </c>
      <c r="M30" s="536" t="n">
        <f aca="false">IF(M4&lt;'Project Assumptions'!$F$39,M26-M28,IF(AND(M4='Project Assumptions'!$F$39,M26-M28&gt;1),"ERROR",IF(M4&gt;'Project Assumptions'!$F$39,0,M26-M28)))</f>
        <v>0</v>
      </c>
      <c r="N30" s="536" t="n">
        <f aca="false">IF(N4&lt;'Project Assumptions'!$F$39,N26-N28,IF(AND(N4='Project Assumptions'!$F$39,N26-N28&gt;1),"ERROR",IF(N4&gt;'Project Assumptions'!$F$39,0,N26-N28)))</f>
        <v>0</v>
      </c>
      <c r="O30" s="536" t="n">
        <f aca="false">IF(O4&lt;'Project Assumptions'!$F$39,O26-O28,IF(AND(O4='Project Assumptions'!$F$39,O26-O28&gt;1),"ERROR",IF(O4&gt;'Project Assumptions'!$F$39,0,O26-O28)))</f>
        <v>0</v>
      </c>
      <c r="P30" s="536" t="n">
        <f aca="false">IF(P4&lt;'Project Assumptions'!$F$39,P26-P28,IF(AND(P4='Project Assumptions'!$F$39,P26-P28&gt;1),"ERROR",IF(P4&gt;'Project Assumptions'!$F$39,0,P26-P28)))</f>
        <v>0</v>
      </c>
      <c r="Q30" s="536" t="n">
        <f aca="false">IF(Q4&lt;'Project Assumptions'!$F$39,Q26-Q28,IF(AND(Q4='Project Assumptions'!$F$39,Q26-Q28&gt;1),"ERROR",IF(Q4&gt;'Project Assumptions'!$F$39,0,Q26-Q28)))</f>
        <v>0</v>
      </c>
      <c r="R30" s="536" t="n">
        <f aca="false">IF(R4&lt;'Project Assumptions'!$F$39,R26-R28,IF(AND(R4='Project Assumptions'!$F$39,R26-R28&gt;1),"ERROR",IF(R4&gt;'Project Assumptions'!$F$39,0,R26-R28)))</f>
        <v>0</v>
      </c>
      <c r="S30" s="536" t="n">
        <f aca="false">IF(S4&lt;'Project Assumptions'!$F$39,S26-S28,IF(AND(S4='Project Assumptions'!$F$39,S26-S28&gt;1),"ERROR",IF(S4&gt;'Project Assumptions'!$F$39,0,S26-S28)))</f>
        <v>0</v>
      </c>
      <c r="T30" s="536" t="n">
        <f aca="false">IF(T4&lt;'Project Assumptions'!$F$39,T26-T28,IF(AND(T4='Project Assumptions'!$F$39,T26-T28&gt;1),"ERROR",IF(T4&gt;'Project Assumptions'!$F$39,0,T26-T28)))</f>
        <v>0</v>
      </c>
      <c r="U30" s="536" t="n">
        <f aca="false">IF(U4&lt;'Project Assumptions'!$F$39,U26-U28,IF(AND(U4='Project Assumptions'!$F$39,U26-U28&gt;1),"ERROR",IF(U4&gt;'Project Assumptions'!$F$39,0,U26-U28)))</f>
        <v>0</v>
      </c>
      <c r="V30" s="536" t="n">
        <f aca="false">IF(V4&lt;'Project Assumptions'!$F$39,V26-V28,IF(AND(V4='Project Assumptions'!$F$39,V26-V28&gt;1),"ERROR",IF(V4&gt;'Project Assumptions'!$F$39,0,V26-V28)))</f>
        <v>0</v>
      </c>
      <c r="W30" s="536" t="n">
        <f aca="false">IF(W4&lt;'Project Assumptions'!$F$39,W26-W28,IF(AND(W4='Project Assumptions'!$F$39,W26-W28&gt;1),"ERROR",IF(W4&gt;'Project Assumptions'!$F$39,0,W26-W28)))</f>
        <v>0</v>
      </c>
      <c r="X30" s="536" t="n">
        <f aca="false">IF(X4&lt;'Project Assumptions'!$F$39,X26-X28,IF(AND(X4='Project Assumptions'!$F$39,X26-X28&gt;1),"ERROR",IF(X4&gt;'Project Assumptions'!$F$39,0,X26-X28)))</f>
        <v>0</v>
      </c>
      <c r="Y30" s="536" t="n">
        <f aca="false">IF(Y4&lt;'Project Assumptions'!$F$39,Y26-Y28,IF(AND(Y4='Project Assumptions'!$F$39,Y26-Y28&gt;1),"ERROR",IF(Y4&gt;'Project Assumptions'!$F$39,0,Y26-Y28)))</f>
        <v>0</v>
      </c>
      <c r="Z30" s="536" t="n">
        <f aca="false">IF(Z4&lt;'Project Assumptions'!$F$39,Z26-Z28,IF(AND(Z4='Project Assumptions'!$F$39,Z26-Z28&gt;1),"ERROR",IF(Z4&gt;'Project Assumptions'!$F$39,0,Z26-Z28)))</f>
        <v>0</v>
      </c>
      <c r="AA30" s="536" t="n">
        <f aca="false">IF(AA4&lt;'Project Assumptions'!$F$39,AA26-AA28,IF(AND(AA4='Project Assumptions'!$F$39,AA26-AA28&gt;1),"ERROR",IF(AA4&gt;'Project Assumptions'!$F$39,0,AA26-AA28)))</f>
        <v>0</v>
      </c>
      <c r="AB30" s="536" t="n">
        <f aca="false">IF(AB4&lt;'Project Assumptions'!$F$39,AB26-AB28,IF(AND(AB4='Project Assumptions'!$F$39,AB26-AB28&gt;1),"ERROR",IF(AB4&gt;'Project Assumptions'!$F$39,0,AB26-AB28)))</f>
        <v>0</v>
      </c>
      <c r="AC30" s="537" t="n">
        <f aca="false">IF(AC4&lt;'Project Assumptions'!$F$39,AC26-AC28,IF(AND(AC4='Project Assumptions'!$F$39,AC26-AC28&gt;1),"ERROR",IF(AC4&gt;'Project Assumptions'!$F$39,0,AC26-AC28)))</f>
        <v>0</v>
      </c>
    </row>
    <row r="31" customFormat="false" ht="12.75" hidden="false" customHeight="false" outlineLevel="0" collapsed="false">
      <c r="A31" s="514" t="s">
        <v>450</v>
      </c>
      <c r="B31" s="476"/>
      <c r="C31" s="476"/>
      <c r="D31" s="476"/>
      <c r="E31" s="571" t="n">
        <f aca="false">SUMPRODUCT(E4:AC4,E28:AC28)/B19</f>
        <v>2.85492979091692</v>
      </c>
      <c r="F31" s="572"/>
      <c r="G31" s="572"/>
      <c r="H31" s="572"/>
      <c r="I31" s="572"/>
      <c r="J31" s="572"/>
      <c r="K31" s="572"/>
      <c r="L31" s="572"/>
      <c r="M31" s="572"/>
      <c r="N31" s="572"/>
      <c r="O31" s="563"/>
      <c r="P31" s="572"/>
      <c r="Q31" s="572"/>
      <c r="R31" s="572"/>
      <c r="S31" s="572"/>
      <c r="T31" s="572"/>
      <c r="U31" s="572"/>
      <c r="V31" s="572"/>
      <c r="W31" s="572"/>
      <c r="X31" s="572"/>
      <c r="Y31" s="572"/>
      <c r="Z31" s="572"/>
      <c r="AA31" s="572"/>
      <c r="AB31" s="572"/>
      <c r="AC31" s="573"/>
    </row>
    <row r="32" customFormat="false" ht="12.75" hidden="false" customHeight="false" outlineLevel="0" collapsed="false">
      <c r="D32" s="513"/>
      <c r="E32" s="513"/>
      <c r="F32" s="513"/>
      <c r="G32" s="513"/>
      <c r="H32" s="513"/>
      <c r="I32" s="513"/>
      <c r="J32" s="513"/>
      <c r="K32" s="513"/>
      <c r="L32" s="513"/>
      <c r="M32" s="513"/>
      <c r="N32" s="513"/>
      <c r="O32" s="513"/>
      <c r="P32" s="513"/>
      <c r="Q32" s="513"/>
      <c r="R32" s="513"/>
      <c r="S32" s="513"/>
      <c r="T32" s="513"/>
      <c r="U32" s="513"/>
      <c r="V32" s="513"/>
      <c r="W32" s="513"/>
      <c r="X32" s="513"/>
      <c r="Y32" s="513"/>
      <c r="Z32" s="513"/>
      <c r="AA32" s="513"/>
      <c r="AB32" s="513"/>
    </row>
    <row r="33" customFormat="false" ht="12.75" hidden="false" customHeight="false" outlineLevel="0" collapsed="false">
      <c r="A33" s="16" t="s">
        <v>231</v>
      </c>
      <c r="B33" s="568"/>
      <c r="C33" s="568"/>
      <c r="D33" s="569"/>
      <c r="E33" s="569"/>
      <c r="F33" s="569"/>
      <c r="G33" s="569"/>
      <c r="H33" s="569"/>
      <c r="I33" s="569"/>
      <c r="J33" s="569"/>
      <c r="K33" s="569"/>
      <c r="L33" s="569"/>
      <c r="M33" s="569"/>
      <c r="N33" s="569"/>
      <c r="O33" s="569"/>
      <c r="P33" s="569"/>
      <c r="Q33" s="569"/>
      <c r="R33" s="569"/>
      <c r="S33" s="569"/>
      <c r="T33" s="569"/>
      <c r="U33" s="569"/>
      <c r="V33" s="569"/>
      <c r="W33" s="569"/>
      <c r="X33" s="569"/>
      <c r="Y33" s="569"/>
      <c r="Z33" s="569"/>
      <c r="AA33" s="569"/>
      <c r="AB33" s="569"/>
      <c r="AC33" s="460"/>
    </row>
    <row r="34" customFormat="false" ht="12.75" hidden="false" customHeight="false" outlineLevel="0" collapsed="false">
      <c r="A34" s="400" t="s">
        <v>445</v>
      </c>
      <c r="B34" s="544"/>
      <c r="C34" s="544"/>
      <c r="D34" s="265"/>
      <c r="E34" s="536" t="n">
        <f aca="false">B20</f>
        <v>59535.5108977146</v>
      </c>
      <c r="F34" s="536" t="n">
        <f aca="false">IF(F4&gt;'Project Assumptions'!$G$39,0,E38)</f>
        <v>59535.5108977146</v>
      </c>
      <c r="G34" s="536" t="n">
        <f aca="false">IF(G4&gt;'Project Assumptions'!$G$39,0,F38)</f>
        <v>59535.5108977146</v>
      </c>
      <c r="H34" s="536" t="n">
        <f aca="false">IF(H4&gt;'Project Assumptions'!$G$39,0,G38)</f>
        <v>59535.5108977146</v>
      </c>
      <c r="I34" s="536" t="n">
        <f aca="false">IF(I4&gt;'Project Assumptions'!$G$39,0,H38)</f>
        <v>59535.5108977146</v>
      </c>
      <c r="J34" s="536" t="n">
        <f aca="false">IF(J4&gt;'Project Assumptions'!$G$39,0,I38)</f>
        <v>51752.4169381171</v>
      </c>
      <c r="K34" s="536" t="n">
        <f aca="false">IF(K4&gt;'Project Assumptions'!$G$39,0,J38)</f>
        <v>43261.5609131547</v>
      </c>
      <c r="L34" s="536" t="n">
        <f aca="false">IF(L4&gt;'Project Assumptions'!$G$39,0,K38)</f>
        <v>34013.3951480392</v>
      </c>
      <c r="M34" s="536" t="n">
        <f aca="false">IF(M4&gt;'Project Assumptions'!$G$39,0,L38)</f>
        <v>23686.6550635114</v>
      </c>
      <c r="N34" s="536" t="n">
        <f aca="false">IF(N4&gt;'Project Assumptions'!$G$39,0,M38)</f>
        <v>12464.7020423515</v>
      </c>
      <c r="O34" s="536" t="n">
        <f aca="false">IF(O4&gt;'Project Assumptions'!$G$39,0,N38)</f>
        <v>0</v>
      </c>
      <c r="P34" s="536" t="n">
        <f aca="false">IF(P4&gt;'Project Assumptions'!$G$39,0,O38)</f>
        <v>0</v>
      </c>
      <c r="Q34" s="536" t="n">
        <f aca="false">IF(Q4&gt;'Project Assumptions'!$G$39,0,P38)</f>
        <v>0</v>
      </c>
      <c r="R34" s="536" t="n">
        <f aca="false">IF(R4&gt;'Project Assumptions'!$G$39,0,Q38)</f>
        <v>0</v>
      </c>
      <c r="S34" s="536" t="n">
        <f aca="false">IF(S4&gt;'Project Assumptions'!$G$39,0,R38)</f>
        <v>0</v>
      </c>
      <c r="T34" s="536" t="n">
        <f aca="false">IF(T4&gt;'Project Assumptions'!$G$39,0,S38)</f>
        <v>0</v>
      </c>
      <c r="U34" s="536" t="n">
        <f aca="false">IF(U4&gt;'Project Assumptions'!$G$39,0,T38)</f>
        <v>0</v>
      </c>
      <c r="V34" s="536" t="n">
        <f aca="false">IF(V4&gt;'Project Assumptions'!$G$39,0,U38)</f>
        <v>0</v>
      </c>
      <c r="W34" s="536" t="n">
        <f aca="false">IF(W4&gt;'Project Assumptions'!$G$39,0,V38)</f>
        <v>0</v>
      </c>
      <c r="X34" s="536" t="n">
        <f aca="false">IF(X4&gt;'Project Assumptions'!$G$39,0,W38)</f>
        <v>0</v>
      </c>
      <c r="Y34" s="536" t="n">
        <f aca="false">IF(Y4&gt;'Project Assumptions'!$G$39,0,X38)</f>
        <v>0</v>
      </c>
      <c r="Z34" s="536" t="n">
        <f aca="false">IF(Z4&gt;'Project Assumptions'!$G$39,0,Y38)</f>
        <v>0</v>
      </c>
      <c r="AA34" s="536" t="n">
        <f aca="false">IF(AA4&gt;'Project Assumptions'!$G$39,0,Z38)</f>
        <v>0</v>
      </c>
      <c r="AB34" s="536" t="n">
        <f aca="false">IF(AB4&gt;'Project Assumptions'!$G$39,0,AA38)</f>
        <v>0</v>
      </c>
      <c r="AC34" s="537" t="n">
        <f aca="false">IF(AC4&gt;'Project Assumptions'!$G$39,0,AB38)</f>
        <v>0</v>
      </c>
    </row>
    <row r="35" customFormat="false" ht="12.75" hidden="false" customHeight="false" outlineLevel="0" collapsed="false">
      <c r="A35" s="400" t="s">
        <v>446</v>
      </c>
      <c r="B35" s="570"/>
      <c r="C35" s="570"/>
      <c r="D35" s="265"/>
      <c r="E35" s="513" t="n">
        <f aca="false">IF(E4&gt;'Project Assumptions'!$F$39,E34*E13,IF(AND(E4&lt;='Project Assumptions'!$F$39,'Project Assumptions'!$G$42="Interest Only"),E34*E13*(13-MONTH('Project Assumptions'!G16))/12,0))</f>
        <v>2628.98893539158</v>
      </c>
      <c r="F35" s="513" t="n">
        <f aca="false">IF(F4&gt;'Project Assumptions'!$F$39,F34*F13,IF(AND(F4&lt;='Project Assumptions'!$F$39,'Project Assumptions'!$G$42="Interest Only"),F34*F13,0))</f>
        <v>4506.83817495699</v>
      </c>
      <c r="G35" s="513" t="n">
        <f aca="false">IF(G4&gt;'Project Assumptions'!$F$39,G34*G13,IF(AND(G4&lt;='Project Assumptions'!$F$39,'Project Assumptions'!$G$42="Interest Only"),G34*G13,0))</f>
        <v>4506.83817495699</v>
      </c>
      <c r="H35" s="513" t="n">
        <f aca="false">IF(H4&gt;'Project Assumptions'!$F$39,H34*H13,IF(AND(H4&lt;='Project Assumptions'!$F$39,'Project Assumptions'!$G$42="Interest Only"),H34*H13,0))</f>
        <v>4506.83817495699</v>
      </c>
      <c r="I35" s="513" t="n">
        <f aca="false">IF(I4&gt;'Project Assumptions'!$F$39,I34*I13,IF(AND(I4&lt;='Project Assumptions'!$F$39,'Project Assumptions'!$G$42="Interest Only"),I34*I13,0))</f>
        <v>4506.83817495699</v>
      </c>
      <c r="J35" s="513" t="n">
        <f aca="false">IF(J4&gt;'Project Assumptions'!$F$39,J34*J13,IF(AND(J4&lt;='Project Assumptions'!$F$39,'Project Assumptions'!$G$42="Interest Only"),J34*J13,0))</f>
        <v>3917.65796221547</v>
      </c>
      <c r="K35" s="513" t="n">
        <f aca="false">IF(K4&gt;'Project Assumptions'!$F$39,K34*K13,IF(AND(K4&lt;='Project Assumptions'!$F$39,'Project Assumptions'!$G$42="Interest Only"),K34*K13,0))</f>
        <v>3274.90016112581</v>
      </c>
      <c r="L35" s="513" t="n">
        <f aca="false">IF(L4&gt;'Project Assumptions'!$F$39,L34*L13,IF(AND(L4&lt;='Project Assumptions'!$F$39,'Project Assumptions'!$G$42="Interest Only"),L34*L13,0))</f>
        <v>2574.81401270657</v>
      </c>
      <c r="M35" s="513" t="n">
        <f aca="false">IF(M4&gt;'Project Assumptions'!$F$39,M34*M13,IF(AND(M4&lt;='Project Assumptions'!$F$39,'Project Assumptions'!$G$42="Interest Only"),M34*M13,0))</f>
        <v>1793.07978830781</v>
      </c>
      <c r="N35" s="513" t="n">
        <f aca="false">IF(N4&gt;'Project Assumptions'!$F$39,N34*N13,IF(AND(N4&lt;='Project Assumptions'!$F$39,'Project Assumptions'!$G$42="Interest Only"),N34*N13,0))</f>
        <v>943.577944606007</v>
      </c>
      <c r="O35" s="513" t="n">
        <f aca="false">IF(O4&gt;'Project Assumptions'!$F$39,O34*O13,IF(AND(O4&lt;='Project Assumptions'!$F$39,'Project Assumptions'!$G$42="Interest Only"),O34*O13,0))</f>
        <v>0</v>
      </c>
      <c r="P35" s="513" t="n">
        <f aca="false">IF(P4&gt;'Project Assumptions'!$F$39,P34*P13,IF(AND(P4&lt;='Project Assumptions'!$F$39,'Project Assumptions'!$G$42="Interest Only"),P34*P13,0))</f>
        <v>0</v>
      </c>
      <c r="Q35" s="513" t="n">
        <f aca="false">IF(Q4&gt;'Project Assumptions'!$F$39,Q34*Q13,IF(AND(Q4&lt;='Project Assumptions'!$F$39,'Project Assumptions'!$G$42="Interest Only"),Q34*Q13,0))</f>
        <v>0</v>
      </c>
      <c r="R35" s="513" t="n">
        <f aca="false">IF(R4&gt;'Project Assumptions'!$F$39,R34*R13,IF(AND(R4&lt;='Project Assumptions'!$F$39,'Project Assumptions'!$G$42="Interest Only"),R34*R13,0))</f>
        <v>0</v>
      </c>
      <c r="S35" s="513" t="n">
        <f aca="false">IF(S4&gt;'Project Assumptions'!$F$39,S34*S13,IF(AND(S4&lt;='Project Assumptions'!$F$39,'Project Assumptions'!$G$42="Interest Only"),S34*S13,0))</f>
        <v>0</v>
      </c>
      <c r="T35" s="513" t="n">
        <f aca="false">IF(T4&gt;'Project Assumptions'!$F$39,T34*T13,IF(AND(T4&lt;='Project Assumptions'!$F$39,'Project Assumptions'!$G$42="Interest Only"),T34*T13,0))</f>
        <v>0</v>
      </c>
      <c r="U35" s="513" t="n">
        <f aca="false">IF(U4&gt;'Project Assumptions'!$F$39,U34*U13,IF(AND(U4&lt;='Project Assumptions'!$F$39,'Project Assumptions'!$G$42="Interest Only"),U34*U13,0))</f>
        <v>0</v>
      </c>
      <c r="V35" s="513" t="n">
        <f aca="false">IF(V4&gt;'Project Assumptions'!$F$39,V34*V13,IF(AND(V4&lt;='Project Assumptions'!$F$39,'Project Assumptions'!$G$42="Interest Only"),V34*V13,0))</f>
        <v>0</v>
      </c>
      <c r="W35" s="513" t="n">
        <f aca="false">IF(W4&gt;'Project Assumptions'!$F$39,W34*W13,IF(AND(W4&lt;='Project Assumptions'!$F$39,'Project Assumptions'!$G$42="Interest Only"),W34*W13,0))</f>
        <v>0</v>
      </c>
      <c r="X35" s="513" t="n">
        <f aca="false">IF(X4&gt;'Project Assumptions'!$F$39,X34*X13,IF(AND(X4&lt;='Project Assumptions'!$F$39,'Project Assumptions'!$G$42="Interest Only"),X34*X13,0))</f>
        <v>0</v>
      </c>
      <c r="Y35" s="513" t="n">
        <f aca="false">IF(Y4&gt;'Project Assumptions'!$F$39,Y34*Y13,IF(AND(Y4&lt;='Project Assumptions'!$F$39,'Project Assumptions'!$G$42="Interest Only"),Y34*Y13,0))</f>
        <v>0</v>
      </c>
      <c r="Z35" s="513" t="n">
        <f aca="false">IF(Z4&gt;'Project Assumptions'!$F$39,Z34*Z13,IF(AND(Z4&lt;='Project Assumptions'!$F$39,'Project Assumptions'!$G$42="Interest Only"),Z34*Z13,0))</f>
        <v>0</v>
      </c>
      <c r="AA35" s="513" t="n">
        <f aca="false">IF(AA4&gt;'Project Assumptions'!$F$39,AA34*AA13,IF(AND(AA4&lt;='Project Assumptions'!$F$39,'Project Assumptions'!$G$42="Interest Only"),AA34*AA13,0))</f>
        <v>0</v>
      </c>
      <c r="AB35" s="513" t="n">
        <f aca="false">IF(AB4&gt;'Project Assumptions'!$F$39,AB34*AB13,IF(AND(AB4&lt;='Project Assumptions'!$F$39,'Project Assumptions'!$G$42="Interest Only"),AB34*AB13,0))</f>
        <v>0</v>
      </c>
      <c r="AC35" s="557" t="n">
        <f aca="false">IF(AC4&gt;'Project Assumptions'!$F$39,AC34*AC13,IF(AND(AC4&lt;='Project Assumptions'!$F$39,'Project Assumptions'!$G$42="Interest Only"),AC34*AC13,0))</f>
        <v>0</v>
      </c>
    </row>
    <row r="36" customFormat="false" ht="12.75" hidden="false" customHeight="false" outlineLevel="0" collapsed="false">
      <c r="A36" s="400" t="s">
        <v>447</v>
      </c>
      <c r="B36" s="574"/>
      <c r="C36" s="574"/>
      <c r="D36" s="265"/>
      <c r="E36" s="513" t="n">
        <f aca="false">IF(OR(E4&lt;='Project Assumptions'!$F$39,E4&gt;'Project Assumptions'!$G$39),0,E37-E35)</f>
        <v>0</v>
      </c>
      <c r="F36" s="513" t="n">
        <f aca="false">IF(OR(F4&lt;='Project Assumptions'!$F$39,F4&gt;'Project Assumptions'!$G$39),0,F37-F35)</f>
        <v>0</v>
      </c>
      <c r="G36" s="513" t="n">
        <f aca="false">IF(OR(G4&lt;='Project Assumptions'!$F$39,G4&gt;'Project Assumptions'!$G$39),0,G37-G35)</f>
        <v>0</v>
      </c>
      <c r="H36" s="513" t="n">
        <f aca="false">IF(OR(H4&lt;='Project Assumptions'!$F$39,H4&gt;'Project Assumptions'!$G$39),0,H37-H35)</f>
        <v>0</v>
      </c>
      <c r="I36" s="513" t="n">
        <f aca="false">IF(OR(I4&lt;='Project Assumptions'!$F$39,I4&gt;'Project Assumptions'!$G$39),0,I37-I35)</f>
        <v>7783.09395959746</v>
      </c>
      <c r="J36" s="513" t="n">
        <f aca="false">IF(OR(J4&lt;='Project Assumptions'!$F$39,J4&gt;'Project Assumptions'!$G$39),0,J37-J35)</f>
        <v>8490.85602496237</v>
      </c>
      <c r="K36" s="513" t="n">
        <f aca="false">IF(OR(K4&lt;='Project Assumptions'!$F$39,K4&gt;'Project Assumptions'!$G$39),0,K37-K35)</f>
        <v>9248.16576511554</v>
      </c>
      <c r="L36" s="513" t="n">
        <f aca="false">IF(OR(L4&lt;='Project Assumptions'!$F$39,L4&gt;'Project Assumptions'!$G$39),0,L37-L35)</f>
        <v>10326.7400845278</v>
      </c>
      <c r="M36" s="513" t="n">
        <f aca="false">IF(OR(M4&lt;='Project Assumptions'!$F$39,M4&gt;'Project Assumptions'!$G$39),0,M37-M35)</f>
        <v>11221.9530211599</v>
      </c>
      <c r="N36" s="513" t="n">
        <f aca="false">IF(OR(N4&lt;='Project Assumptions'!$F$39,N4&gt;'Project Assumptions'!$G$39),0,N37-N35)</f>
        <v>12464.7020423515</v>
      </c>
      <c r="O36" s="513" t="n">
        <f aca="false">IF(OR(O4&lt;='Project Assumptions'!$F$39,O4&gt;'Project Assumptions'!$G$39),0,O37-O35)</f>
        <v>0</v>
      </c>
      <c r="P36" s="513" t="n">
        <f aca="false">IF(OR(P4&lt;='Project Assumptions'!$F$39,P4&gt;'Project Assumptions'!$G$39),0,P37-P35)</f>
        <v>0</v>
      </c>
      <c r="Q36" s="513" t="n">
        <f aca="false">IF(OR(Q4&lt;='Project Assumptions'!$F$39,Q4&gt;'Project Assumptions'!$G$39),0,Q37-Q35)</f>
        <v>0</v>
      </c>
      <c r="R36" s="513" t="n">
        <f aca="false">IF(OR(R4&lt;='Project Assumptions'!$F$39,R4&gt;'Project Assumptions'!$G$39),0,R37-R35)</f>
        <v>0</v>
      </c>
      <c r="S36" s="513" t="n">
        <f aca="false">IF(OR(S4&lt;='Project Assumptions'!$F$39,S4&gt;'Project Assumptions'!$G$39),0,S37-S35)</f>
        <v>0</v>
      </c>
      <c r="T36" s="513" t="n">
        <f aca="false">IF(OR(T4&lt;='Project Assumptions'!$F$39,T4&gt;'Project Assumptions'!$G$39),0,T37-T35)</f>
        <v>0</v>
      </c>
      <c r="U36" s="513" t="n">
        <f aca="false">IF(OR(U4&lt;='Project Assumptions'!$F$39,U4&gt;'Project Assumptions'!$G$39),0,U37-U35)</f>
        <v>0</v>
      </c>
      <c r="V36" s="513" t="n">
        <f aca="false">IF(OR(V4&lt;='Project Assumptions'!$F$39,V4&gt;'Project Assumptions'!$G$39),0,V37-V35)</f>
        <v>0</v>
      </c>
      <c r="W36" s="513" t="n">
        <f aca="false">IF(OR(W4&lt;='Project Assumptions'!$F$39,W4&gt;'Project Assumptions'!$G$39),0,W37-W35)</f>
        <v>0</v>
      </c>
      <c r="X36" s="513" t="n">
        <f aca="false">IF(OR(X4&lt;='Project Assumptions'!$F$39,X4&gt;'Project Assumptions'!$G$39),0,X37-X35)</f>
        <v>0</v>
      </c>
      <c r="Y36" s="513" t="n">
        <f aca="false">IF(OR(Y4&lt;='Project Assumptions'!$F$39,Y4&gt;'Project Assumptions'!$G$39),0,Y37-Y35)</f>
        <v>0</v>
      </c>
      <c r="Z36" s="513" t="n">
        <f aca="false">IF(OR(Z4&lt;='Project Assumptions'!$F$39,Z4&gt;'Project Assumptions'!$G$39),0,Z37-Z35)</f>
        <v>0</v>
      </c>
      <c r="AA36" s="513" t="n">
        <f aca="false">IF(OR(AA4&lt;='Project Assumptions'!$F$39,AA4&gt;'Project Assumptions'!$G$39),0,AA37-AA35)</f>
        <v>0</v>
      </c>
      <c r="AB36" s="513" t="n">
        <f aca="false">IF(OR(AB4&lt;='Project Assumptions'!$F$39,AB4&gt;'Project Assumptions'!$G$39),0,AB37-AB35)</f>
        <v>0</v>
      </c>
      <c r="AC36" s="557" t="n">
        <f aca="false">IF(OR(AC4&lt;='Project Assumptions'!$F$39,AC4&gt;'Project Assumptions'!$G$39),0,AC37-AC35)</f>
        <v>0</v>
      </c>
    </row>
    <row r="37" customFormat="false" ht="12.75" hidden="false" customHeight="false" outlineLevel="0" collapsed="false">
      <c r="A37" s="540" t="s">
        <v>448</v>
      </c>
      <c r="B37" s="541"/>
      <c r="C37" s="541"/>
      <c r="D37" s="541"/>
      <c r="E37" s="513" t="n">
        <f aca="false">IF(E4&lt;='Project Assumptions'!$F$39,E35,E20)</f>
        <v>2628.98893539158</v>
      </c>
      <c r="F37" s="513" t="n">
        <f aca="false">IF(F4&lt;='Project Assumptions'!$F$39,F35,F20)</f>
        <v>4506.83817495699</v>
      </c>
      <c r="G37" s="513" t="n">
        <f aca="false">IF(G4&lt;='Project Assumptions'!$F$39,G35,G20)</f>
        <v>4506.83817495699</v>
      </c>
      <c r="H37" s="513" t="n">
        <f aca="false">IF(H4&lt;='Project Assumptions'!$F$39,H35,H20)</f>
        <v>4506.83817495699</v>
      </c>
      <c r="I37" s="513" t="n">
        <f aca="false">IF(I4&lt;='Project Assumptions'!$F$39,I35,I20)</f>
        <v>12289.9321345544</v>
      </c>
      <c r="J37" s="513" t="n">
        <f aca="false">IF(J4&lt;='Project Assumptions'!$F$39,J35,J20)</f>
        <v>12408.5139871778</v>
      </c>
      <c r="K37" s="513" t="n">
        <f aca="false">IF(K4&lt;='Project Assumptions'!$F$39,K35,K20)</f>
        <v>12523.0659262414</v>
      </c>
      <c r="L37" s="513" t="n">
        <f aca="false">IF(L4&lt;='Project Assumptions'!$F$39,L35,L20)</f>
        <v>12901.5540972344</v>
      </c>
      <c r="M37" s="513" t="n">
        <f aca="false">IF(M4&lt;='Project Assumptions'!$F$39,M35,M20)</f>
        <v>13015.0328094677</v>
      </c>
      <c r="N37" s="513" t="n">
        <f aca="false">IF(N4&lt;='Project Assumptions'!$F$39,N35,N20)</f>
        <v>13408.2799869575</v>
      </c>
      <c r="O37" s="513" t="n">
        <f aca="false">IF(O4&lt;='Project Assumptions'!$F$39,O35,O20)</f>
        <v>0</v>
      </c>
      <c r="P37" s="513" t="n">
        <f aca="false">IF(P4&lt;='Project Assumptions'!$F$39,P35,P20)</f>
        <v>0</v>
      </c>
      <c r="Q37" s="513" t="n">
        <f aca="false">IF(Q4&lt;='Project Assumptions'!$F$39,Q35,Q20)</f>
        <v>0</v>
      </c>
      <c r="R37" s="513" t="n">
        <f aca="false">IF(R4&lt;='Project Assumptions'!$F$39,R35,R20)</f>
        <v>0</v>
      </c>
      <c r="S37" s="513" t="n">
        <f aca="false">IF(S4&lt;='Project Assumptions'!$F$39,S35,S20)</f>
        <v>0</v>
      </c>
      <c r="T37" s="513" t="n">
        <f aca="false">IF(T4&lt;='Project Assumptions'!$F$39,T35,T20)</f>
        <v>0</v>
      </c>
      <c r="U37" s="513" t="n">
        <f aca="false">IF(U4&lt;='Project Assumptions'!$F$39,U35,U20)</f>
        <v>0</v>
      </c>
      <c r="V37" s="513" t="n">
        <f aca="false">IF(V4&lt;='Project Assumptions'!$F$39,V35,V20)</f>
        <v>0</v>
      </c>
      <c r="W37" s="513" t="n">
        <f aca="false">IF(W4&lt;='Project Assumptions'!$F$39,W35,W20)</f>
        <v>0</v>
      </c>
      <c r="X37" s="513" t="n">
        <f aca="false">IF(X4&lt;='Project Assumptions'!$F$39,X35,X20)</f>
        <v>0</v>
      </c>
      <c r="Y37" s="513" t="n">
        <f aca="false">IF(Y4&lt;='Project Assumptions'!$F$39,Y35,Y20)</f>
        <v>0</v>
      </c>
      <c r="Z37" s="513" t="n">
        <f aca="false">IF(Z4&lt;='Project Assumptions'!$F$39,Z35,Z20)</f>
        <v>0</v>
      </c>
      <c r="AA37" s="513" t="n">
        <f aca="false">IF(AA4&lt;='Project Assumptions'!$F$39,AA35,AA20)</f>
        <v>0</v>
      </c>
      <c r="AB37" s="513" t="n">
        <f aca="false">IF(AB4&lt;='Project Assumptions'!$F$39,AB35,AB20)</f>
        <v>0</v>
      </c>
      <c r="AC37" s="557" t="n">
        <f aca="false">IF(AC4&lt;='Project Assumptions'!$F$39,AC35,AC20)</f>
        <v>0</v>
      </c>
      <c r="AD37" s="545"/>
      <c r="AE37" s="545"/>
      <c r="AF37" s="545"/>
      <c r="AG37" s="545"/>
      <c r="AH37" s="545"/>
      <c r="AI37" s="545"/>
    </row>
    <row r="38" customFormat="false" ht="12.6" hidden="false" customHeight="true" outlineLevel="0" collapsed="false">
      <c r="A38" s="540" t="s">
        <v>449</v>
      </c>
      <c r="B38" s="469"/>
      <c r="C38" s="469"/>
      <c r="D38" s="541"/>
      <c r="E38" s="536" t="n">
        <f aca="false">IF(E4&lt;'Project Assumptions'!$G$39,E34-E36,IF(E4&gt;'Project Assumptions'!$G$39,0,E34-E36))</f>
        <v>59535.5108977146</v>
      </c>
      <c r="F38" s="536" t="n">
        <f aca="false">IF(F4&lt;'Project Assumptions'!$G$39,F34-F36,IF(F4&gt;'Project Assumptions'!$G$39,0,F34-F36))</f>
        <v>59535.5108977146</v>
      </c>
      <c r="G38" s="536" t="n">
        <f aca="false">IF(G4&lt;'Project Assumptions'!$G$39,G34-G36,IF(G4&gt;'Project Assumptions'!$G$39,0,G34-G36))</f>
        <v>59535.5108977146</v>
      </c>
      <c r="H38" s="536" t="n">
        <f aca="false">IF(H4&lt;'Project Assumptions'!$G$39,H34-H36,IF(H4&gt;'Project Assumptions'!$G$39,0,H34-H36))</f>
        <v>59535.5108977146</v>
      </c>
      <c r="I38" s="536" t="n">
        <f aca="false">IF(I4&lt;'Project Assumptions'!$G$39,I34-I36,IF(I4&gt;'Project Assumptions'!$G$39,0,I34-I36))</f>
        <v>51752.4169381171</v>
      </c>
      <c r="J38" s="536" t="n">
        <f aca="false">IF(J4&lt;'Project Assumptions'!$G$39,J34-J36,IF(J4&gt;'Project Assumptions'!$G$39,0,J34-J36))</f>
        <v>43261.5609131547</v>
      </c>
      <c r="K38" s="536" t="n">
        <f aca="false">IF(K4&lt;'Project Assumptions'!$G$39,K34-K36,IF(K4&gt;'Project Assumptions'!$G$39,0,K34-K36))</f>
        <v>34013.3951480392</v>
      </c>
      <c r="L38" s="536" t="n">
        <f aca="false">IF(L4&lt;'Project Assumptions'!$G$39,L34-L36,IF(L4&gt;'Project Assumptions'!$G$39,0,L34-L36))</f>
        <v>23686.6550635114</v>
      </c>
      <c r="M38" s="536" t="n">
        <f aca="false">IF(M4&lt;'Project Assumptions'!$G$39,M34-M36,IF(M4&gt;'Project Assumptions'!$G$39,0,M34-M36))</f>
        <v>12464.7020423515</v>
      </c>
      <c r="N38" s="536" t="n">
        <f aca="false">IF(N4&lt;'Project Assumptions'!$G$39,N34-N36,IF(N4&gt;'Project Assumptions'!$G$39,0,N34-N36))</f>
        <v>0</v>
      </c>
      <c r="O38" s="536" t="n">
        <f aca="false">IF(O4&lt;'Project Assumptions'!$G$39,O34-O36,IF(O4&gt;'Project Assumptions'!$G$39,0,O34-O36))</f>
        <v>0</v>
      </c>
      <c r="P38" s="536" t="n">
        <f aca="false">IF(P4&lt;'Project Assumptions'!$G$39,P34-P36,IF(P4&gt;'Project Assumptions'!$G$39,0,P34-P36))</f>
        <v>0</v>
      </c>
      <c r="Q38" s="536" t="n">
        <f aca="false">IF(Q4&lt;'Project Assumptions'!$G$39,Q34-Q36,IF(Q4&gt;'Project Assumptions'!$G$39,0,Q34-Q36))</f>
        <v>0</v>
      </c>
      <c r="R38" s="536" t="n">
        <f aca="false">IF(R4&lt;'Project Assumptions'!$G$39,R34-R36,IF(R4&gt;'Project Assumptions'!$G$39,0,R34-R36))</f>
        <v>0</v>
      </c>
      <c r="S38" s="536" t="n">
        <f aca="false">IF(S4&lt;'Project Assumptions'!$G$39,S34-S36,IF(S4&gt;'Project Assumptions'!$G$39,0,S34-S36))</f>
        <v>0</v>
      </c>
      <c r="T38" s="536" t="n">
        <f aca="false">IF(T4&lt;'Project Assumptions'!$G$39,T34-T36,IF(T4&gt;'Project Assumptions'!$G$39,0,T34-T36))</f>
        <v>0</v>
      </c>
      <c r="U38" s="536" t="n">
        <f aca="false">IF(U4&lt;'Project Assumptions'!$G$39,U34-U36,IF(U4&gt;'Project Assumptions'!$G$39,0,U34-U36))</f>
        <v>0</v>
      </c>
      <c r="V38" s="536" t="n">
        <f aca="false">IF(V4&lt;'Project Assumptions'!$G$39,V34-V36,IF(V4&gt;'Project Assumptions'!$G$39,0,V34-V36))</f>
        <v>0</v>
      </c>
      <c r="W38" s="536" t="n">
        <f aca="false">IF(W4&lt;'Project Assumptions'!$G$39,W34-W36,IF(W4&gt;'Project Assumptions'!$G$39,0,W34-W36))</f>
        <v>0</v>
      </c>
      <c r="X38" s="536" t="n">
        <f aca="false">IF(X4&lt;'Project Assumptions'!$G$39,X34-X36,IF(X4&gt;'Project Assumptions'!$G$39,0,X34-X36))</f>
        <v>0</v>
      </c>
      <c r="Y38" s="536" t="n">
        <f aca="false">IF(Y4&lt;'Project Assumptions'!$G$39,Y34-Y36,IF(Y4&gt;'Project Assumptions'!$G$39,0,Y34-Y36))</f>
        <v>0</v>
      </c>
      <c r="Z38" s="536" t="n">
        <f aca="false">IF(Z4&lt;'Project Assumptions'!$G$39,Z34-Z36,IF(Z4&gt;'Project Assumptions'!$G$39,0,Z34-Z36))</f>
        <v>0</v>
      </c>
      <c r="AA38" s="536" t="n">
        <f aca="false">IF(AA4&lt;'Project Assumptions'!$G$39,AA34-AA36,IF(AA4&gt;'Project Assumptions'!$G$39,0,AA34-AA36))</f>
        <v>0</v>
      </c>
      <c r="AB38" s="536" t="n">
        <f aca="false">IF(AB4&lt;'Project Assumptions'!$G$39,AB34-AB36,IF(AB4&gt;'Project Assumptions'!$G$39,0,AB34-AB36))</f>
        <v>0</v>
      </c>
      <c r="AC38" s="537" t="n">
        <f aca="false">IF(AC4&lt;'Project Assumptions'!$G$39,AC34-AC36,IF(AC4&gt;'Project Assumptions'!$G$39,0,AC34-AC36))</f>
        <v>0</v>
      </c>
      <c r="AD38" s="545"/>
      <c r="AE38" s="545"/>
      <c r="AF38" s="545"/>
      <c r="AG38" s="545"/>
      <c r="AH38" s="545"/>
      <c r="AI38" s="545"/>
    </row>
    <row r="39" customFormat="false" ht="12.6" hidden="false" customHeight="true" outlineLevel="0" collapsed="false">
      <c r="A39" s="548" t="s">
        <v>450</v>
      </c>
      <c r="B39" s="575"/>
      <c r="C39" s="575"/>
      <c r="D39" s="549"/>
      <c r="E39" s="576" t="n">
        <f aca="false">IF('Project Assumptions'!$G$39&gt;0,SUMPRODUCT(E4:AC4,E36:AC36)/B20,0)</f>
        <v>7.77445725441007</v>
      </c>
      <c r="F39" s="563"/>
      <c r="G39" s="563"/>
      <c r="H39" s="563"/>
      <c r="I39" s="563"/>
      <c r="J39" s="563"/>
      <c r="K39" s="563"/>
      <c r="L39" s="563"/>
      <c r="M39" s="563"/>
      <c r="N39" s="563"/>
      <c r="O39" s="563"/>
      <c r="P39" s="563"/>
      <c r="Q39" s="563"/>
      <c r="R39" s="563"/>
      <c r="S39" s="563"/>
      <c r="T39" s="563"/>
      <c r="U39" s="563"/>
      <c r="V39" s="563"/>
      <c r="W39" s="563"/>
      <c r="X39" s="563"/>
      <c r="Y39" s="563"/>
      <c r="Z39" s="563"/>
      <c r="AA39" s="563"/>
      <c r="AB39" s="563"/>
      <c r="AC39" s="564"/>
      <c r="AD39" s="545"/>
      <c r="AE39" s="545"/>
      <c r="AF39" s="545"/>
      <c r="AG39" s="545"/>
      <c r="AH39" s="545"/>
      <c r="AI39" s="545"/>
    </row>
    <row r="40" customFormat="false" ht="12.75" hidden="false" customHeight="false" outlineLevel="0" collapsed="false">
      <c r="E40" s="513"/>
      <c r="F40" s="513"/>
      <c r="G40" s="513"/>
      <c r="H40" s="513"/>
      <c r="I40" s="513"/>
      <c r="J40" s="513"/>
      <c r="K40" s="513"/>
      <c r="L40" s="513"/>
      <c r="M40" s="513"/>
      <c r="N40" s="513"/>
      <c r="O40" s="513"/>
      <c r="P40" s="513"/>
      <c r="Q40" s="513"/>
      <c r="R40" s="513"/>
      <c r="S40" s="577"/>
      <c r="T40" s="513"/>
      <c r="U40" s="513"/>
      <c r="V40" s="513"/>
      <c r="W40" s="513"/>
      <c r="X40" s="513"/>
      <c r="Y40" s="513"/>
      <c r="Z40" s="513"/>
      <c r="AA40" s="513"/>
      <c r="AB40" s="513"/>
      <c r="AC40" s="513"/>
    </row>
    <row r="41" customFormat="false" ht="12.75" hidden="false" customHeight="false" outlineLevel="0" collapsed="false">
      <c r="A41" s="552" t="s">
        <v>232</v>
      </c>
      <c r="B41" s="578"/>
      <c r="C41" s="578"/>
      <c r="D41" s="569"/>
      <c r="E41" s="553"/>
      <c r="F41" s="569"/>
      <c r="G41" s="569"/>
      <c r="H41" s="569"/>
      <c r="I41" s="569"/>
      <c r="J41" s="569"/>
      <c r="K41" s="569"/>
      <c r="L41" s="569"/>
      <c r="M41" s="569"/>
      <c r="N41" s="569"/>
      <c r="O41" s="569"/>
      <c r="P41" s="569"/>
      <c r="Q41" s="569"/>
      <c r="R41" s="569"/>
      <c r="S41" s="579"/>
      <c r="T41" s="569"/>
      <c r="U41" s="569"/>
      <c r="V41" s="569"/>
      <c r="W41" s="569"/>
      <c r="X41" s="569"/>
      <c r="Y41" s="569"/>
      <c r="Z41" s="569"/>
      <c r="AA41" s="569"/>
      <c r="AB41" s="569"/>
      <c r="AC41" s="580"/>
      <c r="AD41" s="545"/>
      <c r="AE41" s="545"/>
      <c r="AF41" s="545"/>
      <c r="AG41" s="545"/>
      <c r="AH41" s="545"/>
      <c r="AI41" s="545"/>
    </row>
    <row r="42" customFormat="false" ht="12.6" hidden="false" customHeight="true" outlineLevel="0" collapsed="false">
      <c r="A42" s="540" t="s">
        <v>445</v>
      </c>
      <c r="B42" s="544"/>
      <c r="C42" s="544"/>
      <c r="D42" s="541"/>
      <c r="E42" s="536" t="n">
        <f aca="false">B21</f>
        <v>94223.9700782092</v>
      </c>
      <c r="F42" s="536" t="n">
        <f aca="false">+IF(F4&gt;'Project Assumptions'!$H$39,0,E46)</f>
        <v>94223.9700782092</v>
      </c>
      <c r="G42" s="536" t="n">
        <f aca="false">+IF(G4&gt;'Project Assumptions'!$H$39,0,F46)</f>
        <v>94223.9700782092</v>
      </c>
      <c r="H42" s="536" t="n">
        <f aca="false">+IF(H4&gt;'Project Assumptions'!$H$39,0,G46)</f>
        <v>94223.9700782092</v>
      </c>
      <c r="I42" s="536" t="n">
        <f aca="false">+IF(I4&gt;'Project Assumptions'!$H$39,0,H46)</f>
        <v>94223.9700782092</v>
      </c>
      <c r="J42" s="536" t="n">
        <f aca="false">+IF(J4&gt;'Project Assumptions'!$H$39,0,I46)</f>
        <v>94223.9700782092</v>
      </c>
      <c r="K42" s="536" t="n">
        <f aca="false">+IF(K4&gt;'Project Assumptions'!$H$39,0,J46)</f>
        <v>94223.9700782092</v>
      </c>
      <c r="L42" s="536" t="n">
        <f aca="false">+IF(L4&gt;'Project Assumptions'!$H$39,0,K46)</f>
        <v>94223.9700782092</v>
      </c>
      <c r="M42" s="536" t="n">
        <f aca="false">+IF(M4&gt;'Project Assumptions'!$H$39,0,L46)</f>
        <v>94223.9700782092</v>
      </c>
      <c r="N42" s="536" t="n">
        <f aca="false">+IF(N4&gt;'Project Assumptions'!$H$39,0,M46)</f>
        <v>94223.9700782092</v>
      </c>
      <c r="O42" s="536" t="n">
        <f aca="false">+IF(O4&gt;'Project Assumptions'!$H$39,0,N46)</f>
        <v>94223.9700782092</v>
      </c>
      <c r="P42" s="536" t="n">
        <f aca="false">+IF(P4&gt;'Project Assumptions'!$H$39,0,O46)</f>
        <v>88411.360928651</v>
      </c>
      <c r="Q42" s="536" t="n">
        <f aca="false">+IF(Q4&gt;'Project Assumptions'!$H$39,0,P46)</f>
        <v>81714.8802603945</v>
      </c>
      <c r="R42" s="536" t="n">
        <f aca="false">+IF(R4&gt;'Project Assumptions'!$H$39,0,Q46)</f>
        <v>74361.0256141975</v>
      </c>
      <c r="S42" s="536" t="n">
        <f aca="false">+IF(S4&gt;'Project Assumptions'!$H$39,0,R46)</f>
        <v>66302.0672498971</v>
      </c>
      <c r="T42" s="536" t="n">
        <f aca="false">+IF(T4&gt;'Project Assumptions'!$H$39,0,S46)</f>
        <v>57486.8323833323</v>
      </c>
      <c r="U42" s="536" t="n">
        <f aca="false">+IF(U4&gt;'Project Assumptions'!$H$39,0,T46)</f>
        <v>47860.4457811636</v>
      </c>
      <c r="V42" s="536" t="n">
        <f aca="false">+IF(V4&gt;'Project Assumptions'!$H$39,0,U46)</f>
        <v>37364.0500553747</v>
      </c>
      <c r="W42" s="536" t="n">
        <f aca="false">+IF(W4&gt;'Project Assumptions'!$H$39,0,V46)</f>
        <v>25934.5040320177</v>
      </c>
      <c r="X42" s="536" t="n">
        <f aca="false">+IF(X4&gt;'Project Assumptions'!$H$39,0,W46)</f>
        <v>13504.0574370875</v>
      </c>
      <c r="Y42" s="536" t="n">
        <f aca="false">+IF(Y4&gt;'Project Assumptions'!$H$39,0,X46)</f>
        <v>0</v>
      </c>
      <c r="Z42" s="536" t="n">
        <f aca="false">+IF(Z4&gt;'Project Assumptions'!$H$39,0,Y46)</f>
        <v>0</v>
      </c>
      <c r="AA42" s="536" t="n">
        <f aca="false">+IF(AA4&gt;'Project Assumptions'!$H$39,0,Z46)</f>
        <v>0</v>
      </c>
      <c r="AB42" s="536" t="n">
        <f aca="false">+IF(AB4&gt;'Project Assumptions'!$H$39,0,AA46)</f>
        <v>0</v>
      </c>
      <c r="AC42" s="537" t="n">
        <f aca="false">+IF(AC4&gt;'Project Assumptions'!$H$39,0,AB46)</f>
        <v>0</v>
      </c>
      <c r="AD42" s="545"/>
      <c r="AE42" s="545"/>
      <c r="AF42" s="545"/>
      <c r="AG42" s="545"/>
      <c r="AH42" s="545"/>
      <c r="AI42" s="545"/>
    </row>
    <row r="43" customFormat="false" ht="12.6" hidden="false" customHeight="true" outlineLevel="0" collapsed="false">
      <c r="A43" s="540" t="s">
        <v>446</v>
      </c>
      <c r="B43" s="570"/>
      <c r="C43" s="570"/>
      <c r="D43" s="541"/>
      <c r="E43" s="513" t="n">
        <f aca="false">IF('Project Assumptions'!$H$39=0,0,IF(E4&gt;'Project Assumptions'!$G$39,E42*E14,IF(AND(E4&lt;='Project Assumptions'!$G$39,'Project Assumptions'!$H$42="Interest Only"),E42*E14*(13-MONTH('Project Assumptions'!G16))/12,0)))</f>
        <v>0</v>
      </c>
      <c r="F43" s="513" t="n">
        <f aca="false">IF('Project Assumptions'!$H$39=0,0,IF(F4&gt;'Project Assumptions'!$G$39,F42*F14,IF(AND(F4&lt;='Project Assumptions'!$G$39,'Project Assumptions'!$H$42="Interest Only"),F42*F14,0)))</f>
        <v>0</v>
      </c>
      <c r="G43" s="513" t="n">
        <f aca="false">IF('Project Assumptions'!$H$39=0,0,IF(G4&gt;'Project Assumptions'!$G$39,G42*G14,IF(AND(G4&lt;='Project Assumptions'!$G$39,'Project Assumptions'!$H$42="Interest Only"),G42*G14,0)))</f>
        <v>0</v>
      </c>
      <c r="H43" s="513" t="n">
        <f aca="false">IF('Project Assumptions'!$H$39=0,0,IF(H4&gt;'Project Assumptions'!$G$39,H42*H14,IF(AND(H4&lt;='Project Assumptions'!$G$39,'Project Assumptions'!$H$42="Interest Only"),H42*H14,0)))</f>
        <v>0</v>
      </c>
      <c r="I43" s="513" t="n">
        <f aca="false">IF('Project Assumptions'!$H$39=0,0,IF(I4&gt;'Project Assumptions'!$G$39,I42*I14,IF(AND(I4&lt;='Project Assumptions'!$G$39,'Project Assumptions'!$H$42="Interest Only"),I42*I14,0)))</f>
        <v>0</v>
      </c>
      <c r="J43" s="513" t="n">
        <f aca="false">IF('Project Assumptions'!$H$39=0,0,IF(J4&gt;'Project Assumptions'!$G$39,J42*J14,IF(AND(J4&lt;='Project Assumptions'!$G$39,'Project Assumptions'!$H$42="Interest Only"),J42*J14,0)))</f>
        <v>0</v>
      </c>
      <c r="K43" s="513" t="n">
        <f aca="false">IF('Project Assumptions'!$H$39=0,0,IF(K4&gt;'Project Assumptions'!$G$39,K42*K14,IF(AND(K4&lt;='Project Assumptions'!$G$39,'Project Assumptions'!$H$42="Interest Only"),K42*K14,0)))</f>
        <v>0</v>
      </c>
      <c r="L43" s="513" t="n">
        <f aca="false">IF('Project Assumptions'!$H$39=0,0,IF(L4&gt;'Project Assumptions'!$G$39,L42*L14,IF(AND(L4&lt;='Project Assumptions'!$G$39,'Project Assumptions'!$H$42="Interest Only"),L42*L14,0)))</f>
        <v>0</v>
      </c>
      <c r="M43" s="513" t="n">
        <f aca="false">IF('Project Assumptions'!$H$39=0,0,IF(M4&gt;'Project Assumptions'!$G$39,M42*M14,IF(AND(M4&lt;='Project Assumptions'!$G$39,'Project Assumptions'!$H$42="Interest Only"),M42*M14,0)))</f>
        <v>0</v>
      </c>
      <c r="N43" s="513" t="n">
        <f aca="false">IF('Project Assumptions'!$H$39=0,0,IF(N4&gt;'Project Assumptions'!$G$39,N42*N14,IF(AND(N4&lt;='Project Assumptions'!$G$39,'Project Assumptions'!$H$42="Interest Only"),N42*N14,0)))</f>
        <v>0</v>
      </c>
      <c r="O43" s="513" t="n">
        <f aca="false">IF('Project Assumptions'!$H$39=0,0,IF(O4&gt;'Project Assumptions'!$G$39,O42*O14,IF(AND(O4&lt;='Project Assumptions'!$G$39,'Project Assumptions'!$H$42="Interest Only"),O42*O14,0)))</f>
        <v>7707.52075239751</v>
      </c>
      <c r="P43" s="513" t="n">
        <f aca="false">IF('Project Assumptions'!$H$39=0,0,IF(P4&gt;'Project Assumptions'!$G$39,P42*P14,IF(AND(P4&lt;='Project Assumptions'!$G$39,'Project Assumptions'!$H$42="Interest Only"),P42*P14,0)))</f>
        <v>7232.04932396365</v>
      </c>
      <c r="Q43" s="513" t="n">
        <f aca="false">IF('Project Assumptions'!$H$39=0,0,IF(Q4&gt;'Project Assumptions'!$G$39,Q42*Q14,IF(AND(Q4&lt;='Project Assumptions'!$G$39,'Project Assumptions'!$H$42="Interest Only"),Q42*Q14,0)))</f>
        <v>6684.27720530027</v>
      </c>
      <c r="R43" s="513" t="n">
        <f aca="false">IF('Project Assumptions'!$H$39=0,0,IF(R4&gt;'Project Assumptions'!$G$39,R42*R14,IF(AND(R4&lt;='Project Assumptions'!$G$39,'Project Assumptions'!$H$42="Interest Only"),R42*R14,0)))</f>
        <v>6082.73189524136</v>
      </c>
      <c r="S43" s="513" t="n">
        <f aca="false">IF('Project Assumptions'!$H$39=0,0,IF(S4&gt;'Project Assumptions'!$G$39,S42*S14,IF(AND(S4&lt;='Project Assumptions'!$G$39,'Project Assumptions'!$H$42="Interest Only"),S42*S14,0)))</f>
        <v>5423.50910104159</v>
      </c>
      <c r="T43" s="513" t="n">
        <f aca="false">IF('Project Assumptions'!$H$39=0,0,IF(T4&gt;'Project Assumptions'!$G$39,T42*T14,IF(AND(T4&lt;='Project Assumptions'!$G$39,'Project Assumptions'!$H$42="Interest Only"),T42*T14,0)))</f>
        <v>4702.42288895658</v>
      </c>
      <c r="U43" s="513" t="n">
        <f aca="false">IF('Project Assumptions'!$H$39=0,0,IF(U4&gt;'Project Assumptions'!$G$39,U42*U14,IF(AND(U4&lt;='Project Assumptions'!$G$39,'Project Assumptions'!$H$42="Interest Only"),U42*U14,0)))</f>
        <v>3914.98446489919</v>
      </c>
      <c r="V43" s="513" t="n">
        <f aca="false">IF('Project Assumptions'!$H$39=0,0,IF(V4&gt;'Project Assumptions'!$G$39,V42*V14,IF(AND(V4&lt;='Project Assumptions'!$G$39,'Project Assumptions'!$H$42="Interest Only"),V42*V14,0)))</f>
        <v>3056.37929452965</v>
      </c>
      <c r="W43" s="513" t="n">
        <f aca="false">IF('Project Assumptions'!$H$39=0,0,IF(W4&gt;'Project Assumptions'!$G$39,W42*W14,IF(AND(W4&lt;='Project Assumptions'!$G$39,'Project Assumptions'!$H$42="Interest Only"),W42*W14,0)))</f>
        <v>2121.44242981905</v>
      </c>
      <c r="X43" s="513" t="n">
        <f aca="false">IF('Project Assumptions'!$H$39=0,0,IF(X4&gt;'Project Assumptions'!$G$39,X42*X14,IF(AND(X4&lt;='Project Assumptions'!$G$39,'Project Assumptions'!$H$42="Interest Only"),X42*X14,0)))</f>
        <v>1104.63189835376</v>
      </c>
      <c r="Y43" s="513" t="n">
        <f aca="false">IF('Project Assumptions'!$H$39=0,0,IF(Y4&gt;'Project Assumptions'!$G$39,Y42*Y14,IF(AND(Y4&lt;='Project Assumptions'!$G$39,'Project Assumptions'!$H$42="Interest Only"),Y42*Y14,0)))</f>
        <v>0</v>
      </c>
      <c r="Z43" s="513" t="n">
        <f aca="false">IF('Project Assumptions'!$H$39=0,0,IF(Z4&gt;'Project Assumptions'!$G$39,Z42*Z14,IF(AND(Z4&lt;='Project Assumptions'!$G$39,'Project Assumptions'!$H$42="Interest Only"),Z42*Z14,0)))</f>
        <v>0</v>
      </c>
      <c r="AA43" s="513" t="n">
        <f aca="false">IF('Project Assumptions'!$H$39=0,0,IF(AA4&gt;'Project Assumptions'!$G$39,AA42*AA14,IF(AND(AA4&lt;='Project Assumptions'!$G$39,'Project Assumptions'!$H$42="Interest Only"),AA42*AA14,0)))</f>
        <v>0</v>
      </c>
      <c r="AB43" s="513" t="n">
        <f aca="false">IF('Project Assumptions'!$H$39=0,0,IF(AB4&gt;'Project Assumptions'!$G$39,AB42*AB14,IF(AND(AB4&lt;='Project Assumptions'!$G$39,'Project Assumptions'!$H$42="Interest Only"),AB42*AB14,0)))</f>
        <v>0</v>
      </c>
      <c r="AC43" s="557" t="n">
        <f aca="false">IF('Project Assumptions'!$H$39=0,0,IF(AC4&gt;'Project Assumptions'!$G$39,AC42*AC14,IF(AND(AC4&lt;='Project Assumptions'!$G$39,'Project Assumptions'!$H$42="Interest Only"),AC42*AC14,0)))</f>
        <v>0</v>
      </c>
      <c r="AD43" s="545"/>
      <c r="AE43" s="545"/>
      <c r="AF43" s="545"/>
      <c r="AG43" s="545"/>
      <c r="AH43" s="545"/>
      <c r="AI43" s="545"/>
    </row>
    <row r="44" customFormat="false" ht="12.6" hidden="false" customHeight="true" outlineLevel="0" collapsed="false">
      <c r="A44" s="540" t="s">
        <v>447</v>
      </c>
      <c r="B44" s="581"/>
      <c r="C44" s="581"/>
      <c r="D44" s="541"/>
      <c r="E44" s="582" t="n">
        <f aca="false">+E45-E43</f>
        <v>0</v>
      </c>
      <c r="F44" s="582" t="n">
        <f aca="false">+F45-F43</f>
        <v>0</v>
      </c>
      <c r="G44" s="582" t="n">
        <f aca="false">+G45-G43</f>
        <v>0</v>
      </c>
      <c r="H44" s="582" t="n">
        <f aca="false">+H45-H43</f>
        <v>0</v>
      </c>
      <c r="I44" s="582" t="n">
        <f aca="false">+I45-I43</f>
        <v>0</v>
      </c>
      <c r="J44" s="582" t="n">
        <f aca="false">+J45-J43</f>
        <v>0</v>
      </c>
      <c r="K44" s="582" t="n">
        <f aca="false">+K45-K43</f>
        <v>0</v>
      </c>
      <c r="L44" s="582" t="n">
        <f aca="false">+L45-L43</f>
        <v>0</v>
      </c>
      <c r="M44" s="582" t="n">
        <f aca="false">+M45-M43</f>
        <v>0</v>
      </c>
      <c r="N44" s="582" t="n">
        <f aca="false">+N45-N43</f>
        <v>0</v>
      </c>
      <c r="O44" s="582" t="n">
        <f aca="false">+O45-O43</f>
        <v>5812.60914955821</v>
      </c>
      <c r="P44" s="582" t="n">
        <f aca="false">+P45-P43</f>
        <v>6696.48066825651</v>
      </c>
      <c r="Q44" s="582" t="n">
        <f aca="false">+Q45-Q43</f>
        <v>7353.85464619696</v>
      </c>
      <c r="R44" s="582" t="n">
        <f aca="false">+R45-R43</f>
        <v>8058.9583643004</v>
      </c>
      <c r="S44" s="582" t="n">
        <f aca="false">+S45-S43</f>
        <v>8815.23486656485</v>
      </c>
      <c r="T44" s="582" t="n">
        <f aca="false">+T45-T43</f>
        <v>9626.38660216866</v>
      </c>
      <c r="U44" s="582" t="n">
        <f aca="false">+U45-U43</f>
        <v>10496.395725789</v>
      </c>
      <c r="V44" s="582" t="n">
        <f aca="false">+V45-V43</f>
        <v>11429.546023357</v>
      </c>
      <c r="W44" s="582" t="n">
        <f aca="false">+W45-W43</f>
        <v>12430.4465949302</v>
      </c>
      <c r="X44" s="582" t="n">
        <f aca="false">+X45-X43</f>
        <v>13504.0574370876</v>
      </c>
      <c r="Y44" s="582" t="n">
        <f aca="false">+Y45-Y43</f>
        <v>0</v>
      </c>
      <c r="Z44" s="582" t="n">
        <f aca="false">+Z45-Z43</f>
        <v>0</v>
      </c>
      <c r="AA44" s="582" t="n">
        <f aca="false">+AA45-AA43</f>
        <v>0</v>
      </c>
      <c r="AB44" s="582" t="n">
        <f aca="false">+AB45-AB43</f>
        <v>0</v>
      </c>
      <c r="AC44" s="583" t="n">
        <f aca="false">+AC45-AC43</f>
        <v>0</v>
      </c>
      <c r="AD44" s="545"/>
      <c r="AE44" s="545"/>
      <c r="AF44" s="545"/>
      <c r="AG44" s="545"/>
      <c r="AH44" s="545"/>
      <c r="AI44" s="545"/>
    </row>
    <row r="45" customFormat="false" ht="12.6" hidden="false" customHeight="true" outlineLevel="0" collapsed="false">
      <c r="A45" s="540" t="s">
        <v>448</v>
      </c>
      <c r="B45" s="265"/>
      <c r="C45" s="265"/>
      <c r="D45" s="541"/>
      <c r="E45" s="513" t="n">
        <f aca="false">IF(E4&lt;='Project Assumptions'!$F$39,E43,E21)</f>
        <v>0</v>
      </c>
      <c r="F45" s="513" t="n">
        <f aca="false">IF(F4&lt;='Project Assumptions'!$F$39,F43,F21)</f>
        <v>0</v>
      </c>
      <c r="G45" s="513" t="n">
        <f aca="false">IF(G4&lt;='Project Assumptions'!$F$39,G43,G21)</f>
        <v>0</v>
      </c>
      <c r="H45" s="513" t="n">
        <f aca="false">IF(H4&lt;='Project Assumptions'!$F$39,H43,H21)</f>
        <v>0</v>
      </c>
      <c r="I45" s="513" t="n">
        <f aca="false">IF(I4&lt;='Project Assumptions'!$F$39,I43,I21)</f>
        <v>0</v>
      </c>
      <c r="J45" s="513" t="n">
        <f aca="false">IF(J4&lt;='Project Assumptions'!$F$39,J43,J21)</f>
        <v>0</v>
      </c>
      <c r="K45" s="513" t="n">
        <f aca="false">IF(K4&lt;='Project Assumptions'!$F$39,K43,K21)</f>
        <v>0</v>
      </c>
      <c r="L45" s="513" t="n">
        <f aca="false">IF(L4&lt;='Project Assumptions'!$F$39,L43,L21)</f>
        <v>0</v>
      </c>
      <c r="M45" s="513" t="n">
        <f aca="false">IF(M4&lt;='Project Assumptions'!$G$39,M43,M21)</f>
        <v>0</v>
      </c>
      <c r="N45" s="513" t="n">
        <f aca="false">IF(N4&lt;='Project Assumptions'!$G$39,N43,N21)</f>
        <v>0</v>
      </c>
      <c r="O45" s="513" t="n">
        <f aca="false">IF(O4&lt;='Project Assumptions'!$G$39,O43,O21)</f>
        <v>13520.1299019557</v>
      </c>
      <c r="P45" s="513" t="n">
        <f aca="false">IF(P4&lt;='Project Assumptions'!$G$39,P43,P21)</f>
        <v>13928.5299922202</v>
      </c>
      <c r="Q45" s="513" t="n">
        <f aca="false">IF(Q4&lt;='Project Assumptions'!$G$39,Q43,Q21)</f>
        <v>14038.1318514972</v>
      </c>
      <c r="R45" s="513" t="n">
        <f aca="false">IF(R4&lt;='Project Assumptions'!$G$39,R43,R21)</f>
        <v>14141.6902595418</v>
      </c>
      <c r="S45" s="513" t="n">
        <f aca="false">IF(S4&lt;='Project Assumptions'!$G$39,S43,S21)</f>
        <v>14238.7439676064</v>
      </c>
      <c r="T45" s="513" t="n">
        <f aca="false">IF(T4&lt;='Project Assumptions'!$G$39,T43,T21)</f>
        <v>14328.8094911252</v>
      </c>
      <c r="U45" s="513" t="n">
        <f aca="false">IF(U4&lt;='Project Assumptions'!$G$39,U43,U21)</f>
        <v>14411.3801906881</v>
      </c>
      <c r="V45" s="513" t="n">
        <f aca="false">IF(V4&lt;='Project Assumptions'!$G$39,V43,V21)</f>
        <v>14485.9253178866</v>
      </c>
      <c r="W45" s="513" t="n">
        <f aca="false">IF(W4&lt;='Project Assumptions'!$G$39,W43,W21)</f>
        <v>14551.8890247493</v>
      </c>
      <c r="X45" s="513" t="n">
        <f aca="false">IF(X4&lt;='Project Assumptions'!$G$39,X43,X21)</f>
        <v>14608.6893354414</v>
      </c>
      <c r="Y45" s="513" t="n">
        <f aca="false">IF(Y4&lt;='Project Assumptions'!$G$39,Y43,Y21)</f>
        <v>0</v>
      </c>
      <c r="Z45" s="513" t="n">
        <f aca="false">IF(Z4&lt;='Project Assumptions'!$G$39,Z43,Z21)</f>
        <v>0</v>
      </c>
      <c r="AA45" s="513" t="n">
        <f aca="false">IF(AA4&lt;='Project Assumptions'!$G$39,AA43,AA21)</f>
        <v>0</v>
      </c>
      <c r="AB45" s="513" t="n">
        <f aca="false">IF(AB4&lt;='Project Assumptions'!$G$39,AB43,AB21)</f>
        <v>0</v>
      </c>
      <c r="AC45" s="557" t="n">
        <f aca="false">IF(AC4&lt;='Project Assumptions'!$G$39,AC43,AC21)</f>
        <v>0</v>
      </c>
      <c r="AD45" s="545"/>
      <c r="AE45" s="545"/>
      <c r="AF45" s="545"/>
      <c r="AG45" s="545"/>
      <c r="AH45" s="545"/>
      <c r="AI45" s="545"/>
    </row>
    <row r="46" customFormat="false" ht="12.6" hidden="false" customHeight="true" outlineLevel="0" collapsed="false">
      <c r="A46" s="540" t="s">
        <v>449</v>
      </c>
      <c r="B46" s="469"/>
      <c r="C46" s="469"/>
      <c r="D46" s="541"/>
      <c r="E46" s="536" t="n">
        <f aca="false">IF('Project Assumptions'!$H$39=0,0,E42-E44)</f>
        <v>94223.9700782092</v>
      </c>
      <c r="F46" s="536" t="n">
        <f aca="false">IF('Project Assumptions'!$H$39=0,0,F42-F44)</f>
        <v>94223.9700782092</v>
      </c>
      <c r="G46" s="536" t="n">
        <f aca="false">IF('Project Assumptions'!$H$39=0,0,G42-G44)</f>
        <v>94223.9700782092</v>
      </c>
      <c r="H46" s="536" t="n">
        <f aca="false">IF('Project Assumptions'!$H$39=0,0,H42-H44)</f>
        <v>94223.9700782092</v>
      </c>
      <c r="I46" s="536" t="n">
        <f aca="false">IF('Project Assumptions'!$H$39=0,0,I42-I44)</f>
        <v>94223.9700782092</v>
      </c>
      <c r="J46" s="536" t="n">
        <f aca="false">IF('Project Assumptions'!$H$39=0,0,J42-J44)</f>
        <v>94223.9700782092</v>
      </c>
      <c r="K46" s="536" t="n">
        <f aca="false">IF('Project Assumptions'!$H$39=0,0,K42-K44)</f>
        <v>94223.9700782092</v>
      </c>
      <c r="L46" s="536" t="n">
        <f aca="false">IF('Project Assumptions'!$H$39=0,0,L42-L44)</f>
        <v>94223.9700782092</v>
      </c>
      <c r="M46" s="536" t="n">
        <f aca="false">IF('Project Assumptions'!$H$39=0,0,M42-M44)</f>
        <v>94223.9700782092</v>
      </c>
      <c r="N46" s="536" t="n">
        <f aca="false">IF('Project Assumptions'!$H$39=0,0,N42-N44)</f>
        <v>94223.9700782092</v>
      </c>
      <c r="O46" s="536" t="n">
        <f aca="false">IF('Project Assumptions'!$H$39=0,0,O42-O44)</f>
        <v>88411.360928651</v>
      </c>
      <c r="P46" s="536" t="n">
        <f aca="false">IF('Project Assumptions'!$H$39=0,0,P42-P44)</f>
        <v>81714.8802603945</v>
      </c>
      <c r="Q46" s="536" t="n">
        <f aca="false">IF('Project Assumptions'!$H$39=0,0,Q42-Q44)</f>
        <v>74361.0256141975</v>
      </c>
      <c r="R46" s="536" t="n">
        <f aca="false">IF('Project Assumptions'!$H$39=0,0,R42-R44)</f>
        <v>66302.0672498971</v>
      </c>
      <c r="S46" s="536" t="n">
        <f aca="false">IF('Project Assumptions'!$H$39=0,0,S42-S44)</f>
        <v>57486.8323833323</v>
      </c>
      <c r="T46" s="536" t="n">
        <f aca="false">IF('Project Assumptions'!$H$39=0,0,T42-T44)</f>
        <v>47860.4457811636</v>
      </c>
      <c r="U46" s="536" t="n">
        <f aca="false">IF('Project Assumptions'!$H$39=0,0,U42-U44)</f>
        <v>37364.0500553747</v>
      </c>
      <c r="V46" s="536" t="n">
        <f aca="false">IF('Project Assumptions'!$H$39=0,0,V42-V44)</f>
        <v>25934.5040320177</v>
      </c>
      <c r="W46" s="536" t="n">
        <f aca="false">IF('Project Assumptions'!$H$39=0,0,W42-W44)</f>
        <v>13504.0574370875</v>
      </c>
      <c r="X46" s="536" t="n">
        <f aca="false">IF('Project Assumptions'!$H$39=0,0,X42-X44)</f>
        <v>-1.09139364212751E-010</v>
      </c>
      <c r="Y46" s="536" t="n">
        <f aca="false">IF('Project Assumptions'!$H$39=0,0,Y42-Y44)</f>
        <v>0</v>
      </c>
      <c r="Z46" s="536" t="n">
        <f aca="false">IF('Project Assumptions'!$H$39=0,0,Z42-Z44)</f>
        <v>0</v>
      </c>
      <c r="AA46" s="536" t="n">
        <f aca="false">IF('Project Assumptions'!$H$39=0,0,AA42-AA44)</f>
        <v>0</v>
      </c>
      <c r="AB46" s="536" t="n">
        <f aca="false">IF('Project Assumptions'!$H$39=0,0,AB42-AB44)</f>
        <v>0</v>
      </c>
      <c r="AC46" s="537" t="n">
        <f aca="false">IF('Project Assumptions'!$H$39=0,0,AC42-AC44)</f>
        <v>0</v>
      </c>
      <c r="AD46" s="545"/>
      <c r="AE46" s="545"/>
      <c r="AF46" s="545"/>
      <c r="AG46" s="545"/>
      <c r="AH46" s="545"/>
      <c r="AI46" s="545"/>
    </row>
    <row r="47" customFormat="false" ht="12.6" hidden="false" customHeight="true" outlineLevel="0" collapsed="false">
      <c r="A47" s="548" t="s">
        <v>450</v>
      </c>
      <c r="B47" s="575"/>
      <c r="C47" s="575"/>
      <c r="D47" s="549"/>
      <c r="E47" s="576" t="n">
        <f aca="false">IF('Project Assumptions'!H39&gt;0,SUMPRODUCT(E4:AC4,E44:AC44)/B21,0)</f>
        <v>16.2315692422317</v>
      </c>
      <c r="F47" s="563"/>
      <c r="G47" s="563"/>
      <c r="H47" s="563"/>
      <c r="I47" s="563"/>
      <c r="J47" s="563"/>
      <c r="K47" s="563"/>
      <c r="L47" s="563"/>
      <c r="M47" s="563"/>
      <c r="N47" s="563"/>
      <c r="O47" s="563"/>
      <c r="P47" s="563"/>
      <c r="Q47" s="563"/>
      <c r="R47" s="563"/>
      <c r="S47" s="563"/>
      <c r="T47" s="563"/>
      <c r="U47" s="563"/>
      <c r="V47" s="563"/>
      <c r="W47" s="563"/>
      <c r="X47" s="563"/>
      <c r="Y47" s="563"/>
      <c r="Z47" s="563"/>
      <c r="AA47" s="563"/>
      <c r="AB47" s="563"/>
      <c r="AC47" s="564"/>
      <c r="AD47" s="545"/>
      <c r="AE47" s="545"/>
      <c r="AF47" s="545"/>
      <c r="AG47" s="545"/>
      <c r="AH47" s="545"/>
      <c r="AI47" s="545"/>
    </row>
    <row r="48" customFormat="false" ht="12.6" hidden="false" customHeight="true" outlineLevel="0" collapsed="false">
      <c r="A48" s="584"/>
      <c r="B48" s="469"/>
      <c r="C48" s="469"/>
      <c r="D48" s="545"/>
      <c r="E48" s="585"/>
      <c r="F48" s="585"/>
      <c r="G48" s="585"/>
      <c r="H48" s="585"/>
      <c r="I48" s="585"/>
      <c r="J48" s="585"/>
      <c r="K48" s="585"/>
      <c r="L48" s="585"/>
      <c r="M48" s="585"/>
      <c r="N48" s="585"/>
      <c r="O48" s="585"/>
      <c r="P48" s="585"/>
      <c r="Q48" s="585"/>
      <c r="R48" s="585"/>
      <c r="S48" s="585"/>
      <c r="T48" s="585"/>
      <c r="U48" s="585"/>
      <c r="V48" s="585"/>
      <c r="W48" s="585"/>
      <c r="X48" s="585"/>
      <c r="Y48" s="585"/>
      <c r="Z48" s="585"/>
      <c r="AA48" s="585"/>
      <c r="AB48" s="585"/>
      <c r="AC48" s="585"/>
      <c r="AD48" s="545"/>
      <c r="AE48" s="545"/>
      <c r="AF48" s="545"/>
      <c r="AG48" s="545"/>
      <c r="AH48" s="545"/>
      <c r="AI48" s="545"/>
    </row>
    <row r="49" customFormat="false" ht="13.5" hidden="false" customHeight="false" outlineLevel="0" collapsed="false">
      <c r="A49" s="545"/>
      <c r="B49" s="545"/>
      <c r="C49" s="545"/>
      <c r="D49" s="545"/>
      <c r="E49" s="513"/>
      <c r="F49" s="513"/>
      <c r="G49" s="513"/>
      <c r="H49" s="513"/>
      <c r="I49" s="513"/>
      <c r="J49" s="513"/>
      <c r="K49" s="513"/>
      <c r="L49" s="513"/>
      <c r="M49" s="513"/>
      <c r="N49" s="513"/>
      <c r="O49" s="513"/>
      <c r="P49" s="513"/>
      <c r="Q49" s="513"/>
      <c r="R49" s="513"/>
      <c r="S49" s="513"/>
      <c r="T49" s="513"/>
      <c r="U49" s="513"/>
      <c r="V49" s="513"/>
      <c r="W49" s="513"/>
      <c r="X49" s="513"/>
      <c r="Y49" s="513"/>
      <c r="Z49" s="513"/>
      <c r="AA49" s="513"/>
      <c r="AB49" s="513"/>
      <c r="AC49" s="513"/>
      <c r="AD49" s="545"/>
      <c r="AE49" s="545"/>
      <c r="AF49" s="545"/>
      <c r="AG49" s="545"/>
      <c r="AH49" s="545"/>
      <c r="AI49" s="545"/>
    </row>
    <row r="50" customFormat="false" ht="12.75" hidden="false" customHeight="false" outlineLevel="0" collapsed="false">
      <c r="A50" s="586" t="s">
        <v>451</v>
      </c>
      <c r="B50" s="587"/>
      <c r="C50" s="587"/>
      <c r="D50" s="587"/>
      <c r="E50" s="588"/>
      <c r="F50" s="588"/>
      <c r="G50" s="588"/>
      <c r="H50" s="588"/>
      <c r="I50" s="588"/>
      <c r="J50" s="588"/>
      <c r="K50" s="588"/>
      <c r="L50" s="588"/>
      <c r="M50" s="588"/>
      <c r="N50" s="588"/>
      <c r="O50" s="588"/>
      <c r="P50" s="588"/>
      <c r="Q50" s="588"/>
      <c r="R50" s="588"/>
      <c r="S50" s="588"/>
      <c r="T50" s="588"/>
      <c r="U50" s="588"/>
      <c r="V50" s="588"/>
      <c r="W50" s="588"/>
      <c r="X50" s="588"/>
      <c r="Y50" s="588"/>
      <c r="Z50" s="588"/>
      <c r="AA50" s="588"/>
      <c r="AB50" s="588"/>
      <c r="AC50" s="589"/>
      <c r="AD50" s="545"/>
      <c r="AE50" s="545"/>
      <c r="AF50" s="545"/>
      <c r="AG50" s="545"/>
      <c r="AH50" s="545"/>
      <c r="AI50" s="545"/>
    </row>
    <row r="51" customFormat="false" ht="12.75" hidden="false" customHeight="false" outlineLevel="0" collapsed="false">
      <c r="A51" s="590" t="s">
        <v>445</v>
      </c>
      <c r="B51" s="541"/>
      <c r="C51" s="541"/>
      <c r="D51" s="541"/>
      <c r="E51" s="536" t="n">
        <f aca="false">IF('Project Assumptions'!$I$34="Normal",E26+E34+E42,E69+E84+E99)</f>
        <v>130777.2135</v>
      </c>
      <c r="F51" s="536" t="n">
        <f aca="false">IF('Project Assumptions'!$I$34="Normal",F26+F34+F42,F69+F84+F99)</f>
        <v>125546.12496</v>
      </c>
      <c r="G51" s="536" t="n">
        <f aca="false">IF('Project Assumptions'!$I$34="Normal",G26+G34+G42,G69+G84+G99)</f>
        <v>120315.03642</v>
      </c>
      <c r="H51" s="536" t="n">
        <f aca="false">IF('Project Assumptions'!$I$34="Normal",H26+H34+H42,H69+H84+H99)</f>
        <v>113122.2896775</v>
      </c>
      <c r="I51" s="536" t="n">
        <f aca="false">IF('Project Assumptions'!$I$34="Normal",I26+I34+I42,I69+I84+I99)</f>
        <v>103967.8847325</v>
      </c>
      <c r="J51" s="536" t="n">
        <f aca="false">IF('Project Assumptions'!$I$34="Normal",J26+J34+J42,J69+J84+J99)</f>
        <v>98632.1744217</v>
      </c>
      <c r="K51" s="536" t="n">
        <f aca="false">IF('Project Assumptions'!$I$34="Normal",K26+K34+K42,K69+K84+K99)</f>
        <v>93296.4641109</v>
      </c>
      <c r="L51" s="536" t="n">
        <f aca="false">IF('Project Assumptions'!$I$34="Normal",L26+L34+L42,L69+L84+L99)</f>
        <v>87254.5568472</v>
      </c>
      <c r="M51" s="536" t="n">
        <f aca="false">IF('Project Assumptions'!$I$34="Normal",M26+M34+M42,M69+M84+M99)</f>
        <v>81212.6495835</v>
      </c>
      <c r="N51" s="536" t="n">
        <f aca="false">IF('Project Assumptions'!$I$34="Normal",N26+N34+N42,N69+N84+N99)</f>
        <v>71247.4259148</v>
      </c>
      <c r="O51" s="536" t="n">
        <f aca="false">IF('Project Assumptions'!$I$34="Normal",O26+O34+O42,O69+O84+O99)</f>
        <v>58614.3470907</v>
      </c>
      <c r="P51" s="536" t="n">
        <f aca="false">IF('Project Assumptions'!$I$34="Normal",P26+P34+P42,P69+P84+P99)</f>
        <v>55789.5592791</v>
      </c>
      <c r="Q51" s="536" t="n">
        <f aca="false">IF('Project Assumptions'!$I$34="Normal",Q26+Q34+Q42,Q69+Q84+Q99)</f>
        <v>52258.5745146</v>
      </c>
      <c r="R51" s="536" t="n">
        <f aca="false">IF('Project Assumptions'!$I$34="Normal",R26+R34+R42,R69+R84+R99)</f>
        <v>48727.5897501</v>
      </c>
      <c r="S51" s="536" t="n">
        <f aca="false">IF('Project Assumptions'!$I$34="Normal",S26+S34+S42,S69+S84+S99)</f>
        <v>45196.6049856</v>
      </c>
      <c r="T51" s="536" t="n">
        <f aca="false">IF('Project Assumptions'!$I$34="Normal",T26+T34+T42,T69+T84+T99)</f>
        <v>41665.6202211</v>
      </c>
      <c r="U51" s="536" t="n">
        <f aca="false">IF('Project Assumptions'!$I$34="Normal",U26+U34+U42,U69+U84+U99)</f>
        <v>38134.6354566</v>
      </c>
      <c r="V51" s="536" t="n">
        <f aca="false">IF('Project Assumptions'!$I$34="Normal",V26+V34+V42,V69+V84+V99)</f>
        <v>31072.6659276</v>
      </c>
      <c r="W51" s="536" t="n">
        <f aca="false">IF('Project Assumptions'!$I$34="Normal",W26+W34+W42,W69+W84+W99)</f>
        <v>22598.3024928</v>
      </c>
      <c r="X51" s="536" t="n">
        <f aca="false">IF('Project Assumptions'!$I$34="Normal",X26+X34+X42,X69+X84+X99)</f>
        <v>12005.3481993</v>
      </c>
      <c r="Y51" s="536" t="n">
        <f aca="false">IF('Project Assumptions'!$I$34="Normal",Y26+Y34+Y42,Y69+Y84+Y99)</f>
        <v>0</v>
      </c>
      <c r="Z51" s="536" t="n">
        <f aca="false">IF('Project Assumptions'!$I$34="Normal",Z26+Z34+Z42,Z69+Z84+Z99)</f>
        <v>0</v>
      </c>
      <c r="AA51" s="536" t="n">
        <f aca="false">IF('Project Assumptions'!$I$34="Normal",AA26+AA34+AA42,AA69+AA84+AA99)</f>
        <v>0</v>
      </c>
      <c r="AB51" s="536" t="n">
        <f aca="false">IF('Project Assumptions'!$I$34="Normal",AB26+AB34+AB42,AB69+AB84+AB99)</f>
        <v>0</v>
      </c>
      <c r="AC51" s="591" t="n">
        <f aca="false">IF('Project Assumptions'!$I$34="Normal",AC26+AC34+AC42,AC69+AC84+AC99)</f>
        <v>0</v>
      </c>
      <c r="AD51" s="545"/>
      <c r="AE51" s="545"/>
      <c r="AF51" s="545"/>
      <c r="AG51" s="545"/>
      <c r="AH51" s="545"/>
      <c r="AI51" s="545"/>
    </row>
    <row r="52" customFormat="false" ht="12.75" hidden="false" customHeight="false" outlineLevel="0" collapsed="false">
      <c r="A52" s="590" t="s">
        <v>446</v>
      </c>
      <c r="B52" s="541"/>
      <c r="C52" s="541"/>
      <c r="D52" s="541"/>
      <c r="E52" s="513" t="n">
        <f aca="false">IF('Project Assumptions'!$I$34="Normal",E27+E35+E43,E70+E85+E100)</f>
        <v>10153.804410567</v>
      </c>
      <c r="F52" s="513" t="n">
        <f aca="false">IF('Project Assumptions'!$I$34="Normal",F27+F35+F43,F70+F85+F100)</f>
        <v>9802.013706252</v>
      </c>
      <c r="G52" s="513" t="n">
        <f aca="false">IF('Project Assumptions'!$I$34="Normal",G27+G35+G43,G70+G85+G100)</f>
        <v>9450.223001937</v>
      </c>
      <c r="H52" s="513" t="n">
        <f aca="false">IF('Project Assumptions'!$I$34="Normal",H27+H35+H43,H70+H85+H100)</f>
        <v>8949.93477169275</v>
      </c>
      <c r="I52" s="513" t="n">
        <f aca="false">IF('Project Assumptions'!$I$34="Normal",I27+I35+I43,I70+I85+I100)</f>
        <v>8301.14901551925</v>
      </c>
      <c r="J52" s="513" t="n">
        <f aca="false">IF('Project Assumptions'!$I$34="Normal",J27+J35+J43,J70+J85+J100)</f>
        <v>7888.62014216631</v>
      </c>
      <c r="K52" s="513" t="n">
        <f aca="false">IF('Project Assumptions'!$I$34="Normal",K27+K35+K43,K70+K85+K100)</f>
        <v>7476.09126881337</v>
      </c>
      <c r="L52" s="513" t="n">
        <f aca="false">IF('Project Assumptions'!$I$34="Normal",L27+L35+L43,L70+L85+L100)</f>
        <v>7005.79548471321</v>
      </c>
      <c r="M52" s="513" t="n">
        <f aca="false">IF('Project Assumptions'!$I$34="Normal",M27+M35+M43,M70+M85+M100)</f>
        <v>6535.49970061305</v>
      </c>
      <c r="N52" s="513" t="n">
        <f aca="false">IF('Project Assumptions'!$I$34="Normal",N27+N35+N43,N70+N85+N100)</f>
        <v>5768.20886465439</v>
      </c>
      <c r="O52" s="513" t="n">
        <f aca="false">IF('Project Assumptions'!$I$34="Normal",O27+O35+O43,O70+O85+O100)</f>
        <v>4794.65359201926</v>
      </c>
      <c r="P52" s="513" t="n">
        <f aca="false">IF('Project Assumptions'!$I$34="Normal",P27+P35+P43,P70+P85+P100)</f>
        <v>4563.58594903038</v>
      </c>
      <c r="Q52" s="513" t="n">
        <f aca="false">IF('Project Assumptions'!$I$34="Normal",Q27+Q35+Q43,Q70+Q85+Q100)</f>
        <v>4274.75139529428</v>
      </c>
      <c r="R52" s="513" t="n">
        <f aca="false">IF('Project Assumptions'!$I$34="Normal",R27+R35+R43,R70+R85+R100)</f>
        <v>3985.91684155818</v>
      </c>
      <c r="S52" s="513" t="n">
        <f aca="false">IF('Project Assumptions'!$I$34="Normal",S27+S35+S43,S70+S85+S100)</f>
        <v>3697.08228782208</v>
      </c>
      <c r="T52" s="513" t="n">
        <f aca="false">IF('Project Assumptions'!$I$34="Normal",T27+T35+T43,T70+T85+T100)</f>
        <v>3408.24773408598</v>
      </c>
      <c r="U52" s="513" t="n">
        <f aca="false">IF('Project Assumptions'!$I$34="Normal",U27+U35+U43,U70+U85+U100)</f>
        <v>3119.41318034988</v>
      </c>
      <c r="V52" s="513" t="n">
        <f aca="false">IF('Project Assumptions'!$I$34="Normal",V27+V35+V43,V70+V85+V100)</f>
        <v>2541.74407287768</v>
      </c>
      <c r="W52" s="513" t="n">
        <f aca="false">IF('Project Assumptions'!$I$34="Normal",W27+W35+W43,W70+W85+W100)</f>
        <v>1848.54114391104</v>
      </c>
      <c r="X52" s="513" t="n">
        <f aca="false">IF('Project Assumptions'!$I$34="Normal",X27+X35+X43,X70+X85+X100)</f>
        <v>982.037482702741</v>
      </c>
      <c r="Y52" s="513" t="n">
        <f aca="false">IF('Project Assumptions'!$I$34="Normal",Y27+Y35+Y43,Y70+Y85+Y100)</f>
        <v>0</v>
      </c>
      <c r="Z52" s="513" t="n">
        <f aca="false">IF('Project Assumptions'!$I$34="Normal",Z27+Z35+Z43,Z70+Z85+Z100)</f>
        <v>0</v>
      </c>
      <c r="AA52" s="513" t="n">
        <f aca="false">IF('Project Assumptions'!$I$34="Normal",AA27+AA35+AA43,AA70+AA85+AA100)</f>
        <v>0</v>
      </c>
      <c r="AB52" s="513" t="n">
        <f aca="false">IF('Project Assumptions'!$I$34="Normal",AB27+AB35+AB43,AB70+AB85+AB100)</f>
        <v>0</v>
      </c>
      <c r="AC52" s="592" t="n">
        <f aca="false">IF('Project Assumptions'!$I$34="Normal",AC27+AC35+AC43,AC70+AC85+AC100)</f>
        <v>0</v>
      </c>
      <c r="AD52" s="545"/>
      <c r="AE52" s="545"/>
      <c r="AF52" s="545"/>
      <c r="AG52" s="545"/>
      <c r="AH52" s="545"/>
      <c r="AI52" s="545"/>
    </row>
    <row r="53" customFormat="false" ht="12.75" hidden="false" customHeight="false" outlineLevel="0" collapsed="false">
      <c r="A53" s="590" t="s">
        <v>447</v>
      </c>
      <c r="B53" s="541"/>
      <c r="C53" s="541"/>
      <c r="D53" s="541"/>
      <c r="E53" s="513" t="n">
        <f aca="false">IF('Project Assumptions'!$I$34="Normal",E28+E36+E44,E71+E86+E101)</f>
        <v>5231.08854</v>
      </c>
      <c r="F53" s="513" t="n">
        <f aca="false">IF('Project Assumptions'!$I$34="Normal",F28+F36+F44,F71+F86+F101)</f>
        <v>5231.08854</v>
      </c>
      <c r="G53" s="513" t="n">
        <f aca="false">IF('Project Assumptions'!$I$34="Normal",G28+G36+G44,G71+G86+G101)</f>
        <v>7192.7467425</v>
      </c>
      <c r="H53" s="513" t="n">
        <f aca="false">IF('Project Assumptions'!$I$34="Normal",H28+H36+H44,H71+H86+H101)</f>
        <v>9154.404945</v>
      </c>
      <c r="I53" s="513" t="n">
        <f aca="false">IF('Project Assumptions'!$I$34="Normal",I28+I36+I44,I71+I86+I101)</f>
        <v>5335.7103108</v>
      </c>
      <c r="J53" s="513" t="n">
        <f aca="false">IF('Project Assumptions'!$I$34="Normal",J28+J36+J44,J71+J86+J101)</f>
        <v>5335.7103108</v>
      </c>
      <c r="K53" s="513" t="n">
        <f aca="false">IF('Project Assumptions'!$I$34="Normal",K28+K36+K44,K71+K86+K101)</f>
        <v>6041.9072637</v>
      </c>
      <c r="L53" s="513" t="n">
        <f aca="false">IF('Project Assumptions'!$I$34="Normal",L28+L36+L44,L71+L86+L101)</f>
        <v>6041.9072637</v>
      </c>
      <c r="M53" s="513" t="n">
        <f aca="false">IF('Project Assumptions'!$I$34="Normal",M28+M36+M44,M71+M86+M101)</f>
        <v>9965.2236687</v>
      </c>
      <c r="N53" s="513" t="n">
        <f aca="false">IF('Project Assumptions'!$I$34="Normal",N28+N36+N44,N71+N86+N101)</f>
        <v>12633.0788241</v>
      </c>
      <c r="O53" s="513" t="n">
        <f aca="false">IF('Project Assumptions'!$I$34="Normal",O28+O36+O44,O71+O86+O101)</f>
        <v>2824.7878116</v>
      </c>
      <c r="P53" s="513" t="n">
        <f aca="false">IF('Project Assumptions'!$I$34="Normal",P28+P36+P44,P71+P86+P101)</f>
        <v>3530.9847645</v>
      </c>
      <c r="Q53" s="513" t="n">
        <f aca="false">IF('Project Assumptions'!$I$34="Normal",Q28+Q36+Q44,Q71+Q86+Q101)</f>
        <v>3530.9847645</v>
      </c>
      <c r="R53" s="513" t="n">
        <f aca="false">IF('Project Assumptions'!$I$34="Normal",R28+R36+R44,R71+R86+R101)</f>
        <v>3530.9847645</v>
      </c>
      <c r="S53" s="513" t="n">
        <f aca="false">IF('Project Assumptions'!$I$34="Normal",S28+S36+S44,S71+S86+S101)</f>
        <v>3530.9847645</v>
      </c>
      <c r="T53" s="513" t="n">
        <f aca="false">IF('Project Assumptions'!$I$34="Normal",T28+T36+T44,T71+T86+T101)</f>
        <v>3530.9847645</v>
      </c>
      <c r="U53" s="513" t="n">
        <f aca="false">IF('Project Assumptions'!$I$34="Normal",U28+U36+U44,U71+U86+U101)</f>
        <v>7061.969529</v>
      </c>
      <c r="V53" s="513" t="n">
        <f aca="false">IF('Project Assumptions'!$I$34="Normal",V28+V36+V44,V71+V86+V101)</f>
        <v>8474.3634348</v>
      </c>
      <c r="W53" s="513" t="n">
        <f aca="false">IF('Project Assumptions'!$I$34="Normal",W28+W36+W44,W71+W86+W101)</f>
        <v>10592.9542935</v>
      </c>
      <c r="X53" s="513" t="n">
        <f aca="false">IF('Project Assumptions'!$I$34="Normal",X28+X36+X44,X71+X86+X101)</f>
        <v>12005.3481993</v>
      </c>
      <c r="Y53" s="513" t="n">
        <f aca="false">IF('Project Assumptions'!$I$34="Normal",Y28+Y36+Y44,Y71+Y86+Y101)</f>
        <v>0</v>
      </c>
      <c r="Z53" s="513" t="n">
        <f aca="false">IF('Project Assumptions'!$I$34="Normal",Z28+Z36+Z44,Z71+Z86+Z101)</f>
        <v>0</v>
      </c>
      <c r="AA53" s="513" t="n">
        <f aca="false">IF('Project Assumptions'!$I$34="Normal",AA28+AA36+AA44,AA71+AA86+AA101)</f>
        <v>0</v>
      </c>
      <c r="AB53" s="513" t="n">
        <f aca="false">IF('Project Assumptions'!$I$34="Normal",AB28+AB36+AB44,AB71+AB86+AB101)</f>
        <v>0</v>
      </c>
      <c r="AC53" s="592" t="n">
        <f aca="false">IF('Project Assumptions'!$I$34="Normal",AC28+AC36+AC44,AC71+AC86+AC101)</f>
        <v>0</v>
      </c>
      <c r="AD53" s="545"/>
      <c r="AE53" s="545"/>
      <c r="AF53" s="545"/>
      <c r="AG53" s="545"/>
      <c r="AH53" s="545"/>
      <c r="AI53" s="545"/>
    </row>
    <row r="54" customFormat="false" ht="12.75" hidden="false" customHeight="false" outlineLevel="0" collapsed="false">
      <c r="A54" s="590" t="s">
        <v>448</v>
      </c>
      <c r="B54" s="541"/>
      <c r="C54" s="541"/>
      <c r="D54" s="541"/>
      <c r="E54" s="513" t="n">
        <f aca="false">IF('Project Assumptions'!$I$34="Normal",E29+E37+E45,E72+E87+E102)</f>
        <v>15384.892950567</v>
      </c>
      <c r="F54" s="513" t="n">
        <f aca="false">IF('Project Assumptions'!$I$34="Normal",F29+F37+F45,F72+F87+F102)</f>
        <v>15033.102246252</v>
      </c>
      <c r="G54" s="513" t="n">
        <f aca="false">IF('Project Assumptions'!$I$34="Normal",G29+G37+G45,G72+G87+G102)</f>
        <v>16642.969744437</v>
      </c>
      <c r="H54" s="513" t="n">
        <f aca="false">IF('Project Assumptions'!$I$34="Normal",H29+H37+H45,H72+H87+H102)</f>
        <v>18104.3397166927</v>
      </c>
      <c r="I54" s="513" t="n">
        <f aca="false">IF('Project Assumptions'!$I$34="Normal",I29+I37+I45,I72+I87+I102)</f>
        <v>13636.8593263192</v>
      </c>
      <c r="J54" s="513" t="n">
        <f aca="false">IF('Project Assumptions'!$I$34="Normal",J29+J37+J45,J72+J87+J102)</f>
        <v>13224.3304529663</v>
      </c>
      <c r="K54" s="513" t="n">
        <f aca="false">IF('Project Assumptions'!$I$34="Normal",K29+K37+K45,K72+K87+K102)</f>
        <v>13517.9985325134</v>
      </c>
      <c r="L54" s="513" t="n">
        <f aca="false">IF('Project Assumptions'!$I$34="Normal",L29+L37+L45,L72+L87+L102)</f>
        <v>13047.7027484132</v>
      </c>
      <c r="M54" s="513" t="n">
        <f aca="false">IF('Project Assumptions'!$I$34="Normal",M29+M37+M45,M72+M87+M102)</f>
        <v>16500.723369313</v>
      </c>
      <c r="N54" s="513" t="n">
        <f aca="false">IF('Project Assumptions'!$I$34="Normal",N29+N37+N45,N72+N87+N102)</f>
        <v>18401.2876887544</v>
      </c>
      <c r="O54" s="513" t="n">
        <f aca="false">IF('Project Assumptions'!$I$34="Normal",O29+O37+O45,O72+O87+O102)</f>
        <v>7619.44140361926</v>
      </c>
      <c r="P54" s="513" t="n">
        <f aca="false">IF('Project Assumptions'!$I$34="Normal",P29+P37+P45,P72+P87+P102)</f>
        <v>8094.57071353038</v>
      </c>
      <c r="Q54" s="513" t="n">
        <f aca="false">IF('Project Assumptions'!$I$34="Normal",Q29+Q37+Q45,Q72+Q87+Q102)</f>
        <v>7805.73615979428</v>
      </c>
      <c r="R54" s="513" t="n">
        <f aca="false">IF('Project Assumptions'!$I$34="Normal",R29+R37+R45,R72+R87+R102)</f>
        <v>7516.90160605818</v>
      </c>
      <c r="S54" s="513" t="n">
        <f aca="false">IF('Project Assumptions'!$I$34="Normal",S29+S37+S45,S72+S87+S102)</f>
        <v>7228.06705232208</v>
      </c>
      <c r="T54" s="513" t="n">
        <f aca="false">IF('Project Assumptions'!$I$34="Normal",T29+T37+T45,T72+T87+T102)</f>
        <v>6939.23249858598</v>
      </c>
      <c r="U54" s="513" t="n">
        <f aca="false">IF('Project Assumptions'!$I$34="Normal",U29+U37+U45,U72+U87+U102)</f>
        <v>10181.3827093499</v>
      </c>
      <c r="V54" s="513" t="n">
        <f aca="false">IF('Project Assumptions'!$I$34="Normal",V29+V37+V45,V72+V87+V102)</f>
        <v>11016.1075076777</v>
      </c>
      <c r="W54" s="513" t="n">
        <f aca="false">IF('Project Assumptions'!$I$34="Normal",W29+W37+W45,W72+W87+W102)</f>
        <v>12441.495437411</v>
      </c>
      <c r="X54" s="513" t="n">
        <f aca="false">IF('Project Assumptions'!$I$34="Normal",X29+X37+X45,X72+X87+X102)</f>
        <v>12987.3856820027</v>
      </c>
      <c r="Y54" s="513" t="n">
        <f aca="false">IF('Project Assumptions'!$I$34="Normal",Y29+Y37+Y45,Y72+Y87+Y102)</f>
        <v>0</v>
      </c>
      <c r="Z54" s="513" t="n">
        <f aca="false">IF('Project Assumptions'!$I$34="Normal",Z29+Z37+Z45,Z72+Z87+Z102)</f>
        <v>0</v>
      </c>
      <c r="AA54" s="513" t="n">
        <f aca="false">IF('Project Assumptions'!$I$34="Normal",AA29+AA37+AA45,AA72+AA87+AA102)</f>
        <v>0</v>
      </c>
      <c r="AB54" s="513" t="n">
        <f aca="false">IF('Project Assumptions'!$I$34="Normal",AB29+AB37+AB45,AB72+AB87+AB102)</f>
        <v>0</v>
      </c>
      <c r="AC54" s="592" t="n">
        <f aca="false">IF('Project Assumptions'!$I$34="Normal",AC29+AC37+AC45,AC72+AC87+AC102)</f>
        <v>0</v>
      </c>
      <c r="AD54" s="545"/>
      <c r="AE54" s="545"/>
      <c r="AF54" s="545"/>
      <c r="AG54" s="545"/>
      <c r="AH54" s="545"/>
      <c r="AI54" s="545"/>
    </row>
    <row r="55" customFormat="false" ht="12.6" hidden="false" customHeight="true" outlineLevel="0" collapsed="false">
      <c r="A55" s="590" t="s">
        <v>449</v>
      </c>
      <c r="B55" s="593"/>
      <c r="C55" s="593"/>
      <c r="D55" s="541"/>
      <c r="E55" s="536" t="n">
        <f aca="false">IF('Project Assumptions'!$I$34="Normal",E30+E38+E46,E73+E88+E103)</f>
        <v>125546.12496</v>
      </c>
      <c r="F55" s="536" t="n">
        <f aca="false">IF('Project Assumptions'!$I$34="Normal",F30+F38+F46,F73+F88+F103)</f>
        <v>120315.03642</v>
      </c>
      <c r="G55" s="536" t="n">
        <f aca="false">IF('Project Assumptions'!$I$34="Normal",G30+G38+G46,G73+G88+G103)</f>
        <v>113122.2896775</v>
      </c>
      <c r="H55" s="536" t="n">
        <f aca="false">IF('Project Assumptions'!$I$34="Normal",H30+H38+H46,H73+H88+H103)</f>
        <v>103967.8847325</v>
      </c>
      <c r="I55" s="536" t="n">
        <f aca="false">IF('Project Assumptions'!$I$34="Normal",I30+I38+I46,I73+I88+I103)</f>
        <v>98632.1744217</v>
      </c>
      <c r="J55" s="536" t="n">
        <f aca="false">IF('Project Assumptions'!$I$34="Normal",J30+J38+J46,J73+J88+J103)</f>
        <v>93296.4641109</v>
      </c>
      <c r="K55" s="536" t="n">
        <f aca="false">IF('Project Assumptions'!$I$34="Normal",K30+K38+K46,K73+K88+K103)</f>
        <v>87254.5568472</v>
      </c>
      <c r="L55" s="536" t="n">
        <f aca="false">IF('Project Assumptions'!$I$34="Normal",L30+L38+L46,L73+L88+L103)</f>
        <v>81212.6495835</v>
      </c>
      <c r="M55" s="536" t="n">
        <f aca="false">IF('Project Assumptions'!$I$34="Normal",M30+M38+M46,M73+M88+M103)</f>
        <v>71247.4259148</v>
      </c>
      <c r="N55" s="536" t="n">
        <f aca="false">IF('Project Assumptions'!$I$34="Normal",N30+N38+N46,N73+N88+N103)</f>
        <v>58614.3470907</v>
      </c>
      <c r="O55" s="536" t="n">
        <f aca="false">IF('Project Assumptions'!$I$34="Normal",O30+O38+O46,O73+O88+O103)</f>
        <v>55789.5592791</v>
      </c>
      <c r="P55" s="536" t="n">
        <f aca="false">IF('Project Assumptions'!$I$34="Normal",P30+P38+P46,P73+P88+P103)</f>
        <v>52258.5745146</v>
      </c>
      <c r="Q55" s="536" t="n">
        <f aca="false">IF('Project Assumptions'!$I$34="Normal",Q30+Q38+Q46,Q73+Q88+Q103)</f>
        <v>48727.5897501</v>
      </c>
      <c r="R55" s="536" t="n">
        <f aca="false">IF('Project Assumptions'!$I$34="Normal",R30+R38+R46,R73+R88+R103)</f>
        <v>45196.6049856</v>
      </c>
      <c r="S55" s="536" t="n">
        <f aca="false">IF('Project Assumptions'!$I$34="Normal",S30+S38+S46,S73+S88+S103)</f>
        <v>41665.6202211</v>
      </c>
      <c r="T55" s="536" t="n">
        <f aca="false">IF('Project Assumptions'!$I$34="Normal",T30+T38+T46,T73+T88+T103)</f>
        <v>38134.6354566</v>
      </c>
      <c r="U55" s="536" t="n">
        <f aca="false">IF('Project Assumptions'!$I$34="Normal",U30+U38+U46,U73+U88+U103)</f>
        <v>31072.6659276</v>
      </c>
      <c r="V55" s="536" t="n">
        <f aca="false">IF('Project Assumptions'!$I$34="Normal",V30+V38+V46,V73+V88+V103)</f>
        <v>22598.3024928</v>
      </c>
      <c r="W55" s="536" t="n">
        <f aca="false">IF('Project Assumptions'!$I$34="Normal",W30+W38+W46,W73+W88+W103)</f>
        <v>12005.3481993</v>
      </c>
      <c r="X55" s="536" t="n">
        <f aca="false">IF('Project Assumptions'!$I$34="Normal",X30+X38+X46,X73+X88+X103)</f>
        <v>0</v>
      </c>
      <c r="Y55" s="536" t="n">
        <f aca="false">IF('Project Assumptions'!$I$34="Normal",Y30+Y38+Y46,Y73+Y88+Y103)</f>
        <v>0</v>
      </c>
      <c r="Z55" s="536" t="n">
        <f aca="false">IF('Project Assumptions'!$I$34="Normal",Z30+Z38+Z46,Z73+Z88+Z103)</f>
        <v>0</v>
      </c>
      <c r="AA55" s="536" t="n">
        <f aca="false">IF('Project Assumptions'!$I$34="Normal",AA30+AA38+AA46,AA73+AA88+AA103)</f>
        <v>0</v>
      </c>
      <c r="AB55" s="536" t="n">
        <f aca="false">IF('Project Assumptions'!$I$34="Normal",AB30+AB38+AB46,AB73+AB88+AB103)</f>
        <v>0</v>
      </c>
      <c r="AC55" s="591" t="n">
        <f aca="false">IF('Project Assumptions'!$I$34="Normal",AC30+AC38+AC46,AC73+AC88+AC103)</f>
        <v>0</v>
      </c>
      <c r="AD55" s="545"/>
      <c r="AE55" s="545"/>
      <c r="AF55" s="545"/>
      <c r="AG55" s="545"/>
      <c r="AH55" s="545"/>
      <c r="AI55" s="545"/>
    </row>
    <row r="56" customFormat="false" ht="12.6" hidden="false" customHeight="true" outlineLevel="0" collapsed="false">
      <c r="A56" s="590" t="s">
        <v>450</v>
      </c>
      <c r="B56" s="593"/>
      <c r="C56" s="593"/>
      <c r="D56" s="541"/>
      <c r="E56" s="567" t="n">
        <f aca="false">IF('Project Assumptions'!$I$34="Normal",SUMPRODUCT(E4:AC4,E53:AC53)/B22,SUMPRODUCT(E4:AC4,E53:AC53)/('Debt Amortization'!C69+'Debt Amortization'!C84+'Debt Amortization'!C99))</f>
        <v>10.9456</v>
      </c>
      <c r="F56" s="513"/>
      <c r="G56" s="513"/>
      <c r="H56" s="513"/>
      <c r="I56" s="513"/>
      <c r="J56" s="513"/>
      <c r="K56" s="513"/>
      <c r="L56" s="513"/>
      <c r="M56" s="513"/>
      <c r="N56" s="513"/>
      <c r="O56" s="513"/>
      <c r="P56" s="513"/>
      <c r="Q56" s="513"/>
      <c r="R56" s="513"/>
      <c r="S56" s="513"/>
      <c r="T56" s="513"/>
      <c r="U56" s="513"/>
      <c r="V56" s="513"/>
      <c r="W56" s="513"/>
      <c r="X56" s="513"/>
      <c r="Y56" s="513"/>
      <c r="Z56" s="513"/>
      <c r="AA56" s="513"/>
      <c r="AB56" s="513"/>
      <c r="AC56" s="592"/>
      <c r="AD56" s="545"/>
      <c r="AE56" s="545"/>
      <c r="AF56" s="545"/>
      <c r="AG56" s="545"/>
      <c r="AH56" s="545"/>
      <c r="AI56" s="545"/>
    </row>
    <row r="57" customFormat="false" ht="12.6" hidden="false" customHeight="true" outlineLevel="0" collapsed="false">
      <c r="A57" s="594"/>
      <c r="B57" s="546"/>
      <c r="C57" s="546"/>
      <c r="D57" s="265"/>
      <c r="E57" s="595"/>
      <c r="F57" s="595"/>
      <c r="G57" s="595"/>
      <c r="H57" s="595"/>
      <c r="I57" s="595"/>
      <c r="J57" s="595"/>
      <c r="K57" s="595"/>
      <c r="L57" s="595"/>
      <c r="M57" s="595"/>
      <c r="N57" s="595"/>
      <c r="O57" s="595"/>
      <c r="P57" s="595"/>
      <c r="Q57" s="595"/>
      <c r="R57" s="595"/>
      <c r="S57" s="595"/>
      <c r="T57" s="595"/>
      <c r="U57" s="595"/>
      <c r="V57" s="595"/>
      <c r="W57" s="595"/>
      <c r="X57" s="595"/>
      <c r="Y57" s="595"/>
      <c r="Z57" s="595"/>
      <c r="AA57" s="595"/>
      <c r="AB57" s="595"/>
      <c r="AC57" s="596"/>
    </row>
    <row r="58" customFormat="false" ht="12.6" hidden="false" customHeight="true" outlineLevel="0" collapsed="false">
      <c r="A58" s="597" t="s">
        <v>452</v>
      </c>
      <c r="B58" s="598"/>
      <c r="C58" s="598"/>
      <c r="D58" s="599"/>
      <c r="E58" s="600" t="n">
        <f aca="false">E45+E37+E29</f>
        <v>9808.71671673484</v>
      </c>
      <c r="F58" s="600" t="n">
        <f aca="false">F45+F37+F29</f>
        <v>16939.9368434317</v>
      </c>
      <c r="G58" s="600" t="n">
        <f aca="false">G45+G37+G29</f>
        <v>16888.8797108072</v>
      </c>
      <c r="H58" s="600" t="n">
        <f aca="false">H45+H37+H29</f>
        <v>20662.3771969942</v>
      </c>
      <c r="I58" s="600" t="n">
        <f aca="false">I45+I37+I29</f>
        <v>12289.9321345544</v>
      </c>
      <c r="J58" s="600" t="n">
        <f aca="false">J45+J37+J29</f>
        <v>12408.5139871778</v>
      </c>
      <c r="K58" s="600" t="n">
        <f aca="false">K45+K37+K29</f>
        <v>12523.0659262414</v>
      </c>
      <c r="L58" s="600" t="n">
        <f aca="false">L45+L37+L29</f>
        <v>12901.5540972344</v>
      </c>
      <c r="M58" s="600" t="n">
        <f aca="false">M45+M37+M29</f>
        <v>13015.0328094677</v>
      </c>
      <c r="N58" s="600" t="n">
        <f aca="false">N45+N37+N29</f>
        <v>13408.2799869575</v>
      </c>
      <c r="O58" s="600" t="n">
        <f aca="false">O45+O37+O29</f>
        <v>13520.1299019557</v>
      </c>
      <c r="P58" s="600" t="n">
        <f aca="false">P45+P37+P29</f>
        <v>13928.5299922202</v>
      </c>
      <c r="Q58" s="600" t="n">
        <f aca="false">Q45+Q37+Q29</f>
        <v>14038.1318514972</v>
      </c>
      <c r="R58" s="600" t="n">
        <f aca="false">R45+R37+R29</f>
        <v>14141.6902595418</v>
      </c>
      <c r="S58" s="600" t="n">
        <f aca="false">S45+S37+S29</f>
        <v>14238.7439676064</v>
      </c>
      <c r="T58" s="600" t="n">
        <f aca="false">T45+T37+T29</f>
        <v>14328.8094911252</v>
      </c>
      <c r="U58" s="600" t="n">
        <f aca="false">U45+U37+U29</f>
        <v>14411.3801906881</v>
      </c>
      <c r="V58" s="600" t="n">
        <f aca="false">V45+V37+V29</f>
        <v>14485.9253178866</v>
      </c>
      <c r="W58" s="600" t="n">
        <f aca="false">W45+W37+W29</f>
        <v>14551.8890247493</v>
      </c>
      <c r="X58" s="600" t="n">
        <f aca="false">X45+X37+X29</f>
        <v>14608.6893354414</v>
      </c>
      <c r="Y58" s="600" t="n">
        <f aca="false">Y45+Y37+Y29</f>
        <v>0</v>
      </c>
      <c r="Z58" s="600" t="n">
        <f aca="false">Z45+Z37+Z29</f>
        <v>0</v>
      </c>
      <c r="AA58" s="600" t="n">
        <f aca="false">AA45+AA37+AA29</f>
        <v>0</v>
      </c>
      <c r="AB58" s="600" t="n">
        <f aca="false">AB45+AB37+AB29</f>
        <v>0</v>
      </c>
      <c r="AC58" s="601" t="n">
        <f aca="false">AC45+AC37+AC29</f>
        <v>0</v>
      </c>
    </row>
    <row r="59" customFormat="false" ht="12.6" hidden="false" customHeight="true" outlineLevel="0" collapsed="false">
      <c r="B59" s="546"/>
      <c r="C59" s="546"/>
      <c r="E59" s="566"/>
      <c r="F59" s="566"/>
      <c r="G59" s="566"/>
      <c r="H59" s="566"/>
      <c r="I59" s="566"/>
      <c r="J59" s="566"/>
      <c r="K59" s="566"/>
      <c r="L59" s="566"/>
      <c r="M59" s="566"/>
      <c r="N59" s="566"/>
      <c r="O59" s="566"/>
      <c r="P59" s="566"/>
      <c r="Q59" s="566"/>
      <c r="R59" s="566"/>
      <c r="S59" s="566"/>
      <c r="T59" s="566"/>
      <c r="U59" s="566"/>
      <c r="V59" s="566"/>
      <c r="W59" s="566"/>
      <c r="X59" s="566"/>
      <c r="Y59" s="566"/>
      <c r="Z59" s="566"/>
      <c r="AA59" s="566"/>
      <c r="AB59" s="566"/>
      <c r="AC59" s="566"/>
    </row>
    <row r="60" customFormat="false" ht="12.6" hidden="false" customHeight="true" outlineLevel="0" collapsed="false">
      <c r="B60" s="546"/>
      <c r="C60" s="546"/>
      <c r="E60" s="566"/>
      <c r="F60" s="566"/>
      <c r="G60" s="566"/>
      <c r="H60" s="566"/>
      <c r="I60" s="566"/>
      <c r="J60" s="566"/>
      <c r="K60" s="566"/>
      <c r="L60" s="566"/>
      <c r="M60" s="566"/>
      <c r="N60" s="566"/>
      <c r="O60" s="566"/>
      <c r="P60" s="566"/>
      <c r="Q60" s="566"/>
      <c r="R60" s="566"/>
      <c r="S60" s="566"/>
      <c r="T60" s="566"/>
      <c r="U60" s="566"/>
      <c r="V60" s="566"/>
      <c r="W60" s="566"/>
      <c r="X60" s="566"/>
      <c r="Y60" s="566"/>
      <c r="Z60" s="566"/>
      <c r="AA60" s="566"/>
      <c r="AB60" s="566"/>
      <c r="AC60" s="566"/>
    </row>
    <row r="61" customFormat="false" ht="12.6" hidden="false" customHeight="true" outlineLevel="0" collapsed="false">
      <c r="B61" s="546"/>
      <c r="C61" s="546"/>
      <c r="E61" s="566"/>
      <c r="F61" s="566"/>
      <c r="G61" s="566"/>
      <c r="H61" s="566"/>
      <c r="I61" s="566"/>
      <c r="J61" s="566"/>
      <c r="K61" s="566"/>
      <c r="L61" s="566"/>
      <c r="M61" s="566"/>
      <c r="N61" s="566"/>
      <c r="O61" s="566"/>
      <c r="P61" s="566"/>
      <c r="Q61" s="566"/>
      <c r="R61" s="566"/>
      <c r="S61" s="566"/>
      <c r="T61" s="566"/>
      <c r="U61" s="566"/>
      <c r="V61" s="566"/>
      <c r="W61" s="566"/>
      <c r="X61" s="566"/>
      <c r="Y61" s="566"/>
      <c r="Z61" s="566"/>
      <c r="AA61" s="566"/>
      <c r="AB61" s="566"/>
      <c r="AC61" s="566"/>
    </row>
    <row r="62" customFormat="false" ht="12.6" hidden="false" customHeight="true" outlineLevel="0" collapsed="false">
      <c r="A62" s="19" t="s">
        <v>453</v>
      </c>
    </row>
    <row r="63" customFormat="false" ht="12.6" hidden="false" customHeight="true" outlineLevel="0" collapsed="false">
      <c r="A63" s="380" t="s">
        <v>454</v>
      </c>
      <c r="B63" s="602" t="n">
        <f aca="false">Principal1</f>
        <v>20924.35416</v>
      </c>
    </row>
    <row r="64" customFormat="false" ht="12.75" hidden="false" customHeight="false" outlineLevel="0" collapsed="false">
      <c r="A64" s="400" t="s">
        <v>244</v>
      </c>
      <c r="B64" s="603" t="n">
        <f aca="false">Int1</f>
        <v>0.06725</v>
      </c>
    </row>
    <row r="65" customFormat="false" ht="12.75" hidden="false" customHeight="false" outlineLevel="0" collapsed="false">
      <c r="A65" s="400" t="s">
        <v>242</v>
      </c>
      <c r="B65" s="462" t="n">
        <f aca="false">Term1</f>
        <v>4</v>
      </c>
    </row>
    <row r="66" customFormat="false" ht="12.6" hidden="false" customHeight="true" outlineLevel="0" collapsed="false">
      <c r="A66" s="514" t="s">
        <v>455</v>
      </c>
      <c r="B66" s="477" t="n">
        <f aca="false">Grace1</f>
        <v>2</v>
      </c>
      <c r="E66" s="379" t="n">
        <f aca="false">E4</f>
        <v>1</v>
      </c>
      <c r="F66" s="379" t="n">
        <f aca="false">F4</f>
        <v>2</v>
      </c>
      <c r="G66" s="379" t="n">
        <f aca="false">G4</f>
        <v>3</v>
      </c>
      <c r="H66" s="379" t="n">
        <f aca="false">H4</f>
        <v>4</v>
      </c>
      <c r="I66" s="379" t="n">
        <f aca="false">I4</f>
        <v>5</v>
      </c>
      <c r="J66" s="379" t="n">
        <f aca="false">J4</f>
        <v>6</v>
      </c>
      <c r="K66" s="379" t="n">
        <f aca="false">K4</f>
        <v>7</v>
      </c>
      <c r="L66" s="379" t="n">
        <f aca="false">L4</f>
        <v>8</v>
      </c>
      <c r="M66" s="379" t="n">
        <f aca="false">M4</f>
        <v>9</v>
      </c>
      <c r="N66" s="379" t="n">
        <f aca="false">N4</f>
        <v>10</v>
      </c>
      <c r="O66" s="379" t="n">
        <f aca="false">O4</f>
        <v>11</v>
      </c>
      <c r="P66" s="379" t="n">
        <f aca="false">P4</f>
        <v>12</v>
      </c>
      <c r="Q66" s="379" t="n">
        <f aca="false">Q4</f>
        <v>13</v>
      </c>
      <c r="R66" s="379" t="n">
        <f aca="false">R4</f>
        <v>14</v>
      </c>
      <c r="S66" s="379" t="n">
        <f aca="false">S4</f>
        <v>15</v>
      </c>
      <c r="T66" s="379" t="n">
        <f aca="false">T4</f>
        <v>16</v>
      </c>
      <c r="U66" s="379" t="n">
        <f aca="false">U4</f>
        <v>17</v>
      </c>
      <c r="V66" s="379" t="n">
        <f aca="false">V4</f>
        <v>18</v>
      </c>
      <c r="W66" s="379" t="n">
        <f aca="false">W4</f>
        <v>19</v>
      </c>
      <c r="X66" s="379" t="n">
        <f aca="false">X4</f>
        <v>20</v>
      </c>
      <c r="Y66" s="379" t="n">
        <f aca="false">Y4</f>
        <v>21</v>
      </c>
      <c r="Z66" s="379" t="n">
        <f aca="false">Z4</f>
        <v>22</v>
      </c>
      <c r="AA66" s="379" t="n">
        <f aca="false">AA4</f>
        <v>23</v>
      </c>
      <c r="AB66" s="379" t="n">
        <f aca="false">AB4</f>
        <v>24</v>
      </c>
      <c r="AC66" s="379" t="n">
        <f aca="false">AC4</f>
        <v>25</v>
      </c>
    </row>
    <row r="67" customFormat="false" ht="12.6" hidden="false" customHeight="true" outlineLevel="0" collapsed="false">
      <c r="A67" s="265"/>
      <c r="B67" s="265"/>
      <c r="C67" s="19" t="s">
        <v>456</v>
      </c>
      <c r="E67" s="604" t="n">
        <f aca="false">E5</f>
        <v>2000</v>
      </c>
      <c r="F67" s="604" t="n">
        <f aca="false">F5</f>
        <v>2001</v>
      </c>
      <c r="G67" s="604" t="n">
        <f aca="false">G5</f>
        <v>2002</v>
      </c>
      <c r="H67" s="604" t="n">
        <f aca="false">H5</f>
        <v>2003</v>
      </c>
      <c r="I67" s="604" t="n">
        <f aca="false">I5</f>
        <v>2004</v>
      </c>
      <c r="J67" s="604" t="n">
        <f aca="false">J5</f>
        <v>2005</v>
      </c>
      <c r="K67" s="604" t="n">
        <f aca="false">K5</f>
        <v>2006</v>
      </c>
      <c r="L67" s="604" t="n">
        <f aca="false">L5</f>
        <v>2007</v>
      </c>
      <c r="M67" s="604" t="n">
        <f aca="false">M5</f>
        <v>2008</v>
      </c>
      <c r="N67" s="604" t="n">
        <f aca="false">N5</f>
        <v>2009</v>
      </c>
      <c r="O67" s="604" t="n">
        <f aca="false">O5</f>
        <v>2010</v>
      </c>
      <c r="P67" s="604" t="n">
        <f aca="false">P5</f>
        <v>2011</v>
      </c>
      <c r="Q67" s="604" t="n">
        <f aca="false">Q5</f>
        <v>2012</v>
      </c>
      <c r="R67" s="604" t="n">
        <f aca="false">R5</f>
        <v>2013</v>
      </c>
      <c r="S67" s="604" t="n">
        <f aca="false">S5</f>
        <v>2014</v>
      </c>
      <c r="T67" s="604" t="n">
        <f aca="false">T5</f>
        <v>2015</v>
      </c>
      <c r="U67" s="604" t="n">
        <f aca="false">U5</f>
        <v>2016</v>
      </c>
      <c r="V67" s="604" t="n">
        <f aca="false">V5</f>
        <v>2017</v>
      </c>
      <c r="W67" s="604" t="n">
        <f aca="false">W5</f>
        <v>2018</v>
      </c>
      <c r="X67" s="604" t="n">
        <f aca="false">X5</f>
        <v>2019</v>
      </c>
      <c r="Y67" s="604" t="n">
        <f aca="false">Y5</f>
        <v>2020</v>
      </c>
      <c r="Z67" s="604" t="n">
        <f aca="false">Z5</f>
        <v>2021</v>
      </c>
      <c r="AA67" s="604" t="n">
        <f aca="false">AA5</f>
        <v>2022</v>
      </c>
      <c r="AB67" s="604" t="n">
        <f aca="false">AB5</f>
        <v>2023</v>
      </c>
      <c r="AC67" s="604" t="n">
        <f aca="false">AC5</f>
        <v>2024</v>
      </c>
      <c r="AJ67" s="485"/>
      <c r="AK67" s="485"/>
      <c r="AL67" s="485"/>
      <c r="AM67" s="485"/>
      <c r="AN67" s="485"/>
      <c r="AO67" s="485"/>
      <c r="AP67" s="485"/>
      <c r="AQ67" s="485"/>
      <c r="AR67" s="485"/>
      <c r="AS67" s="485"/>
      <c r="AT67" s="485"/>
      <c r="AU67" s="485"/>
      <c r="AV67" s="485"/>
      <c r="AW67" s="485"/>
      <c r="AX67" s="485"/>
      <c r="AY67" s="485"/>
      <c r="AZ67" s="485"/>
      <c r="BA67" s="485"/>
    </row>
    <row r="68" customFormat="false" ht="12.6" hidden="false" customHeight="true" outlineLevel="0" collapsed="false">
      <c r="A68" s="605"/>
      <c r="B68" s="606"/>
      <c r="C68" s="606"/>
      <c r="D68" s="606"/>
      <c r="E68" s="607"/>
      <c r="F68" s="607"/>
      <c r="G68" s="607"/>
      <c r="H68" s="607"/>
      <c r="I68" s="607"/>
      <c r="J68" s="607"/>
      <c r="K68" s="607"/>
      <c r="L68" s="607"/>
      <c r="M68" s="607"/>
      <c r="N68" s="607"/>
      <c r="O68" s="607"/>
      <c r="P68" s="607"/>
      <c r="Q68" s="607"/>
      <c r="R68" s="607"/>
      <c r="S68" s="607"/>
    </row>
    <row r="69" customFormat="false" ht="12.6" hidden="false" customHeight="true" outlineLevel="0" collapsed="false">
      <c r="A69" s="536" t="s">
        <v>457</v>
      </c>
      <c r="B69" s="608"/>
      <c r="C69" s="609" t="n">
        <f aca="false">B63</f>
        <v>20924.35416</v>
      </c>
      <c r="E69" s="608" t="n">
        <f aca="false">C69</f>
        <v>20924.35416</v>
      </c>
      <c r="F69" s="608" t="n">
        <f aca="false">E73</f>
        <v>15693.26562</v>
      </c>
      <c r="G69" s="608" t="n">
        <f aca="false">F73</f>
        <v>10462.17708</v>
      </c>
      <c r="H69" s="608" t="n">
        <f aca="false">G73</f>
        <v>5231.08854</v>
      </c>
      <c r="I69" s="608" t="n">
        <f aca="false">H73</f>
        <v>0</v>
      </c>
      <c r="J69" s="608" t="n">
        <f aca="false">I73</f>
        <v>0</v>
      </c>
      <c r="K69" s="608" t="n">
        <f aca="false">J73</f>
        <v>0</v>
      </c>
      <c r="L69" s="608" t="n">
        <f aca="false">K73</f>
        <v>0</v>
      </c>
      <c r="M69" s="608" t="n">
        <f aca="false">L73</f>
        <v>0</v>
      </c>
      <c r="N69" s="608" t="n">
        <f aca="false">M73</f>
        <v>0</v>
      </c>
      <c r="O69" s="608" t="n">
        <f aca="false">N73</f>
        <v>0</v>
      </c>
      <c r="P69" s="608" t="n">
        <f aca="false">O73</f>
        <v>0</v>
      </c>
      <c r="Q69" s="608" t="n">
        <f aca="false">P73</f>
        <v>0</v>
      </c>
      <c r="R69" s="608" t="n">
        <f aca="false">Q73</f>
        <v>0</v>
      </c>
      <c r="S69" s="608" t="n">
        <f aca="false">R73</f>
        <v>0</v>
      </c>
      <c r="T69" s="608" t="n">
        <f aca="false">S73</f>
        <v>0</v>
      </c>
      <c r="U69" s="608" t="n">
        <f aca="false">T73</f>
        <v>0</v>
      </c>
      <c r="V69" s="608" t="n">
        <f aca="false">U73</f>
        <v>0</v>
      </c>
      <c r="W69" s="608" t="n">
        <f aca="false">V73</f>
        <v>0</v>
      </c>
      <c r="X69" s="608" t="n">
        <f aca="false">W73</f>
        <v>0</v>
      </c>
      <c r="Y69" s="608" t="n">
        <f aca="false">X73</f>
        <v>0</v>
      </c>
      <c r="Z69" s="608" t="n">
        <f aca="false">Y73</f>
        <v>0</v>
      </c>
      <c r="AA69" s="608" t="n">
        <f aca="false">Z73</f>
        <v>0</v>
      </c>
      <c r="AB69" s="608" t="n">
        <f aca="false">AA73</f>
        <v>0</v>
      </c>
      <c r="AC69" s="608" t="n">
        <f aca="false">AB73</f>
        <v>0</v>
      </c>
    </row>
    <row r="70" customFormat="false" ht="12.6" hidden="false" customHeight="true" outlineLevel="0" collapsed="false">
      <c r="A70" s="536" t="s">
        <v>458</v>
      </c>
      <c r="B70" s="610"/>
      <c r="C70" s="608"/>
      <c r="E70" s="608" t="n">
        <f aca="false">E69*$B$64</f>
        <v>1407.16281726</v>
      </c>
      <c r="F70" s="608" t="n">
        <f aca="false">F69*$B$64</f>
        <v>1055.372112945</v>
      </c>
      <c r="G70" s="608" t="n">
        <f aca="false">G69*$B$64</f>
        <v>703.58140863</v>
      </c>
      <c r="H70" s="608" t="n">
        <f aca="false">H69*$B$64</f>
        <v>351.790704315</v>
      </c>
      <c r="I70" s="608" t="n">
        <f aca="false">I69*$B$64</f>
        <v>0</v>
      </c>
      <c r="J70" s="608" t="n">
        <f aca="false">J69*$B$64</f>
        <v>0</v>
      </c>
      <c r="K70" s="608" t="n">
        <f aca="false">K69*$B$64</f>
        <v>0</v>
      </c>
      <c r="L70" s="608" t="n">
        <f aca="false">L69*$B$64</f>
        <v>0</v>
      </c>
      <c r="M70" s="608" t="n">
        <f aca="false">M69*$B$64</f>
        <v>0</v>
      </c>
      <c r="N70" s="608" t="n">
        <f aca="false">N69*$B$64</f>
        <v>0</v>
      </c>
      <c r="O70" s="608" t="n">
        <f aca="false">O69*$B$64</f>
        <v>0</v>
      </c>
      <c r="P70" s="608" t="n">
        <f aca="false">P69*$B$64</f>
        <v>0</v>
      </c>
      <c r="Q70" s="608" t="n">
        <f aca="false">Q69*$B$64</f>
        <v>0</v>
      </c>
      <c r="R70" s="608" t="n">
        <f aca="false">R69*$B$64</f>
        <v>0</v>
      </c>
      <c r="S70" s="608" t="n">
        <f aca="false">S69*$B$64</f>
        <v>0</v>
      </c>
      <c r="T70" s="608" t="n">
        <f aca="false">T69*$B$64</f>
        <v>0</v>
      </c>
      <c r="U70" s="608" t="n">
        <f aca="false">U69*$B$64</f>
        <v>0</v>
      </c>
      <c r="V70" s="608" t="n">
        <f aca="false">V69*$B$64</f>
        <v>0</v>
      </c>
      <c r="W70" s="608" t="n">
        <f aca="false">W69*$B$64</f>
        <v>0</v>
      </c>
      <c r="X70" s="608" t="n">
        <f aca="false">X69*$B$64</f>
        <v>0</v>
      </c>
      <c r="Y70" s="608" t="n">
        <f aca="false">Y69*$B$64</f>
        <v>0</v>
      </c>
      <c r="Z70" s="608" t="n">
        <f aca="false">Z69*$B$64</f>
        <v>0</v>
      </c>
      <c r="AA70" s="608" t="n">
        <f aca="false">AA69*$B$64</f>
        <v>0</v>
      </c>
      <c r="AB70" s="608" t="n">
        <f aca="false">AB69*$B$64</f>
        <v>0</v>
      </c>
      <c r="AC70" s="608" t="n">
        <f aca="false">AC69*$B$64</f>
        <v>0</v>
      </c>
    </row>
    <row r="71" customFormat="false" ht="12.6" hidden="false" customHeight="true" outlineLevel="0" collapsed="false">
      <c r="A71" s="536" t="s">
        <v>459</v>
      </c>
      <c r="B71" s="608"/>
      <c r="C71" s="608"/>
      <c r="E71" s="611" t="n">
        <f aca="false">$C$69*E75</f>
        <v>5231.08854</v>
      </c>
      <c r="F71" s="611" t="n">
        <f aca="false">$C$69*F75</f>
        <v>5231.08854</v>
      </c>
      <c r="G71" s="611" t="n">
        <f aca="false">$C$69*G75</f>
        <v>5231.08854</v>
      </c>
      <c r="H71" s="611" t="n">
        <f aca="false">$C$69*H75</f>
        <v>5231.08854</v>
      </c>
      <c r="I71" s="611" t="n">
        <f aca="false">$C$69*I75</f>
        <v>0</v>
      </c>
      <c r="J71" s="611" t="n">
        <f aca="false">$C$69*J75</f>
        <v>0</v>
      </c>
      <c r="K71" s="611" t="n">
        <f aca="false">$C$69*K75</f>
        <v>0</v>
      </c>
      <c r="L71" s="611" t="n">
        <f aca="false">$C$69*L75</f>
        <v>0</v>
      </c>
      <c r="M71" s="611" t="n">
        <f aca="false">$C$69*M75</f>
        <v>0</v>
      </c>
      <c r="N71" s="611" t="n">
        <f aca="false">$C$69*N75</f>
        <v>0</v>
      </c>
      <c r="O71" s="611" t="n">
        <f aca="false">$C$69*O75</f>
        <v>0</v>
      </c>
      <c r="P71" s="611" t="n">
        <f aca="false">$C$69*P75</f>
        <v>0</v>
      </c>
      <c r="Q71" s="611" t="n">
        <f aca="false">$C$69*Q75</f>
        <v>0</v>
      </c>
      <c r="R71" s="611" t="n">
        <f aca="false">$C$69*R75</f>
        <v>0</v>
      </c>
      <c r="S71" s="611" t="n">
        <f aca="false">$C$69*S75</f>
        <v>0</v>
      </c>
      <c r="T71" s="611" t="n">
        <f aca="false">$C$69*T75</f>
        <v>0</v>
      </c>
      <c r="U71" s="611" t="n">
        <f aca="false">$C$69*U75</f>
        <v>0</v>
      </c>
      <c r="V71" s="611" t="n">
        <f aca="false">$C$69*V75</f>
        <v>0</v>
      </c>
      <c r="W71" s="611" t="n">
        <f aca="false">$C$69*W75</f>
        <v>0</v>
      </c>
      <c r="X71" s="611" t="n">
        <f aca="false">$C$69*X75</f>
        <v>0</v>
      </c>
      <c r="Y71" s="611" t="n">
        <f aca="false">$C$69*Y75</f>
        <v>0</v>
      </c>
      <c r="Z71" s="611" t="n">
        <f aca="false">$C$69*Z75</f>
        <v>0</v>
      </c>
      <c r="AA71" s="611" t="n">
        <f aca="false">$C$69*AA75</f>
        <v>0</v>
      </c>
      <c r="AB71" s="611" t="n">
        <f aca="false">$C$69*AB75</f>
        <v>0</v>
      </c>
      <c r="AC71" s="611" t="n">
        <f aca="false">$C$69*AC75</f>
        <v>0</v>
      </c>
    </row>
    <row r="72" customFormat="false" ht="12.6" hidden="false" customHeight="true" outlineLevel="0" collapsed="false">
      <c r="A72" s="536" t="s">
        <v>460</v>
      </c>
      <c r="B72" s="608"/>
      <c r="C72" s="612"/>
      <c r="E72" s="612" t="n">
        <f aca="false">E71+E70</f>
        <v>6638.25135726</v>
      </c>
      <c r="F72" s="612" t="n">
        <f aca="false">F71+F70</f>
        <v>6286.460652945</v>
      </c>
      <c r="G72" s="612" t="n">
        <f aca="false">G71+G70</f>
        <v>5934.66994863</v>
      </c>
      <c r="H72" s="612" t="n">
        <f aca="false">H71+H70</f>
        <v>5582.879244315</v>
      </c>
      <c r="I72" s="612" t="n">
        <f aca="false">I71+I70</f>
        <v>0</v>
      </c>
      <c r="J72" s="612" t="n">
        <f aca="false">J71+J70</f>
        <v>0</v>
      </c>
      <c r="K72" s="612" t="n">
        <f aca="false">K71+K70</f>
        <v>0</v>
      </c>
      <c r="L72" s="612" t="n">
        <f aca="false">L71+L70</f>
        <v>0</v>
      </c>
      <c r="M72" s="612" t="n">
        <f aca="false">M71+M70</f>
        <v>0</v>
      </c>
      <c r="N72" s="612" t="n">
        <f aca="false">N71+N70</f>
        <v>0</v>
      </c>
      <c r="O72" s="612" t="n">
        <f aca="false">O71+O70</f>
        <v>0</v>
      </c>
      <c r="P72" s="612" t="n">
        <f aca="false">P71+P70</f>
        <v>0</v>
      </c>
      <c r="Q72" s="612" t="n">
        <f aca="false">Q71+Q70</f>
        <v>0</v>
      </c>
      <c r="R72" s="612" t="n">
        <f aca="false">R71+R70</f>
        <v>0</v>
      </c>
      <c r="S72" s="612" t="n">
        <f aca="false">S71+S70</f>
        <v>0</v>
      </c>
      <c r="T72" s="612" t="n">
        <f aca="false">T71+T70</f>
        <v>0</v>
      </c>
      <c r="U72" s="612" t="n">
        <f aca="false">U71+U70</f>
        <v>0</v>
      </c>
      <c r="V72" s="612" t="n">
        <f aca="false">V71+V70</f>
        <v>0</v>
      </c>
      <c r="W72" s="612" t="n">
        <f aca="false">W71+W70</f>
        <v>0</v>
      </c>
      <c r="X72" s="612" t="n">
        <f aca="false">X71+X70</f>
        <v>0</v>
      </c>
      <c r="Y72" s="612" t="n">
        <f aca="false">Y71+Y70</f>
        <v>0</v>
      </c>
      <c r="Z72" s="612" t="n">
        <f aca="false">Z71+Z70</f>
        <v>0</v>
      </c>
      <c r="AA72" s="612" t="n">
        <f aca="false">AA71+AA70</f>
        <v>0</v>
      </c>
      <c r="AB72" s="612" t="n">
        <f aca="false">AB71+AB70</f>
        <v>0</v>
      </c>
      <c r="AC72" s="612" t="n">
        <f aca="false">AC71+AC70</f>
        <v>0</v>
      </c>
    </row>
    <row r="73" customFormat="false" ht="12.6" hidden="false" customHeight="true" outlineLevel="0" collapsed="false">
      <c r="A73" s="536" t="s">
        <v>461</v>
      </c>
      <c r="B73" s="608"/>
      <c r="C73" s="608"/>
      <c r="E73" s="608" t="n">
        <f aca="false">E69-E71</f>
        <v>15693.26562</v>
      </c>
      <c r="F73" s="608" t="n">
        <f aca="false">F69-F71</f>
        <v>10462.17708</v>
      </c>
      <c r="G73" s="608" t="n">
        <f aca="false">G69-G71</f>
        <v>5231.08854</v>
      </c>
      <c r="H73" s="608" t="n">
        <f aca="false">H69-H71</f>
        <v>0</v>
      </c>
      <c r="I73" s="608" t="n">
        <f aca="false">I69-I71</f>
        <v>0</v>
      </c>
      <c r="J73" s="608" t="n">
        <f aca="false">J69-J71</f>
        <v>0</v>
      </c>
      <c r="K73" s="608" t="n">
        <f aca="false">K69-K71</f>
        <v>0</v>
      </c>
      <c r="L73" s="608" t="n">
        <f aca="false">L69-L71</f>
        <v>0</v>
      </c>
      <c r="M73" s="608" t="n">
        <f aca="false">M69-M71</f>
        <v>0</v>
      </c>
      <c r="N73" s="608" t="n">
        <f aca="false">N69-N71</f>
        <v>0</v>
      </c>
      <c r="O73" s="608" t="n">
        <f aca="false">O69-O71</f>
        <v>0</v>
      </c>
      <c r="P73" s="608" t="n">
        <f aca="false">P69-P71</f>
        <v>0</v>
      </c>
      <c r="Q73" s="608" t="n">
        <f aca="false">Q69-Q71</f>
        <v>0</v>
      </c>
      <c r="R73" s="608" t="n">
        <f aca="false">R69-R71</f>
        <v>0</v>
      </c>
      <c r="S73" s="608" t="n">
        <f aca="false">S69-S71</f>
        <v>0</v>
      </c>
      <c r="T73" s="608" t="n">
        <f aca="false">T69-T71</f>
        <v>0</v>
      </c>
      <c r="U73" s="608" t="n">
        <f aca="false">U69-U71</f>
        <v>0</v>
      </c>
      <c r="V73" s="608" t="n">
        <f aca="false">V69-V71</f>
        <v>0</v>
      </c>
      <c r="W73" s="608" t="n">
        <f aca="false">W69-W71</f>
        <v>0</v>
      </c>
      <c r="X73" s="608" t="n">
        <f aca="false">X69-X71</f>
        <v>0</v>
      </c>
      <c r="Y73" s="608" t="n">
        <f aca="false">Y69-Y71</f>
        <v>0</v>
      </c>
      <c r="Z73" s="608" t="n">
        <f aca="false">Z69-Z71</f>
        <v>0</v>
      </c>
      <c r="AA73" s="608" t="n">
        <f aca="false">AA69-AA71</f>
        <v>0</v>
      </c>
      <c r="AB73" s="608" t="n">
        <f aca="false">AB69-AB71</f>
        <v>0</v>
      </c>
      <c r="AC73" s="608" t="n">
        <f aca="false">AC69-AC71</f>
        <v>0</v>
      </c>
    </row>
    <row r="74" customFormat="false" ht="12.6" hidden="false" customHeight="true" outlineLevel="0" collapsed="false">
      <c r="A74" s="536" t="s">
        <v>462</v>
      </c>
      <c r="B74" s="608"/>
      <c r="C74" s="613" t="n">
        <f aca="false">SUMPRODUCT(E71:AC71,$E$66:$AC$66)/SUM(E71:AC71)</f>
        <v>2.5</v>
      </c>
      <c r="D74" s="480"/>
      <c r="E74" s="610"/>
      <c r="F74" s="608"/>
      <c r="G74" s="608"/>
      <c r="H74" s="608"/>
      <c r="I74" s="608"/>
      <c r="J74" s="608"/>
      <c r="K74" s="608"/>
      <c r="L74" s="608"/>
      <c r="M74" s="608"/>
      <c r="N74" s="608"/>
      <c r="O74" s="608"/>
      <c r="P74" s="608"/>
      <c r="Q74" s="608"/>
      <c r="R74" s="608"/>
      <c r="S74" s="608"/>
      <c r="T74" s="608"/>
      <c r="U74" s="608"/>
      <c r="V74" s="608"/>
      <c r="W74" s="608"/>
      <c r="X74" s="608"/>
      <c r="Y74" s="608"/>
      <c r="Z74" s="608"/>
      <c r="AA74" s="608"/>
      <c r="AB74" s="608"/>
      <c r="AC74" s="608"/>
    </row>
    <row r="75" customFormat="false" ht="12.6" hidden="false" customHeight="true" outlineLevel="0" collapsed="false">
      <c r="B75" s="535"/>
      <c r="C75" s="614" t="s">
        <v>463</v>
      </c>
      <c r="D75" s="615" t="n">
        <f aca="false">SUM(E75:AC75)</f>
        <v>1</v>
      </c>
      <c r="E75" s="570" t="n">
        <v>0.25</v>
      </c>
      <c r="F75" s="570" t="n">
        <v>0.25</v>
      </c>
      <c r="G75" s="570" t="n">
        <v>0.25</v>
      </c>
      <c r="H75" s="570" t="n">
        <v>0.25</v>
      </c>
      <c r="I75" s="570" t="n">
        <v>0</v>
      </c>
      <c r="J75" s="570" t="n">
        <v>0</v>
      </c>
      <c r="K75" s="570" t="n">
        <v>0</v>
      </c>
      <c r="L75" s="570" t="n">
        <v>0</v>
      </c>
      <c r="M75" s="570" t="n">
        <v>0</v>
      </c>
      <c r="N75" s="570" t="n">
        <v>0</v>
      </c>
      <c r="O75" s="570" t="n">
        <v>0</v>
      </c>
      <c r="P75" s="570" t="n">
        <v>0</v>
      </c>
      <c r="Q75" s="570" t="n">
        <v>0</v>
      </c>
      <c r="R75" s="570" t="n">
        <v>0</v>
      </c>
      <c r="S75" s="570" t="n">
        <v>0</v>
      </c>
      <c r="T75" s="570" t="n">
        <v>0</v>
      </c>
      <c r="U75" s="570" t="n">
        <v>0</v>
      </c>
      <c r="V75" s="570" t="n">
        <v>0</v>
      </c>
      <c r="W75" s="570" t="n">
        <v>0</v>
      </c>
      <c r="X75" s="570" t="n">
        <v>0</v>
      </c>
      <c r="Y75" s="570" t="n">
        <v>0</v>
      </c>
      <c r="Z75" s="570" t="n">
        <v>0</v>
      </c>
      <c r="AA75" s="570" t="n">
        <v>0</v>
      </c>
      <c r="AB75" s="570" t="n">
        <v>0</v>
      </c>
      <c r="AC75" s="570" t="n">
        <v>0</v>
      </c>
    </row>
    <row r="76" customFormat="false" ht="12.6" hidden="false" customHeight="true" outlineLevel="0" collapsed="false"/>
    <row r="77" customFormat="false" ht="12.6" hidden="false" customHeight="true" outlineLevel="0" collapsed="false">
      <c r="A77" s="19" t="s">
        <v>464</v>
      </c>
    </row>
    <row r="78" customFormat="false" ht="12.6" hidden="false" customHeight="true" outlineLevel="0" collapsed="false">
      <c r="A78" s="380" t="s">
        <v>454</v>
      </c>
      <c r="B78" s="602" t="n">
        <f aca="false">Principal2</f>
        <v>39233.16405</v>
      </c>
    </row>
    <row r="79" customFormat="false" ht="12.75" hidden="false" customHeight="false" outlineLevel="0" collapsed="false">
      <c r="A79" s="400" t="s">
        <v>244</v>
      </c>
      <c r="B79" s="603" t="n">
        <f aca="false">Int2</f>
        <v>0.0757</v>
      </c>
    </row>
    <row r="80" customFormat="false" ht="12.75" hidden="false" customHeight="false" outlineLevel="0" collapsed="false">
      <c r="A80" s="400" t="s">
        <v>242</v>
      </c>
      <c r="B80" s="462" t="n">
        <f aca="false">Term2</f>
        <v>10</v>
      </c>
    </row>
    <row r="81" customFormat="false" ht="12.75" hidden="false" customHeight="false" outlineLevel="0" collapsed="false">
      <c r="A81" s="514" t="s">
        <v>455</v>
      </c>
      <c r="B81" s="477" t="n">
        <f aca="false">Grace2</f>
        <v>4</v>
      </c>
      <c r="E81" s="379" t="n">
        <f aca="false">E4</f>
        <v>1</v>
      </c>
      <c r="F81" s="379" t="n">
        <f aca="false">F4</f>
        <v>2</v>
      </c>
      <c r="G81" s="379" t="n">
        <f aca="false">G4</f>
        <v>3</v>
      </c>
      <c r="H81" s="379" t="n">
        <f aca="false">H4</f>
        <v>4</v>
      </c>
      <c r="I81" s="379" t="n">
        <f aca="false">I4</f>
        <v>5</v>
      </c>
      <c r="J81" s="379" t="n">
        <f aca="false">J4</f>
        <v>6</v>
      </c>
      <c r="K81" s="379" t="n">
        <f aca="false">K4</f>
        <v>7</v>
      </c>
      <c r="L81" s="379" t="n">
        <f aca="false">L4</f>
        <v>8</v>
      </c>
      <c r="M81" s="379" t="n">
        <f aca="false">M4</f>
        <v>9</v>
      </c>
      <c r="N81" s="379" t="n">
        <f aca="false">N4</f>
        <v>10</v>
      </c>
      <c r="O81" s="379" t="n">
        <f aca="false">O4</f>
        <v>11</v>
      </c>
      <c r="P81" s="379" t="n">
        <f aca="false">P4</f>
        <v>12</v>
      </c>
      <c r="Q81" s="379" t="n">
        <f aca="false">Q4</f>
        <v>13</v>
      </c>
      <c r="R81" s="379" t="n">
        <f aca="false">R4</f>
        <v>14</v>
      </c>
      <c r="S81" s="379" t="n">
        <f aca="false">S4</f>
        <v>15</v>
      </c>
      <c r="T81" s="379" t="n">
        <f aca="false">T4</f>
        <v>16</v>
      </c>
      <c r="U81" s="379" t="n">
        <f aca="false">U4</f>
        <v>17</v>
      </c>
      <c r="V81" s="379" t="n">
        <f aca="false">V4</f>
        <v>18</v>
      </c>
      <c r="W81" s="379" t="n">
        <f aca="false">W4</f>
        <v>19</v>
      </c>
      <c r="X81" s="379" t="n">
        <f aca="false">X4</f>
        <v>20</v>
      </c>
      <c r="Y81" s="379" t="n">
        <f aca="false">Y4</f>
        <v>21</v>
      </c>
      <c r="Z81" s="379" t="n">
        <f aca="false">Z4</f>
        <v>22</v>
      </c>
      <c r="AA81" s="379" t="n">
        <f aca="false">AA4</f>
        <v>23</v>
      </c>
      <c r="AB81" s="379" t="n">
        <f aca="false">AB4</f>
        <v>24</v>
      </c>
      <c r="AC81" s="379" t="n">
        <f aca="false">AC4</f>
        <v>25</v>
      </c>
    </row>
    <row r="82" customFormat="false" ht="12.75" hidden="false" customHeight="false" outlineLevel="0" collapsed="false">
      <c r="A82" s="265"/>
      <c r="B82" s="265"/>
      <c r="C82" s="19" t="s">
        <v>456</v>
      </c>
      <c r="E82" s="604" t="n">
        <f aca="false">E5</f>
        <v>2000</v>
      </c>
      <c r="F82" s="604" t="n">
        <f aca="false">F5</f>
        <v>2001</v>
      </c>
      <c r="G82" s="604" t="n">
        <f aca="false">G5</f>
        <v>2002</v>
      </c>
      <c r="H82" s="604" t="n">
        <f aca="false">H5</f>
        <v>2003</v>
      </c>
      <c r="I82" s="604" t="n">
        <f aca="false">I5</f>
        <v>2004</v>
      </c>
      <c r="J82" s="604" t="n">
        <f aca="false">J5</f>
        <v>2005</v>
      </c>
      <c r="K82" s="604" t="n">
        <f aca="false">K5</f>
        <v>2006</v>
      </c>
      <c r="L82" s="604" t="n">
        <f aca="false">L5</f>
        <v>2007</v>
      </c>
      <c r="M82" s="604" t="n">
        <f aca="false">M5</f>
        <v>2008</v>
      </c>
      <c r="N82" s="604" t="n">
        <f aca="false">N5</f>
        <v>2009</v>
      </c>
      <c r="O82" s="604" t="n">
        <f aca="false">O5</f>
        <v>2010</v>
      </c>
      <c r="P82" s="604" t="n">
        <f aca="false">P5</f>
        <v>2011</v>
      </c>
      <c r="Q82" s="604" t="n">
        <f aca="false">Q5</f>
        <v>2012</v>
      </c>
      <c r="R82" s="604" t="n">
        <f aca="false">R5</f>
        <v>2013</v>
      </c>
      <c r="S82" s="604" t="n">
        <f aca="false">S5</f>
        <v>2014</v>
      </c>
      <c r="T82" s="604" t="n">
        <f aca="false">T5</f>
        <v>2015</v>
      </c>
      <c r="U82" s="604" t="n">
        <f aca="false">U5</f>
        <v>2016</v>
      </c>
      <c r="V82" s="604" t="n">
        <f aca="false">V5</f>
        <v>2017</v>
      </c>
      <c r="W82" s="604" t="n">
        <f aca="false">W5</f>
        <v>2018</v>
      </c>
      <c r="X82" s="604" t="n">
        <f aca="false">X5</f>
        <v>2019</v>
      </c>
      <c r="Y82" s="604" t="n">
        <f aca="false">Y5</f>
        <v>2020</v>
      </c>
      <c r="Z82" s="604" t="n">
        <f aca="false">Z5</f>
        <v>2021</v>
      </c>
      <c r="AA82" s="604" t="n">
        <f aca="false">AA5</f>
        <v>2022</v>
      </c>
      <c r="AB82" s="604" t="n">
        <f aca="false">AB5</f>
        <v>2023</v>
      </c>
      <c r="AC82" s="604" t="n">
        <f aca="false">AC5</f>
        <v>2024</v>
      </c>
    </row>
    <row r="83" customFormat="false" ht="12.75" hidden="false" customHeight="false" outlineLevel="0" collapsed="false">
      <c r="A83" s="605"/>
      <c r="B83" s="606"/>
      <c r="C83" s="606"/>
      <c r="D83" s="606"/>
      <c r="E83" s="607"/>
      <c r="F83" s="607"/>
      <c r="G83" s="607"/>
      <c r="H83" s="607"/>
      <c r="I83" s="607"/>
      <c r="J83" s="607"/>
      <c r="K83" s="607"/>
      <c r="L83" s="607"/>
      <c r="M83" s="607"/>
      <c r="N83" s="607"/>
      <c r="O83" s="607"/>
      <c r="P83" s="607"/>
      <c r="Q83" s="607"/>
      <c r="R83" s="607"/>
      <c r="S83" s="607"/>
    </row>
    <row r="84" customFormat="false" ht="12.75" hidden="false" customHeight="false" outlineLevel="0" collapsed="false">
      <c r="A84" s="536" t="s">
        <v>457</v>
      </c>
      <c r="B84" s="608"/>
      <c r="C84" s="609" t="n">
        <f aca="false">B78</f>
        <v>39233.16405</v>
      </c>
      <c r="E84" s="608" t="n">
        <f aca="false">C84</f>
        <v>39233.16405</v>
      </c>
      <c r="F84" s="608" t="n">
        <f aca="false">E88</f>
        <v>39233.16405</v>
      </c>
      <c r="G84" s="608" t="n">
        <f aca="false">F88</f>
        <v>39233.16405</v>
      </c>
      <c r="H84" s="608" t="n">
        <f aca="false">G88</f>
        <v>37271.5058475</v>
      </c>
      <c r="I84" s="608" t="n">
        <f aca="false">H88</f>
        <v>33348.1894425</v>
      </c>
      <c r="J84" s="608" t="n">
        <f aca="false">I88</f>
        <v>29424.8730375</v>
      </c>
      <c r="K84" s="608" t="n">
        <f aca="false">J88</f>
        <v>25501.5566325</v>
      </c>
      <c r="L84" s="608" t="n">
        <f aca="false">K88</f>
        <v>21578.2402275</v>
      </c>
      <c r="M84" s="608" t="n">
        <f aca="false">L88</f>
        <v>17654.9238225</v>
      </c>
      <c r="N84" s="608" t="n">
        <f aca="false">M88</f>
        <v>9808.2910125</v>
      </c>
      <c r="O84" s="608" t="n">
        <f aca="false">N88</f>
        <v>0</v>
      </c>
      <c r="P84" s="608" t="n">
        <f aca="false">O88</f>
        <v>0</v>
      </c>
      <c r="Q84" s="608" t="n">
        <f aca="false">P88</f>
        <v>0</v>
      </c>
      <c r="R84" s="608" t="n">
        <f aca="false">Q88</f>
        <v>0</v>
      </c>
      <c r="S84" s="608" t="n">
        <f aca="false">R88</f>
        <v>0</v>
      </c>
      <c r="T84" s="608" t="n">
        <f aca="false">S88</f>
        <v>0</v>
      </c>
      <c r="U84" s="608" t="n">
        <f aca="false">T88</f>
        <v>0</v>
      </c>
      <c r="V84" s="608" t="n">
        <f aca="false">U88</f>
        <v>0</v>
      </c>
      <c r="W84" s="608" t="n">
        <f aca="false">V88</f>
        <v>0</v>
      </c>
      <c r="X84" s="608" t="n">
        <f aca="false">W88</f>
        <v>0</v>
      </c>
      <c r="Y84" s="608" t="n">
        <f aca="false">X88</f>
        <v>0</v>
      </c>
      <c r="Z84" s="608" t="n">
        <f aca="false">Y88</f>
        <v>0</v>
      </c>
      <c r="AA84" s="608" t="n">
        <f aca="false">Z88</f>
        <v>0</v>
      </c>
      <c r="AB84" s="608" t="n">
        <f aca="false">AA88</f>
        <v>0</v>
      </c>
      <c r="AC84" s="608" t="n">
        <f aca="false">AB88</f>
        <v>0</v>
      </c>
    </row>
    <row r="85" customFormat="false" ht="12.75" hidden="false" customHeight="false" outlineLevel="0" collapsed="false">
      <c r="A85" s="536" t="s">
        <v>458</v>
      </c>
      <c r="B85" s="610"/>
      <c r="C85" s="608"/>
      <c r="E85" s="608" t="n">
        <f aca="false">E84*$B$79</f>
        <v>2969.950518585</v>
      </c>
      <c r="F85" s="608" t="n">
        <f aca="false">F84*$B$79</f>
        <v>2969.950518585</v>
      </c>
      <c r="G85" s="608" t="n">
        <f aca="false">G84*$B$79</f>
        <v>2969.950518585</v>
      </c>
      <c r="H85" s="608" t="n">
        <f aca="false">H84*$B$79</f>
        <v>2821.45299265575</v>
      </c>
      <c r="I85" s="608" t="n">
        <f aca="false">I84*$B$79</f>
        <v>2524.45794079725</v>
      </c>
      <c r="J85" s="608" t="n">
        <f aca="false">J84*$B$79</f>
        <v>2227.46288893875</v>
      </c>
      <c r="K85" s="608" t="n">
        <f aca="false">K84*$B$79</f>
        <v>1930.46783708025</v>
      </c>
      <c r="L85" s="608" t="n">
        <f aca="false">L84*$B$79</f>
        <v>1633.47278522175</v>
      </c>
      <c r="M85" s="608" t="n">
        <f aca="false">M84*$B$79</f>
        <v>1336.47773336325</v>
      </c>
      <c r="N85" s="608" t="n">
        <f aca="false">N84*$B$79</f>
        <v>742.48762964625</v>
      </c>
      <c r="O85" s="608" t="n">
        <f aca="false">O84*$B$79</f>
        <v>0</v>
      </c>
      <c r="P85" s="608" t="n">
        <f aca="false">P84*$B$79</f>
        <v>0</v>
      </c>
      <c r="Q85" s="608" t="n">
        <f aca="false">Q84*$B$79</f>
        <v>0</v>
      </c>
      <c r="R85" s="608" t="n">
        <f aca="false">R84*$B$79</f>
        <v>0</v>
      </c>
      <c r="S85" s="608" t="n">
        <f aca="false">S84*$B$79</f>
        <v>0</v>
      </c>
      <c r="T85" s="608" t="n">
        <f aca="false">T84*$B$79</f>
        <v>0</v>
      </c>
      <c r="U85" s="608" t="n">
        <f aca="false">U84*$B$79</f>
        <v>0</v>
      </c>
      <c r="V85" s="608" t="n">
        <f aca="false">V84*$B$79</f>
        <v>0</v>
      </c>
      <c r="W85" s="608" t="n">
        <f aca="false">W84*$B$79</f>
        <v>0</v>
      </c>
      <c r="X85" s="608" t="n">
        <f aca="false">X84*$B$79</f>
        <v>0</v>
      </c>
      <c r="Y85" s="608" t="n">
        <f aca="false">Y84*$B$79</f>
        <v>0</v>
      </c>
      <c r="Z85" s="608" t="n">
        <f aca="false">Z84*$B$79</f>
        <v>0</v>
      </c>
      <c r="AA85" s="608" t="n">
        <f aca="false">AA84*$B$79</f>
        <v>0</v>
      </c>
      <c r="AB85" s="608" t="n">
        <f aca="false">AB84*$B$79</f>
        <v>0</v>
      </c>
      <c r="AC85" s="608" t="n">
        <f aca="false">AC84*$B$79</f>
        <v>0</v>
      </c>
    </row>
    <row r="86" customFormat="false" ht="12.6" hidden="false" customHeight="true" outlineLevel="0" collapsed="false">
      <c r="A86" s="536" t="s">
        <v>459</v>
      </c>
      <c r="B86" s="608"/>
      <c r="C86" s="608"/>
      <c r="E86" s="611" t="n">
        <f aca="false">$C$84*E90</f>
        <v>0</v>
      </c>
      <c r="F86" s="611" t="n">
        <f aca="false">$C$84*F90</f>
        <v>0</v>
      </c>
      <c r="G86" s="611" t="n">
        <f aca="false">$C$84*G90</f>
        <v>1961.6582025</v>
      </c>
      <c r="H86" s="611" t="n">
        <f aca="false">$C$84*H90</f>
        <v>3923.316405</v>
      </c>
      <c r="I86" s="611" t="n">
        <f aca="false">$C$84*I90</f>
        <v>3923.316405</v>
      </c>
      <c r="J86" s="611" t="n">
        <f aca="false">$C$84*J90</f>
        <v>3923.316405</v>
      </c>
      <c r="K86" s="611" t="n">
        <f aca="false">$C$84*K90</f>
        <v>3923.316405</v>
      </c>
      <c r="L86" s="611" t="n">
        <f aca="false">$C$84*L90</f>
        <v>3923.316405</v>
      </c>
      <c r="M86" s="611" t="n">
        <f aca="false">$C$84*M90</f>
        <v>7846.63281</v>
      </c>
      <c r="N86" s="611" t="n">
        <f aca="false">$C$84*N90</f>
        <v>9808.2910125</v>
      </c>
      <c r="O86" s="611" t="n">
        <f aca="false">$C$84*O90</f>
        <v>0</v>
      </c>
      <c r="P86" s="611" t="n">
        <f aca="false">$C$84*P90</f>
        <v>0</v>
      </c>
      <c r="Q86" s="611" t="n">
        <f aca="false">$C$84*Q90</f>
        <v>0</v>
      </c>
      <c r="R86" s="611" t="n">
        <f aca="false">$C$84*R90</f>
        <v>0</v>
      </c>
      <c r="S86" s="611" t="n">
        <f aca="false">$C$84*S90</f>
        <v>0</v>
      </c>
      <c r="T86" s="611" t="n">
        <f aca="false">$C$84*T90</f>
        <v>0</v>
      </c>
      <c r="U86" s="611" t="n">
        <f aca="false">$C$84*U90</f>
        <v>0</v>
      </c>
      <c r="V86" s="611" t="n">
        <f aca="false">$C$84*V90</f>
        <v>0</v>
      </c>
      <c r="W86" s="611" t="n">
        <f aca="false">$C$84*W90</f>
        <v>0</v>
      </c>
      <c r="X86" s="611" t="n">
        <f aca="false">$C$84*X90</f>
        <v>0</v>
      </c>
      <c r="Y86" s="611" t="n">
        <f aca="false">$C$84*Y90</f>
        <v>0</v>
      </c>
      <c r="Z86" s="611" t="n">
        <f aca="false">$C$84*Z90</f>
        <v>0</v>
      </c>
      <c r="AA86" s="611" t="n">
        <f aca="false">$C$84*AA90</f>
        <v>0</v>
      </c>
      <c r="AB86" s="611" t="n">
        <f aca="false">$C$84*AB90</f>
        <v>0</v>
      </c>
      <c r="AC86" s="611" t="n">
        <f aca="false">$C$84*AC90</f>
        <v>0</v>
      </c>
    </row>
    <row r="87" customFormat="false" ht="12.6" hidden="false" customHeight="true" outlineLevel="0" collapsed="false">
      <c r="A87" s="536" t="s">
        <v>460</v>
      </c>
      <c r="B87" s="608"/>
      <c r="C87" s="612"/>
      <c r="E87" s="612" t="n">
        <f aca="false">E86+E85</f>
        <v>2969.950518585</v>
      </c>
      <c r="F87" s="612" t="n">
        <f aca="false">F86+F85</f>
        <v>2969.950518585</v>
      </c>
      <c r="G87" s="612" t="n">
        <f aca="false">G86+G85</f>
        <v>4931.608721085</v>
      </c>
      <c r="H87" s="612" t="n">
        <f aca="false">H86+H85</f>
        <v>6744.76939765575</v>
      </c>
      <c r="I87" s="612" t="n">
        <f aca="false">I86+I85</f>
        <v>6447.77434579725</v>
      </c>
      <c r="J87" s="612" t="n">
        <f aca="false">J86+J85</f>
        <v>6150.77929393875</v>
      </c>
      <c r="K87" s="612" t="n">
        <f aca="false">K86+K85</f>
        <v>5853.78424208025</v>
      </c>
      <c r="L87" s="612" t="n">
        <f aca="false">L86+L85</f>
        <v>5556.78919022175</v>
      </c>
      <c r="M87" s="612" t="n">
        <f aca="false">M86+M85</f>
        <v>9183.11054336325</v>
      </c>
      <c r="N87" s="612" t="n">
        <f aca="false">N86+N85</f>
        <v>10550.7786421462</v>
      </c>
      <c r="O87" s="612" t="n">
        <f aca="false">O86+O85</f>
        <v>0</v>
      </c>
      <c r="P87" s="612" t="n">
        <f aca="false">P86+P85</f>
        <v>0</v>
      </c>
      <c r="Q87" s="612" t="n">
        <f aca="false">Q86+Q85</f>
        <v>0</v>
      </c>
      <c r="R87" s="612" t="n">
        <f aca="false">R86+R85</f>
        <v>0</v>
      </c>
      <c r="S87" s="612" t="n">
        <f aca="false">S86+S85</f>
        <v>0</v>
      </c>
      <c r="T87" s="612" t="n">
        <f aca="false">T86+T85</f>
        <v>0</v>
      </c>
      <c r="U87" s="612" t="n">
        <f aca="false">U86+U85</f>
        <v>0</v>
      </c>
      <c r="V87" s="612" t="n">
        <f aca="false">V86+V85</f>
        <v>0</v>
      </c>
      <c r="W87" s="612" t="n">
        <f aca="false">W86+W85</f>
        <v>0</v>
      </c>
      <c r="X87" s="612" t="n">
        <f aca="false">X86+X85</f>
        <v>0</v>
      </c>
      <c r="Y87" s="612" t="n">
        <f aca="false">Y86+Y85</f>
        <v>0</v>
      </c>
      <c r="Z87" s="612" t="n">
        <f aca="false">Z86+Z85</f>
        <v>0</v>
      </c>
      <c r="AA87" s="612" t="n">
        <f aca="false">AA86+AA85</f>
        <v>0</v>
      </c>
      <c r="AB87" s="612" t="n">
        <f aca="false">AB86+AB85</f>
        <v>0</v>
      </c>
      <c r="AC87" s="612" t="n">
        <f aca="false">AC86+AC85</f>
        <v>0</v>
      </c>
    </row>
    <row r="88" customFormat="false" ht="12.6" hidden="false" customHeight="true" outlineLevel="0" collapsed="false">
      <c r="A88" s="536" t="s">
        <v>461</v>
      </c>
      <c r="B88" s="608"/>
      <c r="C88" s="608"/>
      <c r="E88" s="608" t="n">
        <f aca="false">E84-E86</f>
        <v>39233.16405</v>
      </c>
      <c r="F88" s="608" t="n">
        <f aca="false">F84-F86</f>
        <v>39233.16405</v>
      </c>
      <c r="G88" s="608" t="n">
        <f aca="false">G84-G86</f>
        <v>37271.5058475</v>
      </c>
      <c r="H88" s="608" t="n">
        <f aca="false">H84-H86</f>
        <v>33348.1894425</v>
      </c>
      <c r="I88" s="608" t="n">
        <f aca="false">I84-I86</f>
        <v>29424.8730375</v>
      </c>
      <c r="J88" s="608" t="n">
        <f aca="false">J84-J86</f>
        <v>25501.5566325</v>
      </c>
      <c r="K88" s="608" t="n">
        <f aca="false">K84-K86</f>
        <v>21578.2402275</v>
      </c>
      <c r="L88" s="608" t="n">
        <f aca="false">L84-L86</f>
        <v>17654.9238225</v>
      </c>
      <c r="M88" s="608" t="n">
        <f aca="false">M84-M86</f>
        <v>9808.2910125</v>
      </c>
      <c r="N88" s="608" t="n">
        <f aca="false">N84-N86</f>
        <v>0</v>
      </c>
      <c r="O88" s="608" t="n">
        <f aca="false">O84-O86</f>
        <v>0</v>
      </c>
      <c r="P88" s="608" t="n">
        <f aca="false">P84-P86</f>
        <v>0</v>
      </c>
      <c r="Q88" s="608" t="n">
        <f aca="false">Q84-Q86</f>
        <v>0</v>
      </c>
      <c r="R88" s="608" t="n">
        <f aca="false">R84-R86</f>
        <v>0</v>
      </c>
      <c r="S88" s="608" t="n">
        <f aca="false">S84-S86</f>
        <v>0</v>
      </c>
      <c r="T88" s="608" t="n">
        <f aca="false">T84-T86</f>
        <v>0</v>
      </c>
      <c r="U88" s="608" t="n">
        <f aca="false">U84-U86</f>
        <v>0</v>
      </c>
      <c r="V88" s="608" t="n">
        <f aca="false">V84-V86</f>
        <v>0</v>
      </c>
      <c r="W88" s="608" t="n">
        <f aca="false">W84-W86</f>
        <v>0</v>
      </c>
      <c r="X88" s="608" t="n">
        <f aca="false">X84-X86</f>
        <v>0</v>
      </c>
      <c r="Y88" s="608" t="n">
        <f aca="false">Y84-Y86</f>
        <v>0</v>
      </c>
      <c r="Z88" s="608" t="n">
        <f aca="false">Z84-Z86</f>
        <v>0</v>
      </c>
      <c r="AA88" s="608" t="n">
        <f aca="false">AA84-AA86</f>
        <v>0</v>
      </c>
      <c r="AB88" s="608" t="n">
        <f aca="false">AB84-AB86</f>
        <v>0</v>
      </c>
      <c r="AC88" s="608" t="n">
        <f aca="false">AC84-AC86</f>
        <v>0</v>
      </c>
    </row>
    <row r="89" customFormat="false" ht="12.6" hidden="false" customHeight="true" outlineLevel="0" collapsed="false">
      <c r="A89" s="536" t="s">
        <v>462</v>
      </c>
      <c r="B89" s="608"/>
      <c r="C89" s="616" t="n">
        <f aca="false">SUMPRODUCT(E86:AC86,$E$81:$AC$81)/SUM(E86:AC86)</f>
        <v>7.45</v>
      </c>
      <c r="E89" s="610"/>
      <c r="F89" s="608"/>
      <c r="G89" s="608"/>
      <c r="H89" s="608"/>
      <c r="I89" s="608"/>
      <c r="J89" s="608"/>
      <c r="K89" s="608"/>
      <c r="L89" s="608"/>
      <c r="M89" s="608"/>
      <c r="N89" s="608"/>
      <c r="O89" s="608"/>
      <c r="P89" s="608"/>
      <c r="Q89" s="608"/>
      <c r="R89" s="608"/>
      <c r="S89" s="608"/>
      <c r="T89" s="608"/>
      <c r="U89" s="608"/>
      <c r="V89" s="608"/>
      <c r="W89" s="608"/>
      <c r="X89" s="608"/>
      <c r="Y89" s="608"/>
      <c r="Z89" s="608"/>
      <c r="AA89" s="608"/>
      <c r="AB89" s="608"/>
      <c r="AC89" s="608"/>
    </row>
    <row r="90" customFormat="false" ht="12.6" hidden="false" customHeight="true" outlineLevel="0" collapsed="false">
      <c r="B90" s="535"/>
      <c r="C90" s="614" t="s">
        <v>463</v>
      </c>
      <c r="D90" s="615" t="n">
        <f aca="false">SUM(E90:AC90)</f>
        <v>1</v>
      </c>
      <c r="E90" s="570" t="n">
        <v>0</v>
      </c>
      <c r="F90" s="570" t="n">
        <v>0</v>
      </c>
      <c r="G90" s="570" t="n">
        <v>0.05</v>
      </c>
      <c r="H90" s="570" t="n">
        <v>0.1</v>
      </c>
      <c r="I90" s="570" t="n">
        <v>0.1</v>
      </c>
      <c r="J90" s="570" t="n">
        <v>0.1</v>
      </c>
      <c r="K90" s="570" t="n">
        <v>0.1</v>
      </c>
      <c r="L90" s="570" t="n">
        <v>0.1</v>
      </c>
      <c r="M90" s="570" t="n">
        <v>0.2</v>
      </c>
      <c r="N90" s="570" t="n">
        <v>0.25</v>
      </c>
      <c r="O90" s="570" t="n">
        <v>0</v>
      </c>
      <c r="P90" s="570" t="n">
        <v>0</v>
      </c>
      <c r="Q90" s="570" t="n">
        <v>0</v>
      </c>
      <c r="R90" s="570" t="n">
        <v>0</v>
      </c>
      <c r="S90" s="570" t="n">
        <v>0</v>
      </c>
      <c r="T90" s="570" t="n">
        <v>0</v>
      </c>
      <c r="U90" s="570" t="n">
        <v>0</v>
      </c>
      <c r="V90" s="570" t="n">
        <v>0</v>
      </c>
      <c r="W90" s="570" t="n">
        <v>0</v>
      </c>
      <c r="X90" s="570" t="n">
        <v>0</v>
      </c>
      <c r="Y90" s="570" t="n">
        <v>0</v>
      </c>
      <c r="Z90" s="570" t="n">
        <v>0</v>
      </c>
      <c r="AA90" s="570" t="n">
        <v>0</v>
      </c>
      <c r="AB90" s="570" t="n">
        <v>0</v>
      </c>
      <c r="AC90" s="570" t="n">
        <v>0</v>
      </c>
    </row>
    <row r="91" customFormat="false" ht="12.6" hidden="false" customHeight="true" outlineLevel="0" collapsed="false"/>
    <row r="92" customFormat="false" ht="12.6" hidden="false" customHeight="true" outlineLevel="0" collapsed="false">
      <c r="A92" s="19" t="s">
        <v>465</v>
      </c>
    </row>
    <row r="93" customFormat="false" ht="12.6" hidden="false" customHeight="true" outlineLevel="0" collapsed="false">
      <c r="A93" s="380" t="s">
        <v>454</v>
      </c>
      <c r="B93" s="602" t="n">
        <f aca="false">Principal3</f>
        <v>70619.69529</v>
      </c>
    </row>
    <row r="94" customFormat="false" ht="12.6" hidden="false" customHeight="true" outlineLevel="0" collapsed="false">
      <c r="A94" s="400" t="s">
        <v>244</v>
      </c>
      <c r="B94" s="603" t="n">
        <f aca="false">Int3</f>
        <v>0.0818</v>
      </c>
    </row>
    <row r="95" customFormat="false" ht="12.6" hidden="false" customHeight="true" outlineLevel="0" collapsed="false">
      <c r="A95" s="400" t="s">
        <v>242</v>
      </c>
      <c r="B95" s="462" t="n">
        <f aca="false">Term3</f>
        <v>20</v>
      </c>
    </row>
    <row r="96" customFormat="false" ht="13.5" hidden="false" customHeight="true" outlineLevel="0" collapsed="false">
      <c r="A96" s="514" t="s">
        <v>455</v>
      </c>
      <c r="B96" s="477" t="n">
        <f aca="false">Grace3</f>
        <v>0</v>
      </c>
      <c r="E96" s="379" t="n">
        <f aca="false">E4</f>
        <v>1</v>
      </c>
      <c r="F96" s="379" t="n">
        <f aca="false">F4</f>
        <v>2</v>
      </c>
      <c r="G96" s="379" t="n">
        <f aca="false">G4</f>
        <v>3</v>
      </c>
      <c r="H96" s="379" t="n">
        <f aca="false">H4</f>
        <v>4</v>
      </c>
      <c r="I96" s="379" t="n">
        <f aca="false">I4</f>
        <v>5</v>
      </c>
      <c r="J96" s="379" t="n">
        <f aca="false">J4</f>
        <v>6</v>
      </c>
      <c r="K96" s="379" t="n">
        <f aca="false">K4</f>
        <v>7</v>
      </c>
      <c r="L96" s="379" t="n">
        <f aca="false">L4</f>
        <v>8</v>
      </c>
      <c r="M96" s="379" t="n">
        <f aca="false">M4</f>
        <v>9</v>
      </c>
      <c r="N96" s="379" t="n">
        <f aca="false">N4</f>
        <v>10</v>
      </c>
      <c r="O96" s="379" t="n">
        <f aca="false">O4</f>
        <v>11</v>
      </c>
      <c r="P96" s="379" t="n">
        <f aca="false">P4</f>
        <v>12</v>
      </c>
      <c r="Q96" s="379" t="n">
        <f aca="false">Q4</f>
        <v>13</v>
      </c>
      <c r="R96" s="379" t="n">
        <f aca="false">R4</f>
        <v>14</v>
      </c>
      <c r="S96" s="379" t="n">
        <f aca="false">S4</f>
        <v>15</v>
      </c>
      <c r="T96" s="379" t="n">
        <f aca="false">T4</f>
        <v>16</v>
      </c>
      <c r="U96" s="379" t="n">
        <f aca="false">U4</f>
        <v>17</v>
      </c>
      <c r="V96" s="379" t="n">
        <f aca="false">V4</f>
        <v>18</v>
      </c>
      <c r="W96" s="379" t="n">
        <f aca="false">W4</f>
        <v>19</v>
      </c>
      <c r="X96" s="379" t="n">
        <f aca="false">X4</f>
        <v>20</v>
      </c>
      <c r="Y96" s="379" t="n">
        <f aca="false">Y4</f>
        <v>21</v>
      </c>
      <c r="Z96" s="379" t="n">
        <f aca="false">Z4</f>
        <v>22</v>
      </c>
      <c r="AA96" s="379" t="n">
        <f aca="false">AA4</f>
        <v>23</v>
      </c>
      <c r="AB96" s="379" t="n">
        <f aca="false">AB4</f>
        <v>24</v>
      </c>
      <c r="AC96" s="379" t="n">
        <f aca="false">AC4</f>
        <v>25</v>
      </c>
    </row>
    <row r="97" customFormat="false" ht="12.75" hidden="false" customHeight="false" outlineLevel="0" collapsed="false">
      <c r="A97" s="265"/>
      <c r="B97" s="265"/>
      <c r="C97" s="19" t="s">
        <v>456</v>
      </c>
      <c r="E97" s="617" t="n">
        <f aca="false">E5</f>
        <v>2000</v>
      </c>
      <c r="F97" s="617" t="n">
        <f aca="false">F5</f>
        <v>2001</v>
      </c>
      <c r="G97" s="617" t="n">
        <f aca="false">G5</f>
        <v>2002</v>
      </c>
      <c r="H97" s="617" t="n">
        <f aca="false">H5</f>
        <v>2003</v>
      </c>
      <c r="I97" s="617" t="n">
        <f aca="false">I5</f>
        <v>2004</v>
      </c>
      <c r="J97" s="617" t="n">
        <f aca="false">J5</f>
        <v>2005</v>
      </c>
      <c r="K97" s="617" t="n">
        <f aca="false">K5</f>
        <v>2006</v>
      </c>
      <c r="L97" s="617" t="n">
        <f aca="false">L5</f>
        <v>2007</v>
      </c>
      <c r="M97" s="617" t="n">
        <f aca="false">M5</f>
        <v>2008</v>
      </c>
      <c r="N97" s="617" t="n">
        <f aca="false">N5</f>
        <v>2009</v>
      </c>
      <c r="O97" s="617" t="n">
        <f aca="false">O5</f>
        <v>2010</v>
      </c>
      <c r="P97" s="617" t="n">
        <f aca="false">P5</f>
        <v>2011</v>
      </c>
      <c r="Q97" s="617" t="n">
        <f aca="false">Q5</f>
        <v>2012</v>
      </c>
      <c r="R97" s="617" t="n">
        <f aca="false">R5</f>
        <v>2013</v>
      </c>
      <c r="S97" s="617" t="n">
        <f aca="false">S5</f>
        <v>2014</v>
      </c>
      <c r="T97" s="617" t="n">
        <f aca="false">T5</f>
        <v>2015</v>
      </c>
      <c r="U97" s="617" t="n">
        <f aca="false">U5</f>
        <v>2016</v>
      </c>
      <c r="V97" s="617" t="n">
        <f aca="false">V5</f>
        <v>2017</v>
      </c>
      <c r="W97" s="617" t="n">
        <f aca="false">W5</f>
        <v>2018</v>
      </c>
      <c r="X97" s="617" t="n">
        <f aca="false">X5</f>
        <v>2019</v>
      </c>
      <c r="Y97" s="617" t="n">
        <f aca="false">Y5</f>
        <v>2020</v>
      </c>
      <c r="Z97" s="617" t="n">
        <f aca="false">Z5</f>
        <v>2021</v>
      </c>
      <c r="AA97" s="617" t="n">
        <f aca="false">AA5</f>
        <v>2022</v>
      </c>
      <c r="AB97" s="617" t="n">
        <f aca="false">AB5</f>
        <v>2023</v>
      </c>
      <c r="AC97" s="617" t="n">
        <f aca="false">AC5</f>
        <v>2024</v>
      </c>
    </row>
    <row r="98" customFormat="false" ht="12.75" hidden="false" customHeight="false" outlineLevel="0" collapsed="false">
      <c r="A98" s="605" t="s">
        <v>230</v>
      </c>
      <c r="B98" s="606"/>
      <c r="C98" s="606"/>
      <c r="E98" s="606"/>
      <c r="F98" s="607"/>
      <c r="G98" s="607"/>
      <c r="H98" s="607"/>
      <c r="I98" s="607"/>
      <c r="J98" s="607"/>
      <c r="K98" s="607"/>
      <c r="L98" s="607"/>
      <c r="M98" s="607"/>
      <c r="N98" s="607"/>
      <c r="O98" s="607"/>
      <c r="P98" s="607"/>
      <c r="Q98" s="607"/>
      <c r="R98" s="607"/>
      <c r="S98" s="607"/>
      <c r="T98" s="607"/>
    </row>
    <row r="99" customFormat="false" ht="12.75" hidden="false" customHeight="false" outlineLevel="0" collapsed="false">
      <c r="A99" s="536" t="s">
        <v>457</v>
      </c>
      <c r="B99" s="608"/>
      <c r="C99" s="609" t="n">
        <f aca="false">B93</f>
        <v>70619.69529</v>
      </c>
      <c r="D99" s="480"/>
      <c r="E99" s="608" t="n">
        <f aca="false">C99</f>
        <v>70619.69529</v>
      </c>
      <c r="F99" s="608" t="n">
        <f aca="false">E103</f>
        <v>70619.69529</v>
      </c>
      <c r="G99" s="608" t="n">
        <f aca="false">F103</f>
        <v>70619.69529</v>
      </c>
      <c r="H99" s="608" t="n">
        <f aca="false">G103</f>
        <v>70619.69529</v>
      </c>
      <c r="I99" s="608" t="n">
        <f aca="false">H103</f>
        <v>70619.69529</v>
      </c>
      <c r="J99" s="608" t="n">
        <f aca="false">I103</f>
        <v>69207.3013842</v>
      </c>
      <c r="K99" s="608" t="n">
        <f aca="false">J103</f>
        <v>67794.9074784</v>
      </c>
      <c r="L99" s="608" t="n">
        <f aca="false">K103</f>
        <v>65676.3166197</v>
      </c>
      <c r="M99" s="608" t="n">
        <f aca="false">L103</f>
        <v>63557.725761</v>
      </c>
      <c r="N99" s="608" t="n">
        <f aca="false">M103</f>
        <v>61439.1349023</v>
      </c>
      <c r="O99" s="608" t="n">
        <f aca="false">N103</f>
        <v>58614.3470907</v>
      </c>
      <c r="P99" s="608" t="n">
        <f aca="false">O103</f>
        <v>55789.5592791</v>
      </c>
      <c r="Q99" s="608" t="n">
        <f aca="false">P103</f>
        <v>52258.5745146</v>
      </c>
      <c r="R99" s="608" t="n">
        <f aca="false">Q103</f>
        <v>48727.5897501</v>
      </c>
      <c r="S99" s="608" t="n">
        <f aca="false">R103</f>
        <v>45196.6049856</v>
      </c>
      <c r="T99" s="608" t="n">
        <f aca="false">S103</f>
        <v>41665.6202211</v>
      </c>
      <c r="U99" s="608" t="n">
        <f aca="false">T103</f>
        <v>38134.6354566</v>
      </c>
      <c r="V99" s="608" t="n">
        <f aca="false">U103</f>
        <v>31072.6659276</v>
      </c>
      <c r="W99" s="608" t="n">
        <f aca="false">V103</f>
        <v>22598.3024928</v>
      </c>
      <c r="X99" s="608" t="n">
        <f aca="false">W103</f>
        <v>12005.3481993</v>
      </c>
      <c r="Y99" s="608" t="n">
        <f aca="false">X103</f>
        <v>0</v>
      </c>
      <c r="Z99" s="608" t="n">
        <f aca="false">Y103</f>
        <v>0</v>
      </c>
      <c r="AA99" s="608" t="n">
        <f aca="false">Z103</f>
        <v>0</v>
      </c>
      <c r="AB99" s="608" t="n">
        <f aca="false">AA103</f>
        <v>0</v>
      </c>
      <c r="AC99" s="608" t="n">
        <f aca="false">AB103</f>
        <v>0</v>
      </c>
    </row>
    <row r="100" customFormat="false" ht="12.75" hidden="false" customHeight="false" outlineLevel="0" collapsed="false">
      <c r="A100" s="536" t="s">
        <v>458</v>
      </c>
      <c r="B100" s="610"/>
      <c r="C100" s="608"/>
      <c r="D100" s="480"/>
      <c r="E100" s="608" t="n">
        <f aca="false">E99*$B$94</f>
        <v>5776.691074722</v>
      </c>
      <c r="F100" s="608" t="n">
        <f aca="false">F99*$B$94</f>
        <v>5776.691074722</v>
      </c>
      <c r="G100" s="608" t="n">
        <f aca="false">G99*$B$94</f>
        <v>5776.691074722</v>
      </c>
      <c r="H100" s="608" t="n">
        <f aca="false">H99*$B$94</f>
        <v>5776.691074722</v>
      </c>
      <c r="I100" s="608" t="n">
        <f aca="false">I99*$B$94</f>
        <v>5776.691074722</v>
      </c>
      <c r="J100" s="608" t="n">
        <f aca="false">J99*$B$94</f>
        <v>5661.15725322756</v>
      </c>
      <c r="K100" s="608" t="n">
        <f aca="false">K99*$B$94</f>
        <v>5545.62343173312</v>
      </c>
      <c r="L100" s="608" t="n">
        <f aca="false">L99*$B$94</f>
        <v>5372.32269949146</v>
      </c>
      <c r="M100" s="608" t="n">
        <f aca="false">M99*$B$94</f>
        <v>5199.0219672498</v>
      </c>
      <c r="N100" s="608" t="n">
        <f aca="false">N99*$B$94</f>
        <v>5025.72123500814</v>
      </c>
      <c r="O100" s="608" t="n">
        <f aca="false">O99*$B$94</f>
        <v>4794.65359201926</v>
      </c>
      <c r="P100" s="608" t="n">
        <f aca="false">P99*$B$94</f>
        <v>4563.58594903038</v>
      </c>
      <c r="Q100" s="608" t="n">
        <f aca="false">Q99*$B$94</f>
        <v>4274.75139529428</v>
      </c>
      <c r="R100" s="608" t="n">
        <f aca="false">R99*$B$94</f>
        <v>3985.91684155818</v>
      </c>
      <c r="S100" s="608" t="n">
        <f aca="false">S99*$B$94</f>
        <v>3697.08228782208</v>
      </c>
      <c r="T100" s="608" t="n">
        <f aca="false">T99*$B$94</f>
        <v>3408.24773408598</v>
      </c>
      <c r="U100" s="608" t="n">
        <f aca="false">U99*$B$94</f>
        <v>3119.41318034988</v>
      </c>
      <c r="V100" s="608" t="n">
        <f aca="false">V99*$B$94</f>
        <v>2541.74407287768</v>
      </c>
      <c r="W100" s="608" t="n">
        <f aca="false">W99*$B$94</f>
        <v>1848.54114391104</v>
      </c>
      <c r="X100" s="608" t="n">
        <f aca="false">X99*$B$94</f>
        <v>982.037482702741</v>
      </c>
      <c r="Y100" s="608" t="n">
        <f aca="false">Y99*$B$94</f>
        <v>0</v>
      </c>
      <c r="Z100" s="608" t="n">
        <f aca="false">Z99*$B$94</f>
        <v>0</v>
      </c>
      <c r="AA100" s="608" t="n">
        <f aca="false">AA99*$B$94</f>
        <v>0</v>
      </c>
      <c r="AB100" s="608" t="n">
        <f aca="false">AB99*$B$94</f>
        <v>0</v>
      </c>
      <c r="AC100" s="608" t="n">
        <f aca="false">AC99*$B$94</f>
        <v>0</v>
      </c>
    </row>
    <row r="101" customFormat="false" ht="12.75" hidden="false" customHeight="false" outlineLevel="0" collapsed="false">
      <c r="A101" s="536" t="s">
        <v>459</v>
      </c>
      <c r="B101" s="608"/>
      <c r="C101" s="608"/>
      <c r="E101" s="611" t="n">
        <f aca="false">$C$99*E105</f>
        <v>0</v>
      </c>
      <c r="F101" s="611" t="n">
        <f aca="false">$C$99*F105</f>
        <v>0</v>
      </c>
      <c r="G101" s="611" t="n">
        <f aca="false">$C$99*G105</f>
        <v>0</v>
      </c>
      <c r="H101" s="611" t="n">
        <f aca="false">$C$99*H105</f>
        <v>0</v>
      </c>
      <c r="I101" s="611" t="n">
        <f aca="false">$C$99*I105</f>
        <v>1412.3939058</v>
      </c>
      <c r="J101" s="611" t="n">
        <f aca="false">$C$99*J105</f>
        <v>1412.3939058</v>
      </c>
      <c r="K101" s="611" t="n">
        <f aca="false">$C$99*K105</f>
        <v>2118.5908587</v>
      </c>
      <c r="L101" s="611" t="n">
        <f aca="false">$C$99*L105</f>
        <v>2118.5908587</v>
      </c>
      <c r="M101" s="611" t="n">
        <f aca="false">$C$99*M105</f>
        <v>2118.5908587</v>
      </c>
      <c r="N101" s="611" t="n">
        <f aca="false">$C$99*N105</f>
        <v>2824.7878116</v>
      </c>
      <c r="O101" s="611" t="n">
        <f aca="false">$C$99*O105</f>
        <v>2824.7878116</v>
      </c>
      <c r="P101" s="611" t="n">
        <f aca="false">$C$99*P105</f>
        <v>3530.9847645</v>
      </c>
      <c r="Q101" s="611" t="n">
        <f aca="false">$C$99*Q105</f>
        <v>3530.9847645</v>
      </c>
      <c r="R101" s="611" t="n">
        <f aca="false">$C$99*R105</f>
        <v>3530.9847645</v>
      </c>
      <c r="S101" s="611" t="n">
        <f aca="false">$C$99*S105</f>
        <v>3530.9847645</v>
      </c>
      <c r="T101" s="611" t="n">
        <f aca="false">$C$99*T105</f>
        <v>3530.9847645</v>
      </c>
      <c r="U101" s="611" t="n">
        <f aca="false">$C$99*U105</f>
        <v>7061.969529</v>
      </c>
      <c r="V101" s="611" t="n">
        <f aca="false">$C$99*V105</f>
        <v>8474.3634348</v>
      </c>
      <c r="W101" s="611" t="n">
        <f aca="false">$C$99*W105</f>
        <v>10592.9542935</v>
      </c>
      <c r="X101" s="611" t="n">
        <f aca="false">$C$99*X105</f>
        <v>12005.3481993</v>
      </c>
      <c r="Y101" s="611" t="n">
        <f aca="false">$C$99*Y105</f>
        <v>0</v>
      </c>
      <c r="Z101" s="611" t="n">
        <f aca="false">$C$99*Z105</f>
        <v>0</v>
      </c>
      <c r="AA101" s="611" t="n">
        <f aca="false">$C$99*AA105</f>
        <v>0</v>
      </c>
      <c r="AB101" s="611" t="n">
        <f aca="false">$C$99*AB105</f>
        <v>0</v>
      </c>
      <c r="AC101" s="611" t="n">
        <f aca="false">$C$99*AC105</f>
        <v>0</v>
      </c>
    </row>
    <row r="102" customFormat="false" ht="12.75" hidden="false" customHeight="false" outlineLevel="0" collapsed="false">
      <c r="A102" s="536" t="s">
        <v>460</v>
      </c>
      <c r="B102" s="608"/>
      <c r="C102" s="612"/>
      <c r="E102" s="612" t="n">
        <f aca="false">E101+E100</f>
        <v>5776.691074722</v>
      </c>
      <c r="F102" s="612" t="n">
        <f aca="false">F101+F100</f>
        <v>5776.691074722</v>
      </c>
      <c r="G102" s="612" t="n">
        <f aca="false">G101+G100</f>
        <v>5776.691074722</v>
      </c>
      <c r="H102" s="612" t="n">
        <f aca="false">H101+H100</f>
        <v>5776.691074722</v>
      </c>
      <c r="I102" s="612" t="n">
        <f aca="false">I101+I100</f>
        <v>7189.084980522</v>
      </c>
      <c r="J102" s="612" t="n">
        <f aca="false">J101+J100</f>
        <v>7073.55115902756</v>
      </c>
      <c r="K102" s="612" t="n">
        <f aca="false">K101+K100</f>
        <v>7664.21429043312</v>
      </c>
      <c r="L102" s="612" t="n">
        <f aca="false">L101+L100</f>
        <v>7490.91355819146</v>
      </c>
      <c r="M102" s="612" t="n">
        <f aca="false">M101+M100</f>
        <v>7317.6128259498</v>
      </c>
      <c r="N102" s="612" t="n">
        <f aca="false">N101+N100</f>
        <v>7850.50904660814</v>
      </c>
      <c r="O102" s="612" t="n">
        <f aca="false">O101+O100</f>
        <v>7619.44140361926</v>
      </c>
      <c r="P102" s="612" t="n">
        <f aca="false">P101+P100</f>
        <v>8094.57071353038</v>
      </c>
      <c r="Q102" s="612" t="n">
        <f aca="false">Q101+Q100</f>
        <v>7805.73615979428</v>
      </c>
      <c r="R102" s="612" t="n">
        <f aca="false">R101+R100</f>
        <v>7516.90160605818</v>
      </c>
      <c r="S102" s="612" t="n">
        <f aca="false">S101+S100</f>
        <v>7228.06705232208</v>
      </c>
      <c r="T102" s="612" t="n">
        <f aca="false">T101+T100</f>
        <v>6939.23249858598</v>
      </c>
      <c r="U102" s="612" t="n">
        <f aca="false">U101+U100</f>
        <v>10181.3827093499</v>
      </c>
      <c r="V102" s="612" t="n">
        <f aca="false">V101+V100</f>
        <v>11016.1075076777</v>
      </c>
      <c r="W102" s="612" t="n">
        <f aca="false">W101+W100</f>
        <v>12441.495437411</v>
      </c>
      <c r="X102" s="612" t="n">
        <f aca="false">X101+X100</f>
        <v>12987.3856820027</v>
      </c>
      <c r="Y102" s="612" t="n">
        <f aca="false">Y101+Y100</f>
        <v>0</v>
      </c>
      <c r="Z102" s="612" t="n">
        <f aca="false">Z101+Z100</f>
        <v>0</v>
      </c>
      <c r="AA102" s="612" t="n">
        <f aca="false">AA101+AA100</f>
        <v>0</v>
      </c>
      <c r="AB102" s="612" t="n">
        <f aca="false">AB101+AB100</f>
        <v>0</v>
      </c>
      <c r="AC102" s="612" t="n">
        <f aca="false">AC101+AC100</f>
        <v>0</v>
      </c>
    </row>
    <row r="103" customFormat="false" ht="12.75" hidden="false" customHeight="false" outlineLevel="0" collapsed="false">
      <c r="A103" s="536" t="s">
        <v>461</v>
      </c>
      <c r="B103" s="608"/>
      <c r="C103" s="608"/>
      <c r="E103" s="608" t="n">
        <f aca="false">E99-E101</f>
        <v>70619.69529</v>
      </c>
      <c r="F103" s="608" t="n">
        <f aca="false">F99-F101</f>
        <v>70619.69529</v>
      </c>
      <c r="G103" s="608" t="n">
        <f aca="false">G99-G101</f>
        <v>70619.69529</v>
      </c>
      <c r="H103" s="608" t="n">
        <f aca="false">H99-H101</f>
        <v>70619.69529</v>
      </c>
      <c r="I103" s="608" t="n">
        <f aca="false">I99-I101</f>
        <v>69207.3013842</v>
      </c>
      <c r="J103" s="608" t="n">
        <f aca="false">J99-J101</f>
        <v>67794.9074784</v>
      </c>
      <c r="K103" s="608" t="n">
        <f aca="false">K99-K101</f>
        <v>65676.3166197</v>
      </c>
      <c r="L103" s="608" t="n">
        <f aca="false">L99-L101</f>
        <v>63557.725761</v>
      </c>
      <c r="M103" s="608" t="n">
        <f aca="false">M99-M101</f>
        <v>61439.1349023</v>
      </c>
      <c r="N103" s="608" t="n">
        <f aca="false">N99-N101</f>
        <v>58614.3470907</v>
      </c>
      <c r="O103" s="608" t="n">
        <f aca="false">O99-O101</f>
        <v>55789.5592791</v>
      </c>
      <c r="P103" s="608" t="n">
        <f aca="false">P99-P101</f>
        <v>52258.5745146</v>
      </c>
      <c r="Q103" s="608" t="n">
        <f aca="false">Q99-Q101</f>
        <v>48727.5897501</v>
      </c>
      <c r="R103" s="608" t="n">
        <f aca="false">R99-R101</f>
        <v>45196.6049856</v>
      </c>
      <c r="S103" s="608" t="n">
        <f aca="false">S99-S101</f>
        <v>41665.6202211</v>
      </c>
      <c r="T103" s="608" t="n">
        <f aca="false">T99-T101</f>
        <v>38134.6354566</v>
      </c>
      <c r="U103" s="608" t="n">
        <f aca="false">U99-U101</f>
        <v>31072.6659276</v>
      </c>
      <c r="V103" s="608" t="n">
        <f aca="false">V99-V101</f>
        <v>22598.3024928</v>
      </c>
      <c r="W103" s="608" t="n">
        <f aca="false">W99-W101</f>
        <v>12005.3481993</v>
      </c>
      <c r="X103" s="608" t="n">
        <f aca="false">X99-X101</f>
        <v>0</v>
      </c>
      <c r="Y103" s="608" t="n">
        <f aca="false">Y99-Y101</f>
        <v>0</v>
      </c>
      <c r="Z103" s="608" t="n">
        <f aca="false">Z99-Z101</f>
        <v>0</v>
      </c>
      <c r="AA103" s="608" t="n">
        <f aca="false">AA99-AA101</f>
        <v>0</v>
      </c>
      <c r="AB103" s="608" t="n">
        <f aca="false">AB99-AB101</f>
        <v>0</v>
      </c>
      <c r="AC103" s="608" t="n">
        <f aca="false">AC99-AC101</f>
        <v>0</v>
      </c>
    </row>
    <row r="104" customFormat="false" ht="12.6" hidden="false" customHeight="true" outlineLevel="0" collapsed="false">
      <c r="A104" s="536" t="s">
        <v>462</v>
      </c>
      <c r="B104" s="608"/>
      <c r="C104" s="616" t="n">
        <f aca="false">SUMPRODUCT(E101:AC101,$E$96:$AC$96)/SUM(E101:AC101)</f>
        <v>15.39</v>
      </c>
      <c r="E104" s="610"/>
      <c r="F104" s="608"/>
      <c r="G104" s="608"/>
      <c r="H104" s="608"/>
      <c r="I104" s="608"/>
      <c r="J104" s="608"/>
      <c r="K104" s="608"/>
      <c r="L104" s="608"/>
      <c r="M104" s="608"/>
      <c r="N104" s="608"/>
      <c r="O104" s="608"/>
      <c r="P104" s="608"/>
      <c r="Q104" s="608"/>
      <c r="R104" s="608"/>
      <c r="S104" s="608"/>
      <c r="T104" s="608"/>
      <c r="U104" s="608"/>
      <c r="V104" s="608"/>
      <c r="W104" s="608"/>
      <c r="X104" s="608"/>
      <c r="Y104" s="608"/>
      <c r="Z104" s="608"/>
      <c r="AA104" s="608"/>
      <c r="AB104" s="608"/>
      <c r="AC104" s="608"/>
    </row>
    <row r="105" customFormat="false" ht="12.75" hidden="false" customHeight="false" outlineLevel="0" collapsed="false">
      <c r="B105" s="535"/>
      <c r="C105" s="614" t="s">
        <v>463</v>
      </c>
      <c r="D105" s="615" t="n">
        <f aca="false">SUM(E105:AC105)</f>
        <v>1</v>
      </c>
      <c r="E105" s="570" t="n">
        <v>0</v>
      </c>
      <c r="F105" s="570" t="n">
        <v>0</v>
      </c>
      <c r="G105" s="570" t="n">
        <v>0</v>
      </c>
      <c r="H105" s="570" t="n">
        <v>0</v>
      </c>
      <c r="I105" s="570" t="n">
        <v>0.02</v>
      </c>
      <c r="J105" s="570" t="n">
        <v>0.02</v>
      </c>
      <c r="K105" s="570" t="n">
        <v>0.03</v>
      </c>
      <c r="L105" s="570" t="n">
        <v>0.03</v>
      </c>
      <c r="M105" s="570" t="n">
        <v>0.03</v>
      </c>
      <c r="N105" s="570" t="n">
        <v>0.04</v>
      </c>
      <c r="O105" s="570" t="n">
        <v>0.04</v>
      </c>
      <c r="P105" s="570" t="n">
        <v>0.05</v>
      </c>
      <c r="Q105" s="570" t="n">
        <v>0.05</v>
      </c>
      <c r="R105" s="570" t="n">
        <v>0.05</v>
      </c>
      <c r="S105" s="570" t="n">
        <v>0.05</v>
      </c>
      <c r="T105" s="570" t="n">
        <v>0.05</v>
      </c>
      <c r="U105" s="570" t="n">
        <v>0.1</v>
      </c>
      <c r="V105" s="570" t="n">
        <v>0.12</v>
      </c>
      <c r="W105" s="570" t="n">
        <v>0.15</v>
      </c>
      <c r="X105" s="570" t="n">
        <v>0.17</v>
      </c>
      <c r="Y105" s="570" t="n">
        <v>0</v>
      </c>
      <c r="Z105" s="570" t="n">
        <v>0</v>
      </c>
      <c r="AA105" s="570" t="n">
        <v>0</v>
      </c>
      <c r="AB105" s="570" t="n">
        <v>0</v>
      </c>
      <c r="AC105" s="570" t="n">
        <v>0</v>
      </c>
    </row>
    <row r="110" customFormat="false" ht="12.6" hidden="false" customHeight="true" outlineLevel="0" collapsed="false"/>
    <row r="111" customFormat="false" ht="12.6" hidden="false" customHeight="true" outlineLevel="0" collapsed="false"/>
    <row r="112" customFormat="false" ht="12.6" hidden="false" customHeight="true" outlineLevel="0" collapsed="false"/>
    <row r="113" customFormat="false" ht="12.6" hidden="false" customHeight="true" outlineLevel="0" collapsed="false"/>
    <row r="114" customFormat="false" ht="12.6" hidden="false" customHeight="true" outlineLevel="0" collapsed="false"/>
    <row r="115" customFormat="false" ht="12.6" hidden="false" customHeight="true" outlineLevel="0" collapsed="false"/>
    <row r="116" customFormat="false" ht="12.6" hidden="false" customHeight="true" outlineLevel="0" collapsed="false"/>
    <row r="117" customFormat="false" ht="12.6" hidden="false" customHeight="true" outlineLevel="0" collapsed="false"/>
    <row r="118" customFormat="false" ht="12.6" hidden="false" customHeight="true" outlineLevel="0" collapsed="false"/>
    <row r="119" customFormat="false" ht="12.6" hidden="false" customHeight="true" outlineLevel="0" collapsed="false"/>
    <row r="120" customFormat="false" ht="12.6" hidden="false" customHeight="true" outlineLevel="0" collapsed="false"/>
    <row r="121" customFormat="false" ht="12.6" hidden="false" customHeight="true" outlineLevel="0" collapsed="false"/>
    <row r="122" customFormat="false" ht="12.6" hidden="false" customHeight="true" outlineLevel="0" collapsed="false">
      <c r="AJ122" s="618"/>
      <c r="AK122" s="618"/>
      <c r="AL122" s="618"/>
      <c r="AM122" s="618"/>
      <c r="AN122" s="618"/>
      <c r="AO122" s="618"/>
      <c r="AP122" s="618"/>
      <c r="AQ122" s="618"/>
      <c r="AR122" s="618"/>
      <c r="AS122" s="618"/>
    </row>
    <row r="123" customFormat="false" ht="12.6" hidden="false" customHeight="true" outlineLevel="0" collapsed="false">
      <c r="AJ123" s="619"/>
      <c r="AK123" s="619"/>
      <c r="AL123" s="619"/>
      <c r="AM123" s="619"/>
      <c r="AN123" s="619"/>
      <c r="AO123" s="619"/>
      <c r="AP123" s="619"/>
      <c r="AQ123" s="619"/>
      <c r="AR123" s="619"/>
      <c r="AS123" s="619"/>
    </row>
    <row r="124" customFormat="false" ht="12.6" hidden="false" customHeight="true" outlineLevel="0" collapsed="false">
      <c r="AJ124" s="620"/>
      <c r="AK124" s="620"/>
      <c r="AL124" s="620"/>
      <c r="AM124" s="620"/>
      <c r="AN124" s="620"/>
      <c r="AO124" s="620"/>
      <c r="AP124" s="620"/>
      <c r="AQ124" s="620"/>
      <c r="AR124" s="620"/>
      <c r="AS124" s="620"/>
    </row>
    <row r="125" customFormat="false" ht="12.6" hidden="false" customHeight="true" outlineLevel="0" collapsed="false">
      <c r="AJ125" s="620"/>
      <c r="AK125" s="620"/>
      <c r="AL125" s="620"/>
      <c r="AM125" s="620"/>
      <c r="AN125" s="620"/>
      <c r="AO125" s="620"/>
      <c r="AP125" s="620"/>
      <c r="AQ125" s="620"/>
      <c r="AR125" s="620"/>
      <c r="AS125" s="620"/>
    </row>
    <row r="126" customFormat="false" ht="12.6" hidden="false" customHeight="true" outlineLevel="0" collapsed="false">
      <c r="AJ126" s="619"/>
      <c r="AK126" s="619"/>
      <c r="AL126" s="619"/>
      <c r="AM126" s="619"/>
      <c r="AN126" s="619"/>
      <c r="AO126" s="619"/>
      <c r="AP126" s="619"/>
      <c r="AQ126" s="619"/>
      <c r="AR126" s="619"/>
      <c r="AS126" s="619"/>
    </row>
    <row r="127" customFormat="false" ht="12.6" hidden="false" customHeight="true" outlineLevel="0" collapsed="false"/>
    <row r="128" customFormat="false" ht="12.6" hidden="false" customHeight="true" outlineLevel="0" collapsed="false"/>
    <row r="129" customFormat="false" ht="12.6" hidden="false" customHeight="true" outlineLevel="0" collapsed="false"/>
    <row r="130" customFormat="false" ht="12.6" hidden="false" customHeight="true" outlineLevel="0" collapsed="false">
      <c r="A130" s="480"/>
      <c r="B130" s="480"/>
      <c r="C130" s="480"/>
      <c r="AD130" s="480"/>
      <c r="AE130" s="480"/>
      <c r="AF130" s="480"/>
      <c r="AG130" s="480"/>
      <c r="AH130" s="480"/>
      <c r="AI130" s="480"/>
    </row>
    <row r="131" customFormat="false" ht="12.6" hidden="false" customHeight="true" outlineLevel="0" collapsed="false"/>
    <row r="132" customFormat="false" ht="12.6" hidden="false" customHeight="true" outlineLevel="0" collapsed="false"/>
    <row r="133" customFormat="false" ht="12.6" hidden="false" customHeight="true" outlineLevel="0" collapsed="false"/>
    <row r="134" customFormat="false" ht="12.6" hidden="false" customHeight="true" outlineLevel="0" collapsed="false"/>
    <row r="135" customFormat="false" ht="12.6" hidden="false" customHeight="true" outlineLevel="0" collapsed="false"/>
    <row r="136" customFormat="false" ht="12.6" hidden="false" customHeight="true" outlineLevel="0" collapsed="false"/>
    <row r="137" customFormat="false" ht="12.6" hidden="false" customHeight="true" outlineLevel="0" collapsed="false"/>
    <row r="138" customFormat="false" ht="12.6" hidden="false" customHeight="true" outlineLevel="0" collapsed="false"/>
    <row r="139" customFormat="false" ht="12.6" hidden="false" customHeight="true" outlineLevel="0" collapsed="false"/>
    <row r="140" customFormat="false" ht="12.6" hidden="false" customHeight="true" outlineLevel="0" collapsed="false"/>
    <row r="141" customFormat="false" ht="12.6" hidden="false" customHeight="true" outlineLevel="0" collapsed="false"/>
    <row r="142" customFormat="false" ht="12.6" hidden="false" customHeight="true" outlineLevel="0" collapsed="false"/>
    <row r="143" customFormat="false" ht="12.6" hidden="false" customHeight="true" outlineLevel="0" collapsed="false"/>
    <row r="144" customFormat="false" ht="12.6" hidden="false" customHeight="true" outlineLevel="0" collapsed="false"/>
    <row r="145" customFormat="false" ht="12.6" hidden="false" customHeight="true" outlineLevel="0" collapsed="false"/>
    <row r="146" customFormat="false" ht="12.6" hidden="false" customHeight="true" outlineLevel="0" collapsed="false"/>
    <row r="147" customFormat="false" ht="12.6" hidden="false" customHeight="true" outlineLevel="0" collapsed="false"/>
    <row r="148" customFormat="false" ht="12.6" hidden="false" customHeight="true" outlineLevel="0" collapsed="false"/>
    <row r="149" customFormat="false" ht="12.6" hidden="false" customHeight="true" outlineLevel="0" collapsed="false"/>
    <row r="150" customFormat="false" ht="12.6" hidden="false" customHeight="true" outlineLevel="0" collapsed="false"/>
    <row r="151" customFormat="false" ht="12.6" hidden="false" customHeight="true" outlineLevel="0" collapsed="false"/>
    <row r="152" customFormat="false" ht="12.6" hidden="false" customHeight="true" outlineLevel="0" collapsed="false"/>
    <row r="153" customFormat="false" ht="12.6" hidden="false" customHeight="true" outlineLevel="0" collapsed="false"/>
    <row r="154" customFormat="false" ht="12.6" hidden="false" customHeight="true" outlineLevel="0" collapsed="false"/>
    <row r="155" customFormat="false" ht="12.6" hidden="false" customHeight="true" outlineLevel="0" collapsed="false"/>
    <row r="156" customFormat="false" ht="12.6" hidden="false" customHeight="true" outlineLevel="0" collapsed="false"/>
    <row r="157" customFormat="false" ht="12.6" hidden="false" customHeight="true" outlineLevel="0" collapsed="false"/>
    <row r="158" customFormat="false" ht="12.6" hidden="false" customHeight="true" outlineLevel="0" collapsed="false"/>
    <row r="159" customFormat="false" ht="12.6" hidden="false" customHeight="true" outlineLevel="0" collapsed="false"/>
    <row r="160" customFormat="false" ht="12.6" hidden="false" customHeight="true" outlineLevel="0" collapsed="false"/>
    <row r="161" customFormat="false" ht="12.6" hidden="false" customHeight="true" outlineLevel="0" collapsed="false"/>
    <row r="162" customFormat="false" ht="12.6" hidden="false" customHeight="true" outlineLevel="0" collapsed="false"/>
    <row r="163" customFormat="false" ht="12.6" hidden="false" customHeight="true" outlineLevel="0" collapsed="false"/>
    <row r="164" customFormat="false" ht="12.6" hidden="false" customHeight="true" outlineLevel="0" collapsed="false"/>
    <row r="165" customFormat="false" ht="12.6" hidden="false" customHeight="true" outlineLevel="0" collapsed="false"/>
    <row r="166" customFormat="false" ht="12.6" hidden="false" customHeight="true" outlineLevel="0" collapsed="false"/>
    <row r="167" customFormat="false" ht="12.6" hidden="false" customHeight="true" outlineLevel="0" collapsed="false"/>
    <row r="168" customFormat="false" ht="12.6" hidden="false" customHeight="true" outlineLevel="0" collapsed="false"/>
    <row r="169" customFormat="false" ht="12.6" hidden="false" customHeight="true" outlineLevel="0" collapsed="false"/>
    <row r="170" customFormat="false" ht="12.6" hidden="false" customHeight="true" outlineLevel="0" collapsed="false"/>
    <row r="171" customFormat="false" ht="12.6" hidden="false" customHeight="true" outlineLevel="0" collapsed="false"/>
    <row r="172" customFormat="false" ht="12.6" hidden="false" customHeight="true" outlineLevel="0" collapsed="false"/>
    <row r="173" customFormat="false" ht="12.6" hidden="false" customHeight="true" outlineLevel="0" collapsed="false"/>
    <row r="174" customFormat="false" ht="12.6" hidden="false" customHeight="true" outlineLevel="0" collapsed="false"/>
    <row r="175" customFormat="false" ht="12.6" hidden="false" customHeight="true" outlineLevel="0" collapsed="false"/>
    <row r="176" customFormat="false" ht="12.6" hidden="false" customHeight="true" outlineLevel="0" collapsed="false"/>
    <row r="177" customFormat="false" ht="12.6" hidden="false" customHeight="true" outlineLevel="0" collapsed="false"/>
    <row r="178" customFormat="false" ht="12.6" hidden="false" customHeight="true" outlineLevel="0" collapsed="false"/>
    <row r="179" customFormat="false" ht="12.6" hidden="false" customHeight="true" outlineLevel="0" collapsed="false"/>
    <row r="180" customFormat="false" ht="12.6" hidden="false" customHeight="true" outlineLevel="0" collapsed="false"/>
    <row r="181" customFormat="false" ht="12.6" hidden="false" customHeight="true" outlineLevel="0" collapsed="false"/>
    <row r="182" customFormat="false" ht="12.6" hidden="false" customHeight="true" outlineLevel="0" collapsed="false"/>
    <row r="183" customFormat="false" ht="12.6" hidden="false" customHeight="true" outlineLevel="0" collapsed="false"/>
    <row r="184" customFormat="false" ht="12.6" hidden="false" customHeight="true" outlineLevel="0" collapsed="false"/>
    <row r="185" customFormat="false" ht="12.6" hidden="false" customHeight="true" outlineLevel="0" collapsed="false"/>
    <row r="186" customFormat="false" ht="12.6" hidden="false" customHeight="true" outlineLevel="0" collapsed="false"/>
    <row r="187" customFormat="false" ht="12.6" hidden="false" customHeight="true" outlineLevel="0" collapsed="false"/>
    <row r="188" customFormat="false" ht="12.6" hidden="false" customHeight="true" outlineLevel="0" collapsed="false"/>
    <row r="189" customFormat="false" ht="12.6" hidden="false" customHeight="true" outlineLevel="0" collapsed="false"/>
    <row r="190" customFormat="false" ht="12.6" hidden="false" customHeight="true" outlineLevel="0" collapsed="false"/>
    <row r="191" customFormat="false" ht="12.6" hidden="false" customHeight="true" outlineLevel="0" collapsed="false"/>
    <row r="192" customFormat="false" ht="12.6" hidden="false" customHeight="true" outlineLevel="0" collapsed="false"/>
    <row r="193" customFormat="false" ht="12.6" hidden="false" customHeight="true" outlineLevel="0" collapsed="false"/>
    <row r="194" customFormat="false" ht="12.6" hidden="false" customHeight="true" outlineLevel="0" collapsed="false"/>
    <row r="195" customFormat="false" ht="12.6" hidden="false" customHeight="true" outlineLevel="0" collapsed="false"/>
    <row r="196" customFormat="false" ht="12.6" hidden="false" customHeight="true" outlineLevel="0" collapsed="false"/>
    <row r="197" customFormat="false" ht="12.6" hidden="false" customHeight="true" outlineLevel="0" collapsed="false"/>
    <row r="198" customFormat="false" ht="12.6" hidden="false" customHeight="true" outlineLevel="0" collapsed="false"/>
    <row r="199" customFormat="false" ht="12.6" hidden="false" customHeight="true" outlineLevel="0" collapsed="false"/>
    <row r="200" customFormat="false" ht="12.6" hidden="false" customHeight="true" outlineLevel="0" collapsed="false"/>
    <row r="201" customFormat="false" ht="12.6" hidden="false" customHeight="true" outlineLevel="0" collapsed="false"/>
    <row r="202" customFormat="false" ht="12.6" hidden="false" customHeight="true" outlineLevel="0" collapsed="false"/>
    <row r="203" customFormat="false" ht="12.6" hidden="false" customHeight="true" outlineLevel="0" collapsed="false"/>
    <row r="204" customFormat="false" ht="12.6" hidden="false" customHeight="true" outlineLevel="0" collapsed="false"/>
    <row r="205" customFormat="false" ht="12.6" hidden="false" customHeight="true" outlineLevel="0" collapsed="false"/>
    <row r="206" customFormat="false" ht="12.6" hidden="false" customHeight="true" outlineLevel="0" collapsed="false"/>
    <row r="207" customFormat="false" ht="12.6" hidden="false" customHeight="true" outlineLevel="0" collapsed="false"/>
    <row r="208" customFormat="false" ht="12.6" hidden="false" customHeight="true" outlineLevel="0" collapsed="false"/>
    <row r="209" customFormat="false" ht="12.6" hidden="false" customHeight="true" outlineLevel="0" collapsed="false"/>
    <row r="210" customFormat="false" ht="12.6" hidden="false" customHeight="true" outlineLevel="0" collapsed="false"/>
    <row r="211" customFormat="false" ht="12.6" hidden="false" customHeight="true" outlineLevel="0" collapsed="false"/>
    <row r="212" customFormat="false" ht="12.6" hidden="false" customHeight="true" outlineLevel="0" collapsed="false"/>
    <row r="213" customFormat="false" ht="12.6" hidden="false" customHeight="true" outlineLevel="0" collapsed="false"/>
    <row r="214" customFormat="false" ht="12.6" hidden="false" customHeight="true" outlineLevel="0" collapsed="false"/>
    <row r="215" customFormat="false" ht="12.6" hidden="false" customHeight="true" outlineLevel="0" collapsed="false"/>
    <row r="216" customFormat="false" ht="12.6" hidden="false" customHeight="true" outlineLevel="0" collapsed="false"/>
    <row r="217" customFormat="false" ht="12.6" hidden="false" customHeight="true" outlineLevel="0" collapsed="false"/>
    <row r="218" customFormat="false" ht="12.6" hidden="false" customHeight="true" outlineLevel="0" collapsed="false"/>
    <row r="219" customFormat="false" ht="12.6" hidden="false" customHeight="true" outlineLevel="0" collapsed="false"/>
    <row r="220" customFormat="false" ht="12.6" hidden="false" customHeight="true" outlineLevel="0" collapsed="false"/>
    <row r="221" customFormat="false" ht="12.6" hidden="false" customHeight="true" outlineLevel="0" collapsed="false"/>
    <row r="222" customFormat="false" ht="12.6" hidden="false" customHeight="true" outlineLevel="0" collapsed="false"/>
    <row r="223" customFormat="false" ht="12.6" hidden="false" customHeight="true" outlineLevel="0" collapsed="false"/>
    <row r="224" customFormat="false" ht="12.6" hidden="false" customHeight="true" outlineLevel="0" collapsed="false"/>
    <row r="225" customFormat="false" ht="12.6" hidden="false" customHeight="true" outlineLevel="0" collapsed="false"/>
    <row r="226" customFormat="false" ht="12.6" hidden="false" customHeight="true" outlineLevel="0" collapsed="false"/>
    <row r="227" customFormat="false" ht="12.6" hidden="false" customHeight="true" outlineLevel="0" collapsed="false"/>
    <row r="228" customFormat="false" ht="12.6" hidden="false" customHeight="true" outlineLevel="0" collapsed="false"/>
    <row r="229" customFormat="false" ht="12.6" hidden="false" customHeight="true" outlineLevel="0" collapsed="false"/>
    <row r="230" customFormat="false" ht="12.6" hidden="false" customHeight="true" outlineLevel="0" collapsed="false"/>
    <row r="231" customFormat="false" ht="12.6" hidden="false" customHeight="true" outlineLevel="0" collapsed="false"/>
    <row r="232" customFormat="false" ht="12.6" hidden="false" customHeight="true" outlineLevel="0" collapsed="false"/>
    <row r="233" customFormat="false" ht="12.6" hidden="false" customHeight="true" outlineLevel="0" collapsed="false"/>
    <row r="234" customFormat="false" ht="12.6" hidden="false" customHeight="true" outlineLevel="0" collapsed="false"/>
    <row r="235" customFormat="false" ht="12.6" hidden="false" customHeight="true" outlineLevel="0" collapsed="false"/>
    <row r="236" customFormat="false" ht="12.6" hidden="false" customHeight="true" outlineLevel="0" collapsed="false"/>
    <row r="237" customFormat="false" ht="12.6" hidden="false" customHeight="true" outlineLevel="0" collapsed="false"/>
    <row r="238" customFormat="false" ht="12.6" hidden="false" customHeight="true" outlineLevel="0" collapsed="false"/>
    <row r="239" customFormat="false" ht="12.6" hidden="false" customHeight="true" outlineLevel="0" collapsed="false"/>
    <row r="240" customFormat="false" ht="12.6" hidden="false" customHeight="true" outlineLevel="0" collapsed="false"/>
    <row r="241" customFormat="false" ht="12.6" hidden="false" customHeight="true" outlineLevel="0" collapsed="false"/>
    <row r="242" customFormat="false" ht="12.6" hidden="false" customHeight="true" outlineLevel="0" collapsed="false"/>
    <row r="243" customFormat="false" ht="12.6" hidden="false" customHeight="true" outlineLevel="0" collapsed="false"/>
    <row r="244" customFormat="false" ht="12.6" hidden="false" customHeight="true" outlineLevel="0" collapsed="false"/>
    <row r="245" customFormat="false" ht="12.6" hidden="false" customHeight="true" outlineLevel="0" collapsed="false"/>
    <row r="246" customFormat="false" ht="12.6" hidden="false" customHeight="true" outlineLevel="0" collapsed="false"/>
    <row r="247" customFormat="false" ht="12.6" hidden="false" customHeight="true" outlineLevel="0" collapsed="false"/>
    <row r="248" customFormat="false" ht="12.6" hidden="false" customHeight="true" outlineLevel="0" collapsed="false"/>
    <row r="249" customFormat="false" ht="12.6" hidden="false" customHeight="true" outlineLevel="0" collapsed="false"/>
    <row r="250" customFormat="false" ht="12.6" hidden="false" customHeight="true" outlineLevel="0" collapsed="false"/>
    <row r="251" customFormat="false" ht="12.6" hidden="false" customHeight="true" outlineLevel="0" collapsed="false"/>
    <row r="252" customFormat="false" ht="12.6" hidden="false" customHeight="true" outlineLevel="0" collapsed="false"/>
    <row r="253" customFormat="false" ht="12.6" hidden="false" customHeight="true" outlineLevel="0" collapsed="false"/>
    <row r="254" customFormat="false" ht="12.6" hidden="false" customHeight="true" outlineLevel="0" collapsed="false"/>
    <row r="255" customFormat="false" ht="12.6" hidden="false" customHeight="true" outlineLevel="0" collapsed="false"/>
    <row r="256" customFormat="false" ht="12.6" hidden="false" customHeight="true" outlineLevel="0" collapsed="false"/>
    <row r="257" customFormat="false" ht="12.6" hidden="false" customHeight="true" outlineLevel="0" collapsed="false"/>
    <row r="258" customFormat="false" ht="12.6" hidden="false" customHeight="true" outlineLevel="0" collapsed="false"/>
    <row r="259" customFormat="false" ht="12.6" hidden="false" customHeight="true" outlineLevel="0" collapsed="false"/>
    <row r="260" customFormat="false" ht="12.6" hidden="false" customHeight="true" outlineLevel="0" collapsed="false"/>
    <row r="261" customFormat="false" ht="12.6" hidden="false" customHeight="true" outlineLevel="0" collapsed="false"/>
    <row r="262" customFormat="false" ht="12.6" hidden="false" customHeight="true" outlineLevel="0" collapsed="false"/>
    <row r="263" customFormat="false" ht="12.6" hidden="false" customHeight="true" outlineLevel="0" collapsed="false"/>
    <row r="264" customFormat="false" ht="12.6" hidden="false" customHeight="true" outlineLevel="0" collapsed="false"/>
    <row r="265" customFormat="false" ht="12.6" hidden="false" customHeight="true" outlineLevel="0" collapsed="false"/>
    <row r="266" customFormat="false" ht="12.6" hidden="false" customHeight="true" outlineLevel="0" collapsed="false"/>
    <row r="267" customFormat="false" ht="12.6" hidden="false" customHeight="true" outlineLevel="0" collapsed="false"/>
    <row r="268" customFormat="false" ht="12.6" hidden="false" customHeight="true" outlineLevel="0" collapsed="false"/>
    <row r="269" customFormat="false" ht="12.6" hidden="false" customHeight="true" outlineLevel="0" collapsed="false"/>
    <row r="270" customFormat="false" ht="12.6" hidden="false" customHeight="true" outlineLevel="0" collapsed="false"/>
    <row r="271" customFormat="false" ht="12.6" hidden="false" customHeight="true" outlineLevel="0" collapsed="false"/>
    <row r="272" customFormat="false" ht="12.6" hidden="false" customHeight="true" outlineLevel="0" collapsed="false"/>
    <row r="273" customFormat="false" ht="12.6" hidden="false" customHeight="true" outlineLevel="0" collapsed="false"/>
    <row r="274" customFormat="false" ht="12.6" hidden="false" customHeight="true" outlineLevel="0" collapsed="false"/>
    <row r="275" customFormat="false" ht="12.6" hidden="false" customHeight="true" outlineLevel="0" collapsed="false"/>
    <row r="276" customFormat="false" ht="12.6" hidden="false" customHeight="true" outlineLevel="0" collapsed="false"/>
    <row r="277" customFormat="false" ht="12.6" hidden="false" customHeight="true" outlineLevel="0" collapsed="false"/>
    <row r="278" customFormat="false" ht="12.6" hidden="false" customHeight="true" outlineLevel="0" collapsed="false"/>
    <row r="279" customFormat="false" ht="12.6" hidden="false" customHeight="true" outlineLevel="0" collapsed="false"/>
    <row r="280" customFormat="false" ht="12.6" hidden="false" customHeight="true" outlineLevel="0" collapsed="false"/>
    <row r="281" customFormat="false" ht="12.6" hidden="false" customHeight="true" outlineLevel="0" collapsed="false"/>
    <row r="282" customFormat="false" ht="12.6" hidden="false" customHeight="true" outlineLevel="0" collapsed="false"/>
    <row r="283" customFormat="false" ht="12.6" hidden="false" customHeight="true" outlineLevel="0" collapsed="false"/>
    <row r="284" customFormat="false" ht="12.6" hidden="false" customHeight="true" outlineLevel="0" collapsed="false"/>
  </sheetData>
  <printOptions headings="false" gridLines="false" gridLinesSet="true" horizontalCentered="false" verticalCentered="false"/>
  <pageMargins left="0.25" right="0.25" top="0.2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rowBreaks count="1" manualBreakCount="1">
    <brk id="62" man="true" max="16383" min="0"/>
  </rowBreaks>
  <colBreaks count="4" manualBreakCount="4">
    <brk id="16" man="true" max="65535" min="0"/>
    <brk id="29" man="true" max="65535" min="0"/>
    <brk id="46" man="true" max="65535" min="0"/>
    <brk id="63" man="true" max="65535" min="0"/>
  </col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HU179"/>
  <sheetViews>
    <sheetView showFormulas="false" showGridLines="true" showRowColHeaders="true" showZeros="true" rightToLeft="false" tabSelected="false" showOutlineSymbols="true" defaultGridColor="true" view="normal" topLeftCell="A1" colorId="64" zoomScale="75" zoomScaleNormal="75" zoomScalePageLayoutView="85"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1" min="1" style="7" width="40.99"/>
    <col collapsed="false" customWidth="true" hidden="false" outlineLevel="0" max="2" min="2" style="7" width="11.42"/>
    <col collapsed="false" customWidth="true" hidden="false" outlineLevel="0" max="27" min="3" style="7" width="10.28"/>
    <col collapsed="false" customWidth="true" hidden="false" outlineLevel="0" max="32" min="28" style="7" width="9.14"/>
  </cols>
  <sheetData>
    <row r="1" customFormat="false" ht="20.25" hidden="false" customHeight="false" outlineLevel="0" collapsed="false">
      <c r="A1" s="529" t="str">
        <f aca="false">'Project Assumptions'!$A$2</f>
        <v>GLEASON, TN</v>
      </c>
    </row>
    <row r="2" customFormat="false" ht="12.75" hidden="false" customHeight="false" outlineLevel="0" collapsed="false">
      <c r="A2" s="530" t="s">
        <v>466</v>
      </c>
    </row>
    <row r="3" customFormat="false" ht="12.6" hidden="false" customHeight="true" outlineLevel="0" collapsed="false">
      <c r="A3" s="479"/>
      <c r="C3" s="480" t="n">
        <f aca="false">'Book Income Statement'!D3</f>
        <v>1</v>
      </c>
      <c r="D3" s="480" t="n">
        <f aca="false">'Book Income Statement'!E3</f>
        <v>2</v>
      </c>
      <c r="E3" s="480" t="n">
        <f aca="false">'Book Income Statement'!F3</f>
        <v>3</v>
      </c>
      <c r="F3" s="480" t="n">
        <f aca="false">'Book Income Statement'!G3</f>
        <v>4</v>
      </c>
      <c r="G3" s="480" t="n">
        <f aca="false">'Book Income Statement'!H3</f>
        <v>5</v>
      </c>
      <c r="H3" s="480" t="n">
        <f aca="false">'Book Income Statement'!I3</f>
        <v>6</v>
      </c>
      <c r="I3" s="481" t="n">
        <f aca="false">'Book Income Statement'!J3</f>
        <v>7</v>
      </c>
      <c r="J3" s="480" t="n">
        <f aca="false">'Book Income Statement'!K3</f>
        <v>8</v>
      </c>
      <c r="K3" s="480" t="n">
        <f aca="false">'Book Income Statement'!L3</f>
        <v>9</v>
      </c>
      <c r="L3" s="480" t="n">
        <f aca="false">'Book Income Statement'!M3</f>
        <v>10</v>
      </c>
      <c r="M3" s="480" t="n">
        <f aca="false">'Book Income Statement'!N3</f>
        <v>11</v>
      </c>
      <c r="N3" s="480" t="n">
        <f aca="false">'Book Income Statement'!O3</f>
        <v>12</v>
      </c>
      <c r="O3" s="481" t="n">
        <f aca="false">'Book Income Statement'!P3</f>
        <v>13</v>
      </c>
      <c r="P3" s="480" t="n">
        <f aca="false">'Book Income Statement'!Q3</f>
        <v>14</v>
      </c>
      <c r="Q3" s="480" t="n">
        <f aca="false">'Book Income Statement'!R3</f>
        <v>15</v>
      </c>
      <c r="R3" s="480" t="n">
        <f aca="false">'Book Income Statement'!S3</f>
        <v>16</v>
      </c>
      <c r="S3" s="480" t="n">
        <f aca="false">'Book Income Statement'!T3</f>
        <v>17</v>
      </c>
      <c r="T3" s="480" t="n">
        <f aca="false">'Book Income Statement'!U3</f>
        <v>18</v>
      </c>
      <c r="U3" s="481" t="n">
        <f aca="false">'Book Income Statement'!V3</f>
        <v>19</v>
      </c>
      <c r="V3" s="480" t="n">
        <f aca="false">'Book Income Statement'!W3</f>
        <v>20</v>
      </c>
      <c r="W3" s="480" t="n">
        <f aca="false">'Book Income Statement'!X3</f>
        <v>21</v>
      </c>
      <c r="X3" s="480" t="n">
        <f aca="false">'Book Income Statement'!Y3</f>
        <v>22</v>
      </c>
      <c r="Y3" s="480" t="n">
        <f aca="false">'Book Income Statement'!Z3</f>
        <v>23</v>
      </c>
      <c r="Z3" s="480" t="n">
        <f aca="false">'Book Income Statement'!AA3</f>
        <v>24</v>
      </c>
      <c r="AA3" s="481" t="n">
        <f aca="false">'Book Income Statement'!AB3</f>
        <v>25</v>
      </c>
      <c r="AB3" s="480"/>
      <c r="AC3" s="482"/>
      <c r="AE3" s="480"/>
      <c r="AF3" s="480"/>
    </row>
    <row r="4" customFormat="false" ht="12.6" hidden="false" customHeight="true" outlineLevel="0" collapsed="false">
      <c r="A4" s="483"/>
      <c r="B4" s="484"/>
      <c r="C4" s="382" t="n">
        <f aca="false">'Book Income Statement'!D4</f>
        <v>2000</v>
      </c>
      <c r="D4" s="382" t="n">
        <f aca="false">'Book Income Statement'!E4</f>
        <v>2001</v>
      </c>
      <c r="E4" s="382" t="n">
        <f aca="false">'Book Income Statement'!F4</f>
        <v>2002</v>
      </c>
      <c r="F4" s="382" t="n">
        <f aca="false">'Book Income Statement'!G4</f>
        <v>2003</v>
      </c>
      <c r="G4" s="382" t="n">
        <f aca="false">'Book Income Statement'!H4</f>
        <v>2004</v>
      </c>
      <c r="H4" s="382" t="n">
        <f aca="false">'Book Income Statement'!I4</f>
        <v>2005</v>
      </c>
      <c r="I4" s="382" t="n">
        <f aca="false">'Book Income Statement'!J4</f>
        <v>2006</v>
      </c>
      <c r="J4" s="382" t="n">
        <f aca="false">'Book Income Statement'!K4</f>
        <v>2007</v>
      </c>
      <c r="K4" s="382" t="n">
        <f aca="false">'Book Income Statement'!L4</f>
        <v>2008</v>
      </c>
      <c r="L4" s="382" t="n">
        <f aca="false">'Book Income Statement'!M4</f>
        <v>2009</v>
      </c>
      <c r="M4" s="382" t="n">
        <f aca="false">'Book Income Statement'!N4</f>
        <v>2010</v>
      </c>
      <c r="N4" s="382" t="n">
        <f aca="false">'Book Income Statement'!O4</f>
        <v>2011</v>
      </c>
      <c r="O4" s="382" t="n">
        <f aca="false">'Book Income Statement'!P4</f>
        <v>2012</v>
      </c>
      <c r="P4" s="382" t="n">
        <f aca="false">'Book Income Statement'!Q4</f>
        <v>2013</v>
      </c>
      <c r="Q4" s="382" t="n">
        <f aca="false">'Book Income Statement'!R4</f>
        <v>2014</v>
      </c>
      <c r="R4" s="382" t="n">
        <f aca="false">'Book Income Statement'!S4</f>
        <v>2015</v>
      </c>
      <c r="S4" s="382" t="n">
        <f aca="false">'Book Income Statement'!T4</f>
        <v>2016</v>
      </c>
      <c r="T4" s="382" t="n">
        <f aca="false">'Book Income Statement'!U4</f>
        <v>2017</v>
      </c>
      <c r="U4" s="382" t="n">
        <f aca="false">'Book Income Statement'!V4</f>
        <v>2018</v>
      </c>
      <c r="V4" s="382" t="n">
        <f aca="false">'Book Income Statement'!W4</f>
        <v>2019</v>
      </c>
      <c r="W4" s="382" t="n">
        <f aca="false">'Book Income Statement'!X4</f>
        <v>2020</v>
      </c>
      <c r="X4" s="382" t="n">
        <f aca="false">'Book Income Statement'!Y4</f>
        <v>2021</v>
      </c>
      <c r="Y4" s="382" t="n">
        <f aca="false">'Book Income Statement'!Z4</f>
        <v>2022</v>
      </c>
      <c r="Z4" s="382" t="n">
        <f aca="false">'Book Income Statement'!AA4</f>
        <v>2023</v>
      </c>
      <c r="AA4" s="383" t="n">
        <f aca="false">'Book Income Statement'!AB4</f>
        <v>2024</v>
      </c>
      <c r="AB4" s="397"/>
      <c r="AC4" s="397"/>
      <c r="AE4" s="397"/>
      <c r="AF4" s="397"/>
      <c r="AG4" s="485"/>
      <c r="AH4" s="485"/>
      <c r="AI4" s="485"/>
      <c r="AJ4" s="485"/>
      <c r="AK4" s="485"/>
      <c r="AL4" s="485"/>
      <c r="AM4" s="485"/>
      <c r="AN4" s="485"/>
      <c r="AO4" s="485"/>
      <c r="AP4" s="485"/>
      <c r="AQ4" s="485"/>
      <c r="AR4" s="485"/>
      <c r="AS4" s="485"/>
      <c r="AT4" s="485"/>
      <c r="AU4" s="485"/>
      <c r="AV4" s="485"/>
      <c r="AW4" s="485"/>
      <c r="AX4" s="485"/>
      <c r="AY4" s="485"/>
      <c r="AZ4" s="485"/>
    </row>
    <row r="5" customFormat="false" ht="15.75" hidden="false" customHeight="false" outlineLevel="0" collapsed="false">
      <c r="A5" s="414" t="s">
        <v>467</v>
      </c>
      <c r="B5" s="385"/>
      <c r="C5" s="385"/>
      <c r="D5" s="385"/>
      <c r="E5" s="385"/>
      <c r="F5" s="385"/>
      <c r="G5" s="385"/>
      <c r="H5" s="385"/>
      <c r="I5" s="385"/>
      <c r="J5" s="385"/>
      <c r="K5" s="385"/>
      <c r="L5" s="385"/>
      <c r="M5" s="385"/>
      <c r="N5" s="385"/>
      <c r="O5" s="385"/>
      <c r="P5" s="385"/>
      <c r="Q5" s="385"/>
      <c r="R5" s="385"/>
      <c r="S5" s="385"/>
      <c r="T5" s="385"/>
      <c r="U5" s="385"/>
      <c r="V5" s="385"/>
      <c r="W5" s="385"/>
      <c r="X5" s="385"/>
      <c r="Y5" s="385"/>
      <c r="Z5" s="385"/>
      <c r="AA5" s="415"/>
      <c r="AB5" s="385"/>
      <c r="AC5" s="385"/>
      <c r="AD5" s="385"/>
      <c r="AE5" s="385"/>
      <c r="AF5" s="385"/>
    </row>
    <row r="6" customFormat="false" ht="12.6" hidden="false" customHeight="true" outlineLevel="0" collapsed="false">
      <c r="A6" s="441" t="s">
        <v>468</v>
      </c>
      <c r="B6" s="621" t="n">
        <f aca="false">'Project Assumptions'!G16</f>
        <v>36678</v>
      </c>
      <c r="C6" s="621" t="n">
        <f aca="false">DATE(YEAR(B6),12,31)</f>
        <v>36891</v>
      </c>
      <c r="D6" s="621" t="n">
        <f aca="false">EDATE(C6,12)</f>
        <v>37256</v>
      </c>
      <c r="E6" s="621" t="n">
        <f aca="false">EDATE(D6,12)</f>
        <v>37621</v>
      </c>
      <c r="F6" s="621" t="n">
        <f aca="false">EDATE(E6,12)</f>
        <v>37986</v>
      </c>
      <c r="G6" s="621" t="n">
        <f aca="false">EDATE(F6,12)</f>
        <v>38352</v>
      </c>
      <c r="H6" s="621" t="n">
        <f aca="false">EDATE(G6,12)</f>
        <v>38717</v>
      </c>
      <c r="I6" s="621" t="n">
        <f aca="false">EDATE(H6,12)</f>
        <v>39082</v>
      </c>
      <c r="J6" s="621" t="n">
        <f aca="false">EDATE(I6,12)</f>
        <v>39447</v>
      </c>
      <c r="K6" s="621" t="n">
        <f aca="false">EDATE(J6,12)</f>
        <v>39813</v>
      </c>
      <c r="L6" s="621" t="n">
        <f aca="false">EDATE(K6,12)</f>
        <v>40178</v>
      </c>
      <c r="M6" s="621" t="n">
        <f aca="false">EDATE(L6,12)</f>
        <v>40543</v>
      </c>
      <c r="N6" s="621" t="n">
        <f aca="false">EDATE(M6,12)</f>
        <v>40908</v>
      </c>
      <c r="O6" s="621" t="n">
        <f aca="false">EDATE(N6,12)</f>
        <v>41274</v>
      </c>
      <c r="P6" s="621" t="n">
        <f aca="false">EDATE(O6,12)</f>
        <v>41639</v>
      </c>
      <c r="Q6" s="621" t="n">
        <f aca="false">EDATE(P6,12)</f>
        <v>42004</v>
      </c>
      <c r="R6" s="621" t="n">
        <f aca="false">EDATE(Q6,12)</f>
        <v>42369</v>
      </c>
      <c r="S6" s="621" t="n">
        <f aca="false">EDATE(R6,12)</f>
        <v>42735</v>
      </c>
      <c r="T6" s="621" t="n">
        <f aca="false">EDATE(S6,12)</f>
        <v>43100</v>
      </c>
      <c r="U6" s="621" t="n">
        <f aca="false">EDATE(T6,12)</f>
        <v>43465</v>
      </c>
      <c r="V6" s="621" t="n">
        <f aca="false">EDATE(U6,12)</f>
        <v>43830</v>
      </c>
      <c r="W6" s="621" t="n">
        <f aca="false">EDATE(V6,12)</f>
        <v>44196</v>
      </c>
      <c r="X6" s="621" t="n">
        <f aca="false">EDATE(W6,12)</f>
        <v>44561</v>
      </c>
      <c r="Y6" s="621" t="n">
        <f aca="false">EDATE(X6,12)</f>
        <v>44926</v>
      </c>
      <c r="Z6" s="621" t="n">
        <f aca="false">EDATE(Y6,12)</f>
        <v>45291</v>
      </c>
      <c r="AA6" s="622" t="n">
        <f aca="false">EDATE(Z6,12)</f>
        <v>45657</v>
      </c>
      <c r="AB6" s="385"/>
      <c r="AC6" s="385"/>
      <c r="AD6" s="1"/>
      <c r="AE6" s="1"/>
      <c r="AF6" s="1"/>
    </row>
    <row r="7" customFormat="false" ht="12.6" hidden="false" customHeight="true" outlineLevel="0" collapsed="false">
      <c r="A7" s="433" t="s">
        <v>469</v>
      </c>
      <c r="B7" s="30" t="n">
        <f aca="false">'Project Assumptions'!C8*-1</f>
        <v>-43592.4045</v>
      </c>
      <c r="C7" s="30" t="n">
        <f aca="false">'Cash Flow Statement'!D20</f>
        <v>-2251.19021568476</v>
      </c>
      <c r="D7" s="30" t="n">
        <f aca="false">'Cash Flow Statement'!E20+'Cash Flow Statement'!E43</f>
        <v>7264.08962391495</v>
      </c>
      <c r="E7" s="30" t="n">
        <f aca="false">'Cash Flow Statement'!F20+'Cash Flow Statement'!F43</f>
        <v>5587.01817491304</v>
      </c>
      <c r="F7" s="30" t="n">
        <f aca="false">'Cash Flow Statement'!G20+'Cash Flow Statement'!G43</f>
        <v>9092.5142688509</v>
      </c>
      <c r="G7" s="30" t="n">
        <f aca="false">'Cash Flow Statement'!H20+'Cash Flow Statement'!H43</f>
        <v>17472.0313892717</v>
      </c>
      <c r="H7" s="30" t="n">
        <f aca="false">'Cash Flow Statement'!I20+'Cash Flow Statement'!I43</f>
        <v>18184.7205770776</v>
      </c>
      <c r="I7" s="30" t="n">
        <f aca="false">'Cash Flow Statement'!J20+'Cash Flow Statement'!J43</f>
        <v>18181.0120932851</v>
      </c>
      <c r="J7" s="30" t="n">
        <f aca="false">'Cash Flow Statement'!K20+'Cash Flow Statement'!K43</f>
        <v>19609.3560602113</v>
      </c>
      <c r="K7" s="30" t="n">
        <f aca="false">'Cash Flow Statement'!L20+'Cash Flow Statement'!L43</f>
        <v>16443.5784296521</v>
      </c>
      <c r="L7" s="30" t="n">
        <f aca="false">'Cash Flow Statement'!M20+'Cash Flow Statement'!M43</f>
        <v>15538.4210282318</v>
      </c>
      <c r="M7" s="30" t="n">
        <f aca="false">'Cash Flow Statement'!N20+'Cash Flow Statement'!N43</f>
        <v>26603.3874107062</v>
      </c>
      <c r="N7" s="30" t="n">
        <f aca="false">'Cash Flow Statement'!O20+'Cash Flow Statement'!O43</f>
        <v>27162.0208292769</v>
      </c>
      <c r="O7" s="30" t="n">
        <f aca="false">'Cash Flow Statement'!P20+'Cash Flow Statement'!P43</f>
        <v>27728.2850893081</v>
      </c>
      <c r="P7" s="30" t="n">
        <f aca="false">'Cash Flow Statement'!Q20+'Cash Flow Statement'!Q43</f>
        <v>28279.2518634069</v>
      </c>
      <c r="Q7" s="30" t="n">
        <f aca="false">'Cash Flow Statement'!R20+'Cash Flow Statement'!R43</f>
        <v>28813.7536156817</v>
      </c>
      <c r="R7" s="30" t="n">
        <f aca="false">'Cash Flow Statement'!S20+'Cash Flow Statement'!S43</f>
        <v>29330.5665258248</v>
      </c>
      <c r="S7" s="30" t="n">
        <f aca="false">'Cash Flow Statement'!T20+'Cash Flow Statement'!T43</f>
        <v>26297.4233983295</v>
      </c>
      <c r="T7" s="30" t="n">
        <f aca="false">'Cash Flow Statement'!U20+'Cash Flow Statement'!U43</f>
        <v>25651.3909532229</v>
      </c>
      <c r="U7" s="30" t="n">
        <f aca="false">'Cash Flow Statement'!V20+'Cash Flow Statement'!V43</f>
        <v>24392.9736564855</v>
      </c>
      <c r="V7" s="30" t="n">
        <f aca="false">'Cash Flow Statement'!W20+'Cash Flow Statement'!W43</f>
        <v>23990.8591983332</v>
      </c>
      <c r="W7" s="30" t="n">
        <f aca="false">'Cash Flow Statement'!X20+'Cash Flow Statement'!X43</f>
        <v>13553.1071950229</v>
      </c>
      <c r="X7" s="30" t="n">
        <f aca="false">'Cash Flow Statement'!Y20+'Cash Flow Statement'!Y43</f>
        <v>0</v>
      </c>
      <c r="Y7" s="30" t="n">
        <f aca="false">'Cash Flow Statement'!Z20+'Cash Flow Statement'!Z43</f>
        <v>0</v>
      </c>
      <c r="Z7" s="30" t="n">
        <f aca="false">'Cash Flow Statement'!AA20+'Cash Flow Statement'!AA43</f>
        <v>0</v>
      </c>
      <c r="AA7" s="437" t="n">
        <f aca="false">'Cash Flow Statement'!AB20+'Cash Flow Statement'!AB43</f>
        <v>0</v>
      </c>
      <c r="AB7" s="385"/>
      <c r="AC7" s="385"/>
      <c r="AD7" s="1"/>
      <c r="AE7" s="1"/>
      <c r="AF7" s="1"/>
    </row>
    <row r="8" customFormat="false" ht="12.6" hidden="false" customHeight="true" outlineLevel="0" collapsed="false">
      <c r="A8" s="410" t="s">
        <v>470</v>
      </c>
      <c r="B8" s="385"/>
      <c r="C8" s="623" t="e">
        <f aca="false">XIRR($B$7:C7,$B$6:C6)</f>
        <v>#VALUE!</v>
      </c>
      <c r="D8" s="623" t="n">
        <f aca="false">XIRR($B$7:D7,$B$6:D6)</f>
        <v>-0.696953173953515</v>
      </c>
      <c r="E8" s="623" t="n">
        <f aca="false">XIRR($B$7:E7,$B$6:E6)</f>
        <v>-0.460507339518297</v>
      </c>
      <c r="F8" s="623" t="n">
        <f aca="false">XIRR($B$7:F7,$B$6:F6)</f>
        <v>-0.236255966579285</v>
      </c>
      <c r="G8" s="623" t="n">
        <f aca="false">XIRR($B$7:G7,$B$6:G6)</f>
        <v>-0.0420478879932031</v>
      </c>
      <c r="H8" s="623" t="n">
        <f aca="false">XIRR($B$7:H7,$B$6:H6)</f>
        <v>0.0573945801158466</v>
      </c>
      <c r="I8" s="623" t="n">
        <f aca="false">XIRR($B$7:I7,$B$6:I6)</f>
        <v>0.115896596347471</v>
      </c>
      <c r="J8" s="623" t="n">
        <f aca="false">XIRR($B$7:J7,$B$6:J6)</f>
        <v>0.155829990344139</v>
      </c>
      <c r="K8" s="623" t="n">
        <f aca="false">XIRR($B$7:K7,$B$6:K6)</f>
        <v>0.178359733229177</v>
      </c>
      <c r="L8" s="623" t="n">
        <f aca="false">XIRR($B$7:L7,$B$6:L6)</f>
        <v>0.193518841563366</v>
      </c>
      <c r="M8" s="623" t="n">
        <f aca="false">XIRR($B$7:M7,$B$6:M6)</f>
        <v>0.211685322273572</v>
      </c>
      <c r="N8" s="623" t="n">
        <f aca="false">XIRR($B$7:N7,$B$6:N6)</f>
        <v>0.224473497577233</v>
      </c>
      <c r="O8" s="623" t="n">
        <f aca="false">XIRR($B$7:O7,$B$6:O6)</f>
        <v>0.233730804770285</v>
      </c>
      <c r="P8" s="623" t="n">
        <f aca="false">XIRR($B$7:P7,$B$6:P6)</f>
        <v>0.240569829436165</v>
      </c>
      <c r="Q8" s="623" t="n">
        <f aca="false">XIRR($B$7:Q7,$B$6:Q6)</f>
        <v>0.245698123285151</v>
      </c>
      <c r="R8" s="623" t="n">
        <f aca="false">XIRR($B$7:R7,$B$6:R6)</f>
        <v>0.249588354772909</v>
      </c>
      <c r="S8" s="623" t="n">
        <f aca="false">XIRR($B$7:S7,$B$6:S6)</f>
        <v>0.252220879849205</v>
      </c>
      <c r="T8" s="623" t="n">
        <f aca="false">XIRR($B$7:T7,$B$6:T6)</f>
        <v>0.254183135935789</v>
      </c>
      <c r="U8" s="623" t="n">
        <f aca="false">XIRR($B$7:U7,$B$6:U6)</f>
        <v>0.255619838330531</v>
      </c>
      <c r="V8" s="623" t="n">
        <f aca="false">XIRR($B$7:V7,$B$6:V6)</f>
        <v>0.2567142745793</v>
      </c>
      <c r="W8" s="623" t="n">
        <f aca="false">XIRR($B$7:W7,$B$6:W6)</f>
        <v>0.257197008974528</v>
      </c>
      <c r="X8" s="623" t="n">
        <f aca="false">XIRR($B$7:X7,$B$6:X6)</f>
        <v>0.257197008974528</v>
      </c>
      <c r="Y8" s="623" t="n">
        <f aca="false">XIRR($B$7:Y7,$B$6:Y6)</f>
        <v>0.257197008974528</v>
      </c>
      <c r="Z8" s="623" t="n">
        <f aca="false">XIRR($B$7:Z7,$B$6:Z6)</f>
        <v>0.257197008974528</v>
      </c>
      <c r="AA8" s="624" t="n">
        <f aca="false">XIRR($B$7:AA7,$B$6:AA6)</f>
        <v>0.257197008974528</v>
      </c>
      <c r="AB8" s="385"/>
      <c r="AC8" s="385"/>
      <c r="AD8" s="1"/>
      <c r="AE8" s="1"/>
      <c r="AF8" s="1"/>
    </row>
    <row r="9" customFormat="false" ht="12.6" hidden="false" customHeight="true" outlineLevel="0" collapsed="false">
      <c r="A9" s="410" t="s">
        <v>471</v>
      </c>
      <c r="B9" s="265"/>
      <c r="C9" s="625" t="n">
        <f aca="false">XNPV('Project Assumptions'!$I$56,$B$7:C7,$B$6:C6)</f>
        <v>-45699.5301913314</v>
      </c>
      <c r="D9" s="625" t="n">
        <f aca="false">XNPV('Project Assumptions'!$I$56,$B$7:D7,$B$6:D6)</f>
        <v>-39628.7931572534</v>
      </c>
      <c r="E9" s="625" t="n">
        <f aca="false">XNPV('Project Assumptions'!$I$56,$B$7:E7,$B$6:E6)</f>
        <v>-35459.8853739318</v>
      </c>
      <c r="F9" s="625" t="n">
        <f aca="false">XNPV('Project Assumptions'!$I$56,$B$7:F7,$B$6:F6)</f>
        <v>-29402.1796355936</v>
      </c>
      <c r="G9" s="625" t="n">
        <f aca="false">XNPV('Project Assumptions'!$I$56,$B$7:G7,$B$6:G6)</f>
        <v>-19012.1995186203</v>
      </c>
      <c r="H9" s="625" t="n">
        <f aca="false">XNPV('Project Assumptions'!$I$56,$B$7:H7,$B$6:H6)</f>
        <v>-9357.02952256822</v>
      </c>
      <c r="I9" s="625" t="n">
        <f aca="false">XNPV('Project Assumptions'!$I$56,$B$7:I7,$B$6:I6)</f>
        <v>-738.100077844621</v>
      </c>
      <c r="J9" s="625" t="n">
        <f aca="false">XNPV('Project Assumptions'!$I$56,$B$7:J7,$B$6:J6)</f>
        <v>7561.94745606058</v>
      </c>
      <c r="K9" s="625" t="n">
        <f aca="false">XNPV('Project Assumptions'!$I$56,$B$7:K7,$B$6:K6)</f>
        <v>13774.3661045992</v>
      </c>
      <c r="L9" s="625" t="n">
        <f aca="false">XNPV('Project Assumptions'!$I$56,$B$7:L7,$B$6:L6)</f>
        <v>19015.8377753102</v>
      </c>
      <c r="M9" s="625" t="n">
        <f aca="false">XNPV('Project Assumptions'!$I$56,$B$7:M7,$B$6:M6)</f>
        <v>27028.2867009221</v>
      </c>
      <c r="N9" s="625" t="n">
        <f aca="false">XNPV('Project Assumptions'!$I$56,$B$7:N7,$B$6:N6)</f>
        <v>34332.4822307165</v>
      </c>
      <c r="O9" s="625" t="n">
        <f aca="false">XNPV('Project Assumptions'!$I$56,$B$7:O7,$B$6:O6)</f>
        <v>40987.9786888824</v>
      </c>
      <c r="P9" s="625" t="n">
        <f aca="false">XNPV('Project Assumptions'!$I$56,$B$7:P7,$B$6:P6)</f>
        <v>47048.463111013</v>
      </c>
      <c r="Q9" s="625" t="n">
        <f aca="false">XNPV('Project Assumptions'!$I$56,$B$7:Q7,$B$6:Q6)</f>
        <v>52561.8851627808</v>
      </c>
      <c r="R9" s="625" t="n">
        <f aca="false">XNPV('Project Assumptions'!$I$56,$B$7:R7,$B$6:R6)</f>
        <v>57572.8785495564</v>
      </c>
      <c r="S9" s="625" t="n">
        <f aca="false">XNPV('Project Assumptions'!$I$56,$B$7:S7,$B$6:S6)</f>
        <v>61583.0571044836</v>
      </c>
      <c r="T9" s="625" t="n">
        <f aca="false">XNPV('Project Assumptions'!$I$56,$B$7:T7,$B$6:T6)</f>
        <v>65075.6133477641</v>
      </c>
      <c r="U9" s="625" t="n">
        <f aca="false">XNPV('Project Assumptions'!$I$56,$B$7:U7,$B$6:U6)</f>
        <v>68040.9855553254</v>
      </c>
      <c r="V9" s="625" t="n">
        <f aca="false">XNPV('Project Assumptions'!$I$56,$B$7:V7,$B$6:V6)</f>
        <v>70644.9931428655</v>
      </c>
      <c r="W9" s="625" t="n">
        <f aca="false">XNPV('Project Assumptions'!$I$56,$B$7:W7,$B$6:W6)</f>
        <v>71958.0467291002</v>
      </c>
      <c r="X9" s="625" t="n">
        <f aca="false">XNPV('Project Assumptions'!$I$56,$B$7:X7,$B$6:X6)</f>
        <v>71958.0467291002</v>
      </c>
      <c r="Y9" s="625" t="n">
        <f aca="false">XNPV('Project Assumptions'!$I$56,$B$7:Y7,$B$6:Y6)</f>
        <v>71958.0467291002</v>
      </c>
      <c r="Z9" s="625" t="n">
        <f aca="false">XNPV('Project Assumptions'!$I$56,$B$7:Z7,$B$6:Z6)</f>
        <v>71958.0467291002</v>
      </c>
      <c r="AA9" s="626" t="n">
        <f aca="false">XNPV('Project Assumptions'!$I$56,$B$7:AA7,$B$6:AA6)</f>
        <v>71958.0467291002</v>
      </c>
    </row>
    <row r="10" customFormat="false" ht="12.6" hidden="false" customHeight="true" outlineLevel="0" collapsed="false">
      <c r="A10" s="410"/>
      <c r="B10" s="385"/>
      <c r="C10" s="385"/>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415"/>
      <c r="AB10" s="385"/>
      <c r="AC10" s="385"/>
      <c r="AD10" s="1"/>
      <c r="AE10" s="1"/>
      <c r="AF10" s="1"/>
    </row>
    <row r="11" customFormat="false" ht="12.6" hidden="false" customHeight="true" outlineLevel="0" collapsed="false">
      <c r="A11" s="433" t="s">
        <v>472</v>
      </c>
      <c r="B11" s="30" t="n">
        <f aca="false">'Project Assumptions'!C8*-1</f>
        <v>-43592.4045</v>
      </c>
      <c r="C11" s="30" t="n">
        <f aca="false">'Cash Flow Statement'!D22</f>
        <v>-2251.19021568476</v>
      </c>
      <c r="D11" s="30" t="n">
        <f aca="false">'Cash Flow Statement'!E22+'Cash Flow Statement'!E43</f>
        <v>7264.08962391495</v>
      </c>
      <c r="E11" s="30" t="n">
        <f aca="false">'Cash Flow Statement'!F22+'Cash Flow Statement'!F43</f>
        <v>5587.01817491304</v>
      </c>
      <c r="F11" s="30" t="n">
        <f aca="false">'Cash Flow Statement'!G22+'Cash Flow Statement'!G43</f>
        <v>9092.5142688509</v>
      </c>
      <c r="G11" s="30" t="n">
        <f aca="false">'Cash Flow Statement'!H22+'Cash Flow Statement'!H43</f>
        <v>16500.3613463457</v>
      </c>
      <c r="H11" s="30" t="n">
        <f aca="false">'Cash Flow Statement'!I22+'Cash Flow Statement'!I43</f>
        <v>13083.4316611033</v>
      </c>
      <c r="I11" s="30" t="n">
        <f aca="false">'Cash Flow Statement'!J22+'Cash Flow Statement'!J43</f>
        <v>12498.5310905058</v>
      </c>
      <c r="J11" s="30" t="n">
        <f aca="false">'Cash Flow Statement'!K22+'Cash Flow Statement'!K43</f>
        <v>13357.2995455148</v>
      </c>
      <c r="K11" s="30" t="n">
        <f aca="false">'Cash Flow Statement'!L22+'Cash Flow Statement'!L43</f>
        <v>9878.82050538863</v>
      </c>
      <c r="L11" s="30" t="n">
        <f aca="false">'Cash Flow Statement'!M22+'Cash Flow Statement'!M43</f>
        <v>8269.13404475165</v>
      </c>
      <c r="M11" s="30" t="n">
        <f aca="false">'Cash Flow Statement'!N22+'Cash Flow Statement'!N43</f>
        <v>18819.9350092867</v>
      </c>
      <c r="N11" s="30" t="n">
        <f aca="false">'Cash Flow Statement'!O22+'Cash Flow Statement'!O43</f>
        <v>18874.9910909059</v>
      </c>
      <c r="O11" s="30" t="n">
        <f aca="false">'Cash Flow Statement'!P22+'Cash Flow Statement'!P43</f>
        <v>19205.7571172487</v>
      </c>
      <c r="P11" s="30" t="n">
        <f aca="false">'Cash Flow Statement'!Q22+'Cash Flow Statement'!Q43</f>
        <v>19541.2797488852</v>
      </c>
      <c r="Q11" s="30" t="n">
        <f aca="false">'Cash Flow Statement'!R22+'Cash Flow Statement'!R43</f>
        <v>19853.1034096647</v>
      </c>
      <c r="R11" s="30" t="n">
        <f aca="false">'Cash Flow Statement'!S22+'Cash Flow Statement'!S43</f>
        <v>18114.0702976094</v>
      </c>
      <c r="S11" s="30" t="n">
        <f aca="false">'Cash Flow Statement'!T22+'Cash Flow Statement'!T43</f>
        <v>12832.7384280361</v>
      </c>
      <c r="T11" s="30" t="n">
        <f aca="false">'Cash Flow Statement'!U22+'Cash Flow Statement'!U43</f>
        <v>11877.3833383571</v>
      </c>
      <c r="U11" s="30" t="n">
        <f aca="false">'Cash Flow Statement'!V22+'Cash Flow Statement'!V43</f>
        <v>10271.7784876726</v>
      </c>
      <c r="V11" s="30" t="n">
        <f aca="false">'Cash Flow Statement'!W22+'Cash Flow Statement'!W43</f>
        <v>9461.88998746349</v>
      </c>
      <c r="W11" s="30" t="n">
        <f aca="false">'Cash Flow Statement'!X22+'Cash Flow Statement'!X43</f>
        <v>8082.73430343176</v>
      </c>
      <c r="X11" s="30" t="n">
        <f aca="false">'Cash Flow Statement'!Y22+'Cash Flow Statement'!Y43</f>
        <v>0</v>
      </c>
      <c r="Y11" s="30" t="n">
        <f aca="false">'Cash Flow Statement'!Z22+'Cash Flow Statement'!Z43</f>
        <v>0</v>
      </c>
      <c r="Z11" s="30" t="n">
        <f aca="false">'Cash Flow Statement'!AA22+'Cash Flow Statement'!AA43</f>
        <v>0</v>
      </c>
      <c r="AA11" s="437" t="n">
        <f aca="false">'Cash Flow Statement'!AB22+'Cash Flow Statement'!AB43</f>
        <v>0</v>
      </c>
      <c r="AB11" s="385"/>
      <c r="AC11" s="385"/>
      <c r="AD11" s="1"/>
      <c r="AE11" s="1"/>
      <c r="AF11" s="1"/>
    </row>
    <row r="12" customFormat="false" ht="12.6" hidden="false" customHeight="true" outlineLevel="0" collapsed="false">
      <c r="A12" s="410" t="s">
        <v>473</v>
      </c>
      <c r="B12" s="385"/>
      <c r="C12" s="623" t="e">
        <f aca="false">XIRR($B$11:C11,$B$6:C6)</f>
        <v>#VALUE!</v>
      </c>
      <c r="D12" s="623" t="n">
        <f aca="false">XIRR($B$11:D11,$B$6:D6)</f>
        <v>-0.696953173953515</v>
      </c>
      <c r="E12" s="623" t="n">
        <f aca="false">XIRR($B$11:E11,$B$6:E6)</f>
        <v>-0.460507339518297</v>
      </c>
      <c r="F12" s="623" t="n">
        <f aca="false">XIRR($B$11:F11,$B$6:F6)</f>
        <v>-0.236255966579285</v>
      </c>
      <c r="G12" s="623" t="n">
        <f aca="false">XIRR($B$11:G11,$B$6:G6)</f>
        <v>-0.0491249167158071</v>
      </c>
      <c r="H12" s="623" t="n">
        <f aca="false">XIRR($B$11:H11,$B$6:H6)</f>
        <v>0.0298980835726106</v>
      </c>
      <c r="I12" s="623" t="n">
        <f aca="false">XIRR($B$11:I11,$B$6:I6)</f>
        <v>0.0788990432572922</v>
      </c>
      <c r="J12" s="623" t="n">
        <f aca="false">XIRR($B$11:J11,$B$6:J6)</f>
        <v>0.114322595683216</v>
      </c>
      <c r="K12" s="623" t="n">
        <f aca="false">XIRR($B$11:K11,$B$6:K6)</f>
        <v>0.133023920666497</v>
      </c>
      <c r="L12" s="623" t="n">
        <f aca="false">XIRR($B$11:L11,$B$6:L6)</f>
        <v>0.144912983665767</v>
      </c>
      <c r="M12" s="623" t="n">
        <f aca="false">XIRR($B$11:M11,$B$6:M6)</f>
        <v>0.164598834685134</v>
      </c>
      <c r="N12" s="623" t="n">
        <f aca="false">XIRR($B$11:N11,$B$6:N6)</f>
        <v>0.178418508264576</v>
      </c>
      <c r="O12" s="623" t="n">
        <f aca="false">XIRR($B$11:O11,$B$6:O6)</f>
        <v>0.188584725122477</v>
      </c>
      <c r="P12" s="623" t="n">
        <f aca="false">XIRR($B$11:P11,$B$6:P6)</f>
        <v>0.196232189838859</v>
      </c>
      <c r="Q12" s="623" t="n">
        <f aca="false">XIRR($B$11:Q11,$B$6:Q6)</f>
        <v>0.202072716000879</v>
      </c>
      <c r="R12" s="623" t="n">
        <f aca="false">XIRR($B$11:R11,$B$6:R6)</f>
        <v>0.206147812955062</v>
      </c>
      <c r="S12" s="623" t="n">
        <f aca="false">XIRR($B$11:S11,$B$6:S6)</f>
        <v>0.208405873901159</v>
      </c>
      <c r="T12" s="623" t="n">
        <f aca="false">XIRR($B$11:T11,$B$6:T6)</f>
        <v>0.210069510853203</v>
      </c>
      <c r="U12" s="623" t="n">
        <f aca="false">XIRR($B$11:U11,$B$6:U6)</f>
        <v>0.211223407499658</v>
      </c>
      <c r="V12" s="623" t="n">
        <f aca="false">XIRR($B$11:V11,$B$6:V6)</f>
        <v>0.212081071637481</v>
      </c>
      <c r="W12" s="623" t="n">
        <f aca="false">XIRR($B$11:W11,$B$6:W6)</f>
        <v>0.212674651927521</v>
      </c>
      <c r="X12" s="623" t="n">
        <f aca="false">XIRR($B$11:X11,$B$6:X6)</f>
        <v>0.212674651927521</v>
      </c>
      <c r="Y12" s="623" t="n">
        <f aca="false">XIRR($B$11:Y11,$B$6:Y6)</f>
        <v>0.212674651927521</v>
      </c>
      <c r="Z12" s="623" t="n">
        <f aca="false">XIRR($B$11:Z11,$B$6:Z6)</f>
        <v>0.212674651927521</v>
      </c>
      <c r="AA12" s="624" t="n">
        <f aca="false">XIRR($B$11:AA11,$B$6:AA6)</f>
        <v>0.212674651927521</v>
      </c>
      <c r="AB12" s="385"/>
      <c r="AC12" s="385"/>
      <c r="AD12" s="1"/>
      <c r="AE12" s="1"/>
      <c r="AF12" s="1"/>
    </row>
    <row r="13" customFormat="false" ht="12.6" hidden="false" customHeight="true" outlineLevel="0" collapsed="false">
      <c r="A13" s="410" t="s">
        <v>474</v>
      </c>
      <c r="B13" s="265"/>
      <c r="C13" s="625" t="n">
        <f aca="false">XNPV('Project Assumptions'!$I$56,$B$11:C11,$B$6:C6)</f>
        <v>-45699.5301913314</v>
      </c>
      <c r="D13" s="625" t="n">
        <f aca="false">XNPV('Project Assumptions'!$I$56,$B$11:D11,$B$6:D6)</f>
        <v>-39628.7931572534</v>
      </c>
      <c r="E13" s="625" t="n">
        <f aca="false">XNPV('Project Assumptions'!$I$56,$B$11:E11,$B$6:E6)</f>
        <v>-35459.8853739318</v>
      </c>
      <c r="F13" s="625" t="n">
        <f aca="false">XNPV('Project Assumptions'!$I$56,$B$11:F11,$B$6:F6)</f>
        <v>-29402.1796355936</v>
      </c>
      <c r="G13" s="625" t="n">
        <f aca="false">XNPV('Project Assumptions'!$I$56,$B$11:G11,$B$6:G6)</f>
        <v>-19590.0162705098</v>
      </c>
      <c r="H13" s="625" t="n">
        <f aca="false">XNPV('Project Assumptions'!$I$56,$B$11:H11,$B$6:H6)</f>
        <v>-12643.3735500868</v>
      </c>
      <c r="I13" s="625" t="n">
        <f aca="false">XNPV('Project Assumptions'!$I$56,$B$11:I11,$B$6:I6)</f>
        <v>-6718.29319267698</v>
      </c>
      <c r="J13" s="625" t="n">
        <f aca="false">XNPV('Project Assumptions'!$I$56,$B$11:J11,$B$6:J6)</f>
        <v>-1064.55215131058</v>
      </c>
      <c r="K13" s="625" t="n">
        <f aca="false">XNPV('Project Assumptions'!$I$56,$B$11:K11,$B$6:K6)</f>
        <v>2667.68709307269</v>
      </c>
      <c r="L13" s="625" t="n">
        <f aca="false">XNPV('Project Assumptions'!$I$56,$B$11:L11,$B$6:L6)</f>
        <v>5457.05879037246</v>
      </c>
      <c r="M13" s="625" t="n">
        <f aca="false">XNPV('Project Assumptions'!$I$56,$B$11:M11,$B$6:M6)</f>
        <v>11125.2756124363</v>
      </c>
      <c r="N13" s="625" t="n">
        <f aca="false">XNPV('Project Assumptions'!$I$56,$B$11:N11,$B$6:N6)</f>
        <v>16200.9887347273</v>
      </c>
      <c r="O13" s="625" t="n">
        <f aca="false">XNPV('Project Assumptions'!$I$56,$B$11:O11,$B$6:O6)</f>
        <v>20810.8608583925</v>
      </c>
      <c r="P13" s="625" t="n">
        <f aca="false">XNPV('Project Assumptions'!$I$56,$B$11:P11,$B$6:P6)</f>
        <v>24998.7234680064</v>
      </c>
      <c r="Q13" s="625" t="n">
        <f aca="false">XNPV('Project Assumptions'!$I$56,$B$11:Q11,$B$6:Q6)</f>
        <v>28797.5529990294</v>
      </c>
      <c r="R13" s="625" t="n">
        <f aca="false">XNPV('Project Assumptions'!$I$56,$B$11:R11,$B$6:R6)</f>
        <v>31892.2592123918</v>
      </c>
      <c r="S13" s="625" t="n">
        <f aca="false">XNPV('Project Assumptions'!$I$56,$B$11:S11,$B$6:S6)</f>
        <v>33849.1647109119</v>
      </c>
      <c r="T13" s="625" t="n">
        <f aca="false">XNPV('Project Assumptions'!$I$56,$B$11:T11,$B$6:T6)</f>
        <v>35466.3257220968</v>
      </c>
      <c r="U13" s="625" t="n">
        <f aca="false">XNPV('Project Assumptions'!$I$56,$B$11:U11,$B$6:U6)</f>
        <v>36715.0314714868</v>
      </c>
      <c r="V13" s="625" t="n">
        <f aca="false">XNPV('Project Assumptions'!$I$56,$B$11:V11,$B$6:V6)</f>
        <v>37742.0406801247</v>
      </c>
      <c r="W13" s="625" t="n">
        <f aca="false">XNPV('Project Assumptions'!$I$56,$B$11:W11,$B$6:W6)</f>
        <v>38525.1130126154</v>
      </c>
      <c r="X13" s="625" t="n">
        <f aca="false">XNPV('Project Assumptions'!$I$56,$B$11:X11,$B$6:X6)</f>
        <v>38525.1130126154</v>
      </c>
      <c r="Y13" s="625" t="n">
        <f aca="false">XNPV('Project Assumptions'!$I$56,$B$11:Y11,$B$6:Y6)</f>
        <v>38525.1130126154</v>
      </c>
      <c r="Z13" s="625" t="n">
        <f aca="false">XNPV('Project Assumptions'!$I$56,$B$11:Z11,$B$6:Z6)</f>
        <v>38525.1130126154</v>
      </c>
      <c r="AA13" s="626" t="n">
        <f aca="false">XNPV('Project Assumptions'!$I$56,$B$11:AA11,$B$6:AA6)</f>
        <v>38525.1130126154</v>
      </c>
    </row>
    <row r="14" customFormat="false" ht="12.6" hidden="false" customHeight="true" outlineLevel="0" collapsed="false">
      <c r="A14" s="410"/>
      <c r="B14" s="385"/>
      <c r="C14" s="385"/>
      <c r="D14" s="385"/>
      <c r="E14" s="385"/>
      <c r="F14" s="385"/>
      <c r="G14" s="385"/>
      <c r="H14" s="385"/>
      <c r="I14" s="385"/>
      <c r="J14" s="385"/>
      <c r="K14" s="385"/>
      <c r="L14" s="385"/>
      <c r="M14" s="385"/>
      <c r="N14" s="385"/>
      <c r="O14" s="385"/>
      <c r="P14" s="385"/>
      <c r="Q14" s="385"/>
      <c r="R14" s="385"/>
      <c r="S14" s="385"/>
      <c r="T14" s="385"/>
      <c r="U14" s="385"/>
      <c r="V14" s="385"/>
      <c r="W14" s="385"/>
      <c r="X14" s="385"/>
      <c r="Y14" s="385"/>
      <c r="Z14" s="385"/>
      <c r="AA14" s="415"/>
      <c r="AB14" s="385"/>
      <c r="AC14" s="385"/>
      <c r="AD14" s="1"/>
      <c r="AE14" s="1"/>
      <c r="AF14" s="1"/>
    </row>
    <row r="15" customFormat="false" ht="12.6" hidden="false" customHeight="true" outlineLevel="0" collapsed="false">
      <c r="A15" s="433" t="s">
        <v>475</v>
      </c>
      <c r="B15" s="30" t="n">
        <f aca="false">-('Project Assumptions'!C8+'Project Assumptions'!C9)</f>
        <v>-174369.618</v>
      </c>
      <c r="C15" s="625" t="n">
        <f aca="false">+'Cash Flow Statement'!D20+'Cash Flow Statement'!D17+'Cash Flow Statement'!D13+'Cash Flow Statement'!D12+'Cash Flow Statement'!D10</f>
        <v>23287.5071454492</v>
      </c>
      <c r="D15" s="625" t="n">
        <f aca="false">+'Cash Flow Statement'!E20+'Cash Flow Statement'!E17+'Cash Flow Statement'!E13+'Cash Flow Statement'!E12+'Cash Flow Statement'!E10</f>
        <v>32099.2055764189</v>
      </c>
      <c r="E15" s="625" t="n">
        <f aca="false">+'Cash Flow Statement'!F20+'Cash Flow Statement'!F17+'Cash Flow Statement'!F13+'Cash Flow Statement'!F12+'Cash Flow Statement'!F10</f>
        <v>31680.210921287</v>
      </c>
      <c r="F15" s="625" t="n">
        <f aca="false">+'Cash Flow Statement'!G20+'Cash Flow Statement'!G17+'Cash Flow Statement'!G13+'Cash Flow Statement'!G12+'Cash Flow Statement'!G10</f>
        <v>36146.7887572364</v>
      </c>
      <c r="G15" s="625" t="n">
        <f aca="false">+'Cash Flow Statement'!H20+'Cash Flow Statement'!H17+'Cash Flow Statement'!H13+'Cash Flow Statement'!H12+'Cash Flow Statement'!H10</f>
        <v>39410.0397311102</v>
      </c>
      <c r="H15" s="625" t="n">
        <f aca="false">+'Cash Flow Statement'!I20+'Cash Flow Statement'!I17+'Cash Flow Statement'!I13+'Cash Flow Statement'!I12+'Cash Flow Statement'!I10</f>
        <v>39297.6711722102</v>
      </c>
      <c r="I15" s="625" t="n">
        <f aca="false">+'Cash Flow Statement'!J20+'Cash Flow Statement'!J17+'Cash Flow Statement'!J13+'Cash Flow Statement'!J12+'Cash Flow Statement'!J10</f>
        <v>39175.1018946118</v>
      </c>
      <c r="J15" s="625" t="n">
        <f aca="false">+'Cash Flow Statement'!K20+'Cash Flow Statement'!K17+'Cash Flow Statement'!K13+'Cash Flow Statement'!K12+'Cash Flow Statement'!K10</f>
        <v>39662.8542933377</v>
      </c>
      <c r="K15" s="625" t="n">
        <f aca="false">+'Cash Flow Statement'!L20+'Cash Flow Statement'!L17+'Cash Flow Statement'!L13+'Cash Flow Statement'!L12+'Cash Flow Statement'!L10</f>
        <v>39479.8014995782</v>
      </c>
      <c r="L15" s="625" t="n">
        <f aca="false">+'Cash Flow Statement'!M20+'Cash Flow Statement'!M17+'Cash Flow Statement'!M13+'Cash Flow Statement'!M12+'Cash Flow Statement'!M10</f>
        <v>39707.9175816406</v>
      </c>
      <c r="M15" s="625" t="n">
        <f aca="false">+'Cash Flow Statement'!N20+'Cash Flow Statement'!N17+'Cash Flow Statement'!N13+'Cash Flow Statement'!N12+'Cash Flow Statement'!N10</f>
        <v>39017.4824063447</v>
      </c>
      <c r="N15" s="625" t="n">
        <f aca="false">+'Cash Flow Statement'!O20+'Cash Flow Statement'!O17+'Cash Flow Statement'!O13+'Cash Flow Statement'!O12+'Cash Flow Statement'!O10</f>
        <v>39820.1774918377</v>
      </c>
      <c r="O15" s="625" t="n">
        <f aca="false">+'Cash Flow Statement'!P20+'Cash Flow Statement'!P17+'Cash Flow Statement'!P13+'Cash Flow Statement'!P12+'Cash Flow Statement'!P10</f>
        <v>39808.7726443967</v>
      </c>
      <c r="P15" s="625" t="n">
        <f aca="false">+'Cash Flow Statement'!Q20+'Cash Flow Statement'!Q17+'Cash Flow Statement'!Q13+'Cash Flow Statement'!Q12+'Cash Flow Statement'!Q10</f>
        <v>39782.0703110233</v>
      </c>
      <c r="Q15" s="625" t="n">
        <f aca="false">+'Cash Flow Statement'!R20+'Cash Flow Statement'!R17+'Cash Flow Statement'!R13+'Cash Flow Statement'!R12+'Cash Flow Statement'!R10</f>
        <v>39738.9029558259</v>
      </c>
      <c r="R15" s="625" t="n">
        <f aca="false">+'Cash Flow Statement'!S20+'Cash Flow Statement'!S17+'Cash Flow Statement'!S13+'Cash Flow Statement'!S12+'Cash Flow Statement'!S10</f>
        <v>39678.0467584967</v>
      </c>
      <c r="S15" s="625" t="n">
        <f aca="false">+'Cash Flow Statement'!T20+'Cash Flow Statement'!T17+'Cash Flow Statement'!T13+'Cash Flow Statement'!T12+'Cash Flow Statement'!T10</f>
        <v>39598.2192880292</v>
      </c>
      <c r="T15" s="625" t="n">
        <f aca="false">+'Cash Flow Statement'!U20+'Cash Flow Statement'!U17+'Cash Flow Statement'!U13+'Cash Flow Statement'!U12+'Cash Flow Statement'!U10</f>
        <v>39209.2425337782</v>
      </c>
      <c r="U15" s="625" t="n">
        <f aca="false">+'Cash Flow Statement'!V20+'Cash Flow Statement'!V17+'Cash Flow Statement'!V13+'Cash Flow Statement'!V12+'Cash Flow Statement'!V10</f>
        <v>38683.0102378076</v>
      </c>
      <c r="V15" s="625" t="n">
        <f aca="false">+'Cash Flow Statement'!W20+'Cash Flow Statement'!W17+'Cash Flow Statement'!W13+'Cash Flow Statement'!W12+'Cash Flow Statement'!W10</f>
        <v>37960.2823630387</v>
      </c>
      <c r="W15" s="625" t="n">
        <f aca="false">+'Cash Flow Statement'!X20+'Cash Flow Statement'!X17+'Cash Flow Statement'!X13+'Cash Flow Statement'!X12+'Cash Flow Statement'!X10</f>
        <v>13553.1071950229</v>
      </c>
      <c r="X15" s="625" t="n">
        <f aca="false">+'Cash Flow Statement'!Y20+'Cash Flow Statement'!Y17+'Cash Flow Statement'!Y13+'Cash Flow Statement'!Y12+'Cash Flow Statement'!Y10</f>
        <v>0</v>
      </c>
      <c r="Y15" s="625" t="n">
        <f aca="false">+'Cash Flow Statement'!Z20+'Cash Flow Statement'!Z17+'Cash Flow Statement'!Z13+'Cash Flow Statement'!Z12+'Cash Flow Statement'!Z10</f>
        <v>0</v>
      </c>
      <c r="Z15" s="625" t="n">
        <f aca="false">+'Cash Flow Statement'!AA20+'Cash Flow Statement'!AA17+'Cash Flow Statement'!AA13+'Cash Flow Statement'!AA12+'Cash Flow Statement'!AA10</f>
        <v>0</v>
      </c>
      <c r="AA15" s="626" t="n">
        <f aca="false">+'Cash Flow Statement'!AB20+'Cash Flow Statement'!AB17+'Cash Flow Statement'!AB13+'Cash Flow Statement'!AB12+'Cash Flow Statement'!AB10</f>
        <v>0</v>
      </c>
    </row>
    <row r="16" customFormat="false" ht="12.6" hidden="false" customHeight="true" outlineLevel="0" collapsed="false">
      <c r="A16" s="410" t="s">
        <v>476</v>
      </c>
      <c r="B16" s="385"/>
      <c r="C16" s="623" t="n">
        <f aca="false">XIRR($B$15:C15,$B$6:C6)</f>
        <v>-0.968252871595472</v>
      </c>
      <c r="D16" s="623" t="n">
        <f aca="false">XIRR($B$15:D15,$B$6:D6)</f>
        <v>-0.596018062804776</v>
      </c>
      <c r="E16" s="623" t="n">
        <f aca="false">XIRR($B$15:E15,$B$6:E6)</f>
        <v>-0.320573592116616</v>
      </c>
      <c r="F16" s="623" t="n">
        <f aca="false">XIRR($B$15:F15,$B$6:F6)</f>
        <v>-0.138668452997816</v>
      </c>
      <c r="G16" s="623" t="n">
        <f aca="false">XIRR($B$15:G15,$B$6:G6)</f>
        <v>-0.0243334173308857</v>
      </c>
      <c r="H16" s="623" t="n">
        <f aca="false">XIRR($B$15:H15,$B$6:H6)</f>
        <v>0.0456480008071033</v>
      </c>
      <c r="I16" s="623" t="n">
        <f aca="false">XIRR($B$15:I15,$B$6:I6)</f>
        <v>0.0912556623137893</v>
      </c>
      <c r="J16" s="623" t="n">
        <f aca="false">XIRR($B$15:J15,$B$6:J6)</f>
        <v>0.122727848751491</v>
      </c>
      <c r="K16" s="623" t="n">
        <f aca="false">XIRR($B$15:K15,$B$6:K6)</f>
        <v>0.14476193303882</v>
      </c>
      <c r="L16" s="623" t="n">
        <f aca="false">XIRR($B$15:L15,$B$6:L6)</f>
        <v>0.160765524306983</v>
      </c>
      <c r="M16" s="623" t="n">
        <f aca="false">XIRR($B$15:M15,$B$6:M6)</f>
        <v>0.172368958447638</v>
      </c>
      <c r="N16" s="623" t="n">
        <f aca="false">XIRR($B$15:N15,$B$6:N6)</f>
        <v>0.181255752645966</v>
      </c>
      <c r="O16" s="623" t="n">
        <f aca="false">XIRR($B$15:O15,$B$6:O6)</f>
        <v>0.188005541892018</v>
      </c>
      <c r="P16" s="623" t="n">
        <f aca="false">XIRR($B$15:P15,$B$6:P6)</f>
        <v>0.193194029241369</v>
      </c>
      <c r="Q16" s="623" t="n">
        <f aca="false">XIRR($B$15:Q15,$B$6:Q6)</f>
        <v>0.197220821152901</v>
      </c>
      <c r="R16" s="623" t="n">
        <f aca="false">XIRR($B$15:R15,$B$6:R6)</f>
        <v>0.200371212536088</v>
      </c>
      <c r="S16" s="623" t="n">
        <f aca="false">XIRR($B$15:S15,$B$6:S6)</f>
        <v>0.202851372023894</v>
      </c>
      <c r="T16" s="623" t="n">
        <f aca="false">XIRR($B$15:T15,$B$6:T6)</f>
        <v>0.204801873838442</v>
      </c>
      <c r="U16" s="623" t="n">
        <f aca="false">XIRR($B$15:U15,$B$6:U6)</f>
        <v>0.206338839932974</v>
      </c>
      <c r="V16" s="623" t="n">
        <f aca="false">XIRR($B$15:V15,$B$6:V6)</f>
        <v>0.207549384502844</v>
      </c>
      <c r="W16" s="623" t="n">
        <f aca="false">XIRR($B$15:W15,$B$6:W6)</f>
        <v>0.207900307267245</v>
      </c>
      <c r="X16" s="623" t="n">
        <f aca="false">XIRR($B$15:X15,$B$6:X6)</f>
        <v>0.207900307267245</v>
      </c>
      <c r="Y16" s="623" t="n">
        <f aca="false">XIRR($B$15:Y15,$B$6:Y6)</f>
        <v>0.207900307267245</v>
      </c>
      <c r="Z16" s="623" t="n">
        <f aca="false">XIRR($B$15:Z15,$B$6:Z6)</f>
        <v>0.207900307267245</v>
      </c>
      <c r="AA16" s="624" t="n">
        <f aca="false">XIRR($B$15:AA15,$B$6:AA6)</f>
        <v>0.207900307267245</v>
      </c>
      <c r="AB16" s="385"/>
      <c r="AC16" s="385"/>
      <c r="AD16" s="1"/>
      <c r="AE16" s="1"/>
      <c r="AF16" s="1"/>
    </row>
    <row r="17" customFormat="false" ht="12.6" hidden="false" customHeight="true" outlineLevel="0" collapsed="false">
      <c r="A17" s="410" t="s">
        <v>477</v>
      </c>
      <c r="B17" s="265"/>
      <c r="C17" s="625" t="n">
        <f aca="false">XNPV('Project Assumptions'!$I$56,$B$15:C15,$B$6:C6)</f>
        <v>-152572.390803758</v>
      </c>
      <c r="D17" s="625" t="n">
        <f aca="false">XNPV('Project Assumptions'!$I$56,$B$15:D15,$B$6:D6)</f>
        <v>-125746.477833782</v>
      </c>
      <c r="E17" s="625" t="n">
        <f aca="false">XNPV('Project Assumptions'!$I$56,$B$15:E15,$B$6:E6)</f>
        <v>-102107.414248835</v>
      </c>
      <c r="F17" s="625" t="n">
        <f aca="false">XNPV('Project Assumptions'!$I$56,$B$15:F15,$B$6:F6)</f>
        <v>-78025.3393460385</v>
      </c>
      <c r="G17" s="625" t="n">
        <f aca="false">XNPV('Project Assumptions'!$I$56,$B$15:G15,$B$6:G6)</f>
        <v>-54589.625427462</v>
      </c>
      <c r="H17" s="625" t="n">
        <f aca="false">XNPV('Project Assumptions'!$I$56,$B$15:H15,$B$6:H6)</f>
        <v>-33724.5428979606</v>
      </c>
      <c r="I17" s="625" t="n">
        <f aca="false">XNPV('Project Assumptions'!$I$56,$B$15:I15,$B$6:I6)</f>
        <v>-15153.1103788533</v>
      </c>
      <c r="J17" s="625" t="n">
        <f aca="false">XNPV('Project Assumptions'!$I$56,$B$15:J15,$B$6:J6)</f>
        <v>1634.97664217004</v>
      </c>
      <c r="K17" s="625" t="n">
        <f aca="false">XNPV('Project Assumptions'!$I$56,$B$15:K15,$B$6:K6)</f>
        <v>16550.5290035894</v>
      </c>
      <c r="L17" s="625" t="n">
        <f aca="false">XNPV('Project Assumptions'!$I$56,$B$15:L15,$B$6:L6)</f>
        <v>29944.935341849</v>
      </c>
      <c r="M17" s="625" t="n">
        <f aca="false">XNPV('Project Assumptions'!$I$56,$B$15:M15,$B$6:M6)</f>
        <v>41696.2803927799</v>
      </c>
      <c r="N17" s="625" t="n">
        <f aca="false">XNPV('Project Assumptions'!$I$56,$B$15:N15,$B$6:N6)</f>
        <v>52404.4071650707</v>
      </c>
      <c r="O17" s="625" t="n">
        <f aca="false">XNPV('Project Assumptions'!$I$56,$B$15:O15,$B$6:O6)</f>
        <v>61959.5291095171</v>
      </c>
      <c r="P17" s="625" t="n">
        <f aca="false">XNPV('Project Assumptions'!$I$56,$B$15:P15,$B$6:P6)</f>
        <v>70485.165451122</v>
      </c>
      <c r="Q17" s="625" t="n">
        <f aca="false">XNPV('Project Assumptions'!$I$56,$B$15:Q15,$B$6:Q6)</f>
        <v>78089.0808170975</v>
      </c>
      <c r="R17" s="625" t="n">
        <f aca="false">XNPV('Project Assumptions'!$I$56,$B$15:R15,$B$6:R6)</f>
        <v>84867.8939618057</v>
      </c>
      <c r="S17" s="625" t="n">
        <f aca="false">XNPV('Project Assumptions'!$I$56,$B$15:S15,$B$6:S6)</f>
        <v>90906.3536008685</v>
      </c>
      <c r="T17" s="625" t="n">
        <f aca="false">XNPV('Project Assumptions'!$I$56,$B$15:T15,$B$6:T6)</f>
        <v>96244.8744263226</v>
      </c>
      <c r="U17" s="625" t="n">
        <f aca="false">XNPV('Project Assumptions'!$I$56,$B$15:U15,$B$6:U6)</f>
        <v>100947.438577762</v>
      </c>
      <c r="V17" s="625" t="n">
        <f aca="false">XNPV('Project Assumptions'!$I$56,$B$15:V15,$B$6:V6)</f>
        <v>105067.710489716</v>
      </c>
      <c r="W17" s="625" t="n">
        <f aca="false">XNPV('Project Assumptions'!$I$56,$B$15:W15,$B$6:W6)</f>
        <v>106380.76407595</v>
      </c>
      <c r="X17" s="625" t="n">
        <f aca="false">XNPV('Project Assumptions'!$I$56,$B$15:X15,$B$6:X6)</f>
        <v>106380.76407595</v>
      </c>
      <c r="Y17" s="625" t="n">
        <f aca="false">XNPV('Project Assumptions'!$I$56,$B$15:Y15,$B$6:Y6)</f>
        <v>106380.76407595</v>
      </c>
      <c r="Z17" s="625" t="n">
        <f aca="false">XNPV('Project Assumptions'!$I$56,$B$15:Z15,$B$6:Z6)</f>
        <v>106380.76407595</v>
      </c>
      <c r="AA17" s="626" t="n">
        <f aca="false">XNPV('Project Assumptions'!$I$56,$B$15:AA15,$B$6:AA6)</f>
        <v>106380.76407595</v>
      </c>
    </row>
    <row r="18" customFormat="false" ht="12.6" hidden="false" customHeight="true" outlineLevel="0" collapsed="false">
      <c r="A18" s="410" t="s">
        <v>478</v>
      </c>
      <c r="B18" s="627" t="n">
        <v>0.12</v>
      </c>
      <c r="C18" s="385"/>
      <c r="D18" s="385"/>
      <c r="E18" s="385"/>
      <c r="F18" s="385"/>
      <c r="G18" s="385"/>
      <c r="H18" s="385"/>
      <c r="I18" s="385"/>
      <c r="J18" s="385"/>
      <c r="K18" s="385"/>
      <c r="L18" s="385"/>
      <c r="M18" s="385"/>
      <c r="N18" s="385"/>
      <c r="O18" s="385"/>
      <c r="P18" s="385"/>
      <c r="Q18" s="385"/>
      <c r="R18" s="385"/>
      <c r="S18" s="385"/>
      <c r="T18" s="385"/>
      <c r="U18" s="385"/>
      <c r="V18" s="385"/>
      <c r="W18" s="385"/>
      <c r="X18" s="385"/>
      <c r="Y18" s="385"/>
      <c r="Z18" s="385"/>
      <c r="AA18" s="415"/>
      <c r="AB18" s="385"/>
      <c r="AC18" s="385"/>
      <c r="AD18" s="1"/>
      <c r="AE18" s="1"/>
      <c r="AF18" s="1"/>
    </row>
    <row r="19" customFormat="false" ht="12.6" hidden="false" customHeight="true" outlineLevel="0" collapsed="false">
      <c r="A19" s="400" t="s">
        <v>479</v>
      </c>
      <c r="B19" s="628" t="n">
        <f aca="false">NPV(B18,C11:E11)</f>
        <v>7757.62569124028</v>
      </c>
      <c r="C19" s="265"/>
      <c r="D19" s="629" t="s">
        <v>350</v>
      </c>
      <c r="E19" s="629" t="n">
        <f aca="false">E15</f>
        <v>31680.210921287</v>
      </c>
      <c r="F19" s="265"/>
      <c r="G19" s="265"/>
      <c r="H19" s="265"/>
      <c r="I19" s="265"/>
      <c r="J19" s="265"/>
      <c r="K19" s="265"/>
      <c r="L19" s="265"/>
      <c r="M19" s="265"/>
      <c r="N19" s="265"/>
      <c r="O19" s="265"/>
      <c r="P19" s="265"/>
      <c r="Q19" s="265"/>
      <c r="R19" s="265"/>
      <c r="S19" s="265"/>
      <c r="T19" s="265"/>
      <c r="U19" s="265"/>
      <c r="V19" s="265"/>
      <c r="W19" s="265"/>
      <c r="X19" s="265"/>
      <c r="Y19" s="265"/>
      <c r="Z19" s="265"/>
      <c r="AA19" s="462"/>
    </row>
    <row r="20" customFormat="false" ht="12.75" hidden="false" customHeight="false" outlineLevel="0" collapsed="false">
      <c r="A20" s="514" t="s">
        <v>480</v>
      </c>
      <c r="B20" s="476"/>
      <c r="C20" s="476"/>
      <c r="D20" s="476"/>
      <c r="E20" s="476"/>
      <c r="F20" s="476"/>
      <c r="G20" s="476"/>
      <c r="H20" s="476"/>
      <c r="I20" s="476"/>
      <c r="J20" s="476"/>
      <c r="K20" s="476"/>
      <c r="L20" s="476"/>
      <c r="M20" s="476"/>
      <c r="N20" s="476"/>
      <c r="O20" s="476"/>
      <c r="P20" s="476"/>
      <c r="Q20" s="476"/>
      <c r="R20" s="476"/>
      <c r="S20" s="476"/>
      <c r="T20" s="476"/>
      <c r="U20" s="476"/>
      <c r="V20" s="476"/>
      <c r="W20" s="476"/>
      <c r="X20" s="476"/>
      <c r="Y20" s="476"/>
      <c r="Z20" s="476"/>
      <c r="AA20" s="477"/>
    </row>
    <row r="21" customFormat="false" ht="12.6" hidden="false" customHeight="true" outlineLevel="0" collapsed="false">
      <c r="A21" s="434"/>
      <c r="B21" s="385"/>
      <c r="C21" s="385"/>
      <c r="D21" s="385"/>
      <c r="E21" s="385"/>
      <c r="F21" s="385"/>
      <c r="G21" s="385"/>
      <c r="H21" s="385"/>
      <c r="I21" s="385"/>
      <c r="J21" s="385"/>
      <c r="K21" s="385"/>
      <c r="L21" s="385"/>
      <c r="M21" s="385"/>
      <c r="N21" s="385"/>
      <c r="O21" s="385"/>
      <c r="P21" s="385"/>
      <c r="Q21" s="385"/>
      <c r="R21" s="385"/>
      <c r="S21" s="385"/>
      <c r="T21" s="385"/>
      <c r="U21" s="385"/>
      <c r="V21" s="385"/>
      <c r="W21" s="385"/>
      <c r="X21" s="385"/>
      <c r="Y21" s="385"/>
      <c r="Z21" s="385"/>
      <c r="AA21" s="385"/>
      <c r="AB21" s="1"/>
      <c r="AC21" s="1"/>
      <c r="AD21" s="1"/>
      <c r="AE21" s="1"/>
      <c r="AF21" s="1"/>
    </row>
    <row r="22" customFormat="false" ht="15.75" hidden="false" customHeight="false" outlineLevel="0" collapsed="false">
      <c r="A22" s="430" t="s">
        <v>481</v>
      </c>
      <c r="B22" s="381"/>
      <c r="C22" s="381"/>
      <c r="D22" s="381"/>
      <c r="E22" s="381"/>
      <c r="F22" s="381"/>
      <c r="G22" s="381"/>
      <c r="H22" s="381"/>
      <c r="I22" s="381"/>
      <c r="J22" s="381"/>
      <c r="K22" s="381"/>
      <c r="L22" s="381"/>
      <c r="M22" s="381"/>
      <c r="N22" s="381"/>
      <c r="O22" s="381"/>
      <c r="P22" s="381"/>
      <c r="Q22" s="381"/>
      <c r="R22" s="381"/>
      <c r="S22" s="381"/>
      <c r="T22" s="381"/>
      <c r="U22" s="381"/>
      <c r="V22" s="381"/>
      <c r="W22" s="381"/>
      <c r="X22" s="381"/>
      <c r="Y22" s="381"/>
      <c r="Z22" s="381"/>
      <c r="AA22" s="517"/>
      <c r="AB22" s="385"/>
      <c r="AC22" s="385"/>
      <c r="AD22" s="385"/>
      <c r="AE22" s="385"/>
      <c r="AF22" s="385"/>
    </row>
    <row r="23" customFormat="false" ht="12.6" hidden="false" customHeight="true" outlineLevel="0" collapsed="false">
      <c r="A23" s="410" t="s">
        <v>482</v>
      </c>
      <c r="B23" s="30"/>
      <c r="C23" s="30" t="n">
        <f aca="false">'Debt Amortization'!E54</f>
        <v>15384.892950567</v>
      </c>
      <c r="D23" s="30" t="n">
        <f aca="false">'Debt Amortization'!F54</f>
        <v>15033.102246252</v>
      </c>
      <c r="E23" s="30" t="n">
        <f aca="false">'Debt Amortization'!G54</f>
        <v>16642.969744437</v>
      </c>
      <c r="F23" s="30" t="n">
        <f aca="false">'Debt Amortization'!H54</f>
        <v>18104.3397166927</v>
      </c>
      <c r="G23" s="30" t="n">
        <f aca="false">'Debt Amortization'!I54</f>
        <v>13636.8593263192</v>
      </c>
      <c r="H23" s="30" t="n">
        <f aca="false">'Debt Amortization'!J54</f>
        <v>13224.3304529663</v>
      </c>
      <c r="I23" s="30" t="n">
        <f aca="false">'Debt Amortization'!K54</f>
        <v>13517.9985325134</v>
      </c>
      <c r="J23" s="30" t="n">
        <f aca="false">'Debt Amortization'!L54</f>
        <v>13047.7027484132</v>
      </c>
      <c r="K23" s="30" t="n">
        <f aca="false">'Debt Amortization'!M54</f>
        <v>16500.723369313</v>
      </c>
      <c r="L23" s="30" t="n">
        <f aca="false">'Debt Amortization'!N54</f>
        <v>18401.2876887544</v>
      </c>
      <c r="M23" s="30" t="n">
        <f aca="false">'Debt Amortization'!O54</f>
        <v>7619.44140361926</v>
      </c>
      <c r="N23" s="30" t="n">
        <f aca="false">'Debt Amortization'!P54</f>
        <v>8094.57071353038</v>
      </c>
      <c r="O23" s="30" t="n">
        <f aca="false">'Debt Amortization'!Q54</f>
        <v>7805.73615979428</v>
      </c>
      <c r="P23" s="30" t="n">
        <f aca="false">'Debt Amortization'!R54</f>
        <v>7516.90160605818</v>
      </c>
      <c r="Q23" s="30" t="n">
        <f aca="false">'Debt Amortization'!S54</f>
        <v>7228.06705232208</v>
      </c>
      <c r="R23" s="30" t="n">
        <f aca="false">'Debt Amortization'!T54</f>
        <v>6939.23249858598</v>
      </c>
      <c r="S23" s="30" t="n">
        <f aca="false">'Debt Amortization'!U54</f>
        <v>10181.3827093499</v>
      </c>
      <c r="T23" s="30" t="n">
        <f aca="false">'Debt Amortization'!V54</f>
        <v>11016.1075076777</v>
      </c>
      <c r="U23" s="30" t="n">
        <f aca="false">'Debt Amortization'!W54</f>
        <v>12441.495437411</v>
      </c>
      <c r="V23" s="30" t="n">
        <f aca="false">'Debt Amortization'!X54</f>
        <v>12987.3856820027</v>
      </c>
      <c r="W23" s="30" t="n">
        <f aca="false">'Debt Amortization'!Y54</f>
        <v>0</v>
      </c>
      <c r="X23" s="30" t="n">
        <f aca="false">'Debt Amortization'!Z54</f>
        <v>0</v>
      </c>
      <c r="Y23" s="30" t="n">
        <f aca="false">'Debt Amortization'!AA54</f>
        <v>0</v>
      </c>
      <c r="Z23" s="30" t="n">
        <f aca="false">'Debt Amortization'!AB54</f>
        <v>0</v>
      </c>
      <c r="AA23" s="437" t="n">
        <f aca="false">'Debt Amortization'!AC54</f>
        <v>0</v>
      </c>
      <c r="AB23" s="30"/>
      <c r="AC23" s="30"/>
      <c r="AD23" s="30"/>
      <c r="AE23" s="30"/>
      <c r="AF23" s="30"/>
    </row>
    <row r="24" customFormat="false" ht="12.6" hidden="false" customHeight="true" outlineLevel="0" collapsed="false">
      <c r="A24" s="410" t="s">
        <v>483</v>
      </c>
      <c r="B24" s="385"/>
      <c r="C24" s="630" t="n">
        <f aca="false">IF(C23&lt;=0,"N/A",+'Book Income Statement'!D63/C23)</f>
        <v>0.828821609141281</v>
      </c>
      <c r="D24" s="630" t="n">
        <f aca="false">IF(D23&lt;=0,"N/A",+'Book Income Statement'!E63/D23)</f>
        <v>1.46489510519704</v>
      </c>
      <c r="E24" s="630" t="n">
        <f aca="false">IF(E23&lt;=0,"N/A",+'Book Income Statement'!F63/E23)</f>
        <v>1.31920828801532</v>
      </c>
      <c r="F24" s="630" t="n">
        <f aca="false">IF(F23&lt;=0,"N/A",+'Book Income Statement'!G63/F23)</f>
        <v>1.48368240855124</v>
      </c>
      <c r="G24" s="630" t="n">
        <f aca="false">IF(G23&lt;=0,"N/A",+'Book Income Statement'!H63/G23)</f>
        <v>2.25307232414482</v>
      </c>
      <c r="H24" s="630" t="n">
        <f aca="false">IF(H23&lt;=0,"N/A",+'Book Income Statement'!I63/H23)</f>
        <v>2.34577357835053</v>
      </c>
      <c r="I24" s="630" t="n">
        <f aca="false">IF(I23&lt;=0,"N/A",+'Book Income Statement'!J63/I23)</f>
        <v>2.31599853634415</v>
      </c>
      <c r="J24" s="630" t="n">
        <f aca="false">IF(J23&lt;=0,"N/A",+'Book Income Statement'!K63/J23)</f>
        <v>2.47199724464971</v>
      </c>
      <c r="K24" s="630" t="n">
        <f aca="false">IF(K23&lt;=0,"N/A",+'Book Income Statement'!L63/K23)</f>
        <v>1.97188821940864</v>
      </c>
      <c r="L24" s="630" t="n">
        <f aca="false">IF(L23&lt;=0,"N/A",+'Book Income Statement'!M63/L23)</f>
        <v>1.821649687477</v>
      </c>
      <c r="M24" s="630" t="n">
        <f aca="false">IF(M23&lt;=0,"N/A",+'Book Income Statement'!N63/M23)</f>
        <v>4.43606334958283</v>
      </c>
      <c r="N24" s="630" t="n">
        <f aca="false">IF(N23&lt;=0,"N/A",+'Book Income Statement'!O63/N23)</f>
        <v>4.30181243859483</v>
      </c>
      <c r="O24" s="630" t="n">
        <f aca="false">IF(O23&lt;=0,"N/A",+'Book Income Statement'!P63/O23)</f>
        <v>4.49609478341221</v>
      </c>
      <c r="P24" s="630" t="n">
        <f aca="false">IF(P23&lt;=0,"N/A",+'Book Income Statement'!Q63/P23)</f>
        <v>4.70329764864302</v>
      </c>
      <c r="Q24" s="630" t="n">
        <f aca="false">IF(Q23&lt;=0,"N/A",+'Book Income Statement'!R63/Q23)</f>
        <v>4.92481041768702</v>
      </c>
      <c r="R24" s="630" t="n">
        <f aca="false">IF(R23&lt;=0,"N/A",+'Book Income Statement'!S63/R23)</f>
        <v>5.16224578656395</v>
      </c>
      <c r="S24" s="630" t="n">
        <f aca="false">IF(S23&lt;=0,"N/A",+'Book Income Statement'!T63/S23)</f>
        <v>3.53865987609269</v>
      </c>
      <c r="T24" s="630" t="n">
        <f aca="false">IF(T23&lt;=0,"N/A",+'Book Income Statement'!U63/T23)</f>
        <v>3.28744189083818</v>
      </c>
      <c r="U24" s="630" t="n">
        <f aca="false">IF(U23&lt;=0,"N/A",+'Book Income Statement'!V63/U23)</f>
        <v>2.92406348938415</v>
      </c>
      <c r="V24" s="630" t="n">
        <f aca="false">IF(V23&lt;=0,"N/A",+'Book Income Statement'!W63/V23)</f>
        <v>2.81209199702241</v>
      </c>
      <c r="W24" s="630" t="str">
        <f aca="false">IF(W23&lt;=0,"N/A",+'Book Income Statement'!X63/W23)</f>
        <v>N/A</v>
      </c>
      <c r="X24" s="630" t="str">
        <f aca="false">IF(X23&lt;=0,"N/A",+'Book Income Statement'!Y63/X23)</f>
        <v>N/A</v>
      </c>
      <c r="Y24" s="630" t="str">
        <f aca="false">IF(Y23&lt;=0,"N/A",+'Book Income Statement'!Z63/Y23)</f>
        <v>N/A</v>
      </c>
      <c r="Z24" s="630" t="str">
        <f aca="false">IF(Z23&lt;=0,"N/A",+'Book Income Statement'!AA63/Z23)</f>
        <v>N/A</v>
      </c>
      <c r="AA24" s="631" t="str">
        <f aca="false">IF(AA23&lt;=0,"N/A",+'Book Income Statement'!AB63/AA23)</f>
        <v>N/A</v>
      </c>
      <c r="AB24" s="1"/>
      <c r="AC24" s="1"/>
      <c r="AD24" s="1"/>
      <c r="AE24" s="1"/>
      <c r="AF24" s="1"/>
    </row>
    <row r="25" customFormat="false" ht="12.6" hidden="false" customHeight="true" outlineLevel="0" collapsed="false">
      <c r="A25" s="410" t="s">
        <v>484</v>
      </c>
      <c r="B25" s="30" t="n">
        <f aca="false">B29+B34</f>
        <v>60157.51821</v>
      </c>
      <c r="C25" s="623" t="n">
        <f aca="false">(($B$29+$B$34)-(IF('Project Assumptions'!$I$34="Normal",SUM('Debt Amortization'!$E$53:E53),SUM('Debt Amortization'!$E$108:E108))))/($B$29+$B$34)</f>
        <v>1</v>
      </c>
      <c r="D25" s="623" t="n">
        <f aca="false">(($B$29+$B$34)-(IF('Project Assumptions'!$I$34="Normal",SUM('Debt Amortization'!$E$53:F53),SUM('Debt Amortization'!$E$108:F108))))/($B$29+$B$34)</f>
        <v>1</v>
      </c>
      <c r="E25" s="623" t="n">
        <f aca="false">(($B$29+$B$34)-(IF('Project Assumptions'!$I$34="Normal",SUM('Debt Amortization'!$E$53:G53),SUM('Debt Amortization'!$E$108:G108))))/($B$29+$B$34)</f>
        <v>1</v>
      </c>
      <c r="F25" s="623" t="n">
        <f aca="false">(($B$29+$B$34)-(IF('Project Assumptions'!$I$34="Normal",SUM('Debt Amortization'!$E$53:H53),SUM('Debt Amortization'!$E$108:H108))))/($B$29+$B$34)</f>
        <v>1</v>
      </c>
      <c r="G25" s="623" t="n">
        <f aca="false">(($B$29+$B$34)-(IF('Project Assumptions'!$I$34="Normal",SUM('Debt Amortization'!$E$53:I53),SUM('Debt Amortization'!$E$108:I108))))/($B$29+$B$34)</f>
        <v>1</v>
      </c>
      <c r="H25" s="623" t="n">
        <f aca="false">(($B$29+$B$34)-(IF('Project Assumptions'!$I$34="Normal",SUM('Debt Amortization'!$E$53:J53),SUM('Debt Amortization'!$E$108:J108))))/($B$29+$B$34)</f>
        <v>1</v>
      </c>
      <c r="I25" s="623" t="n">
        <f aca="false">(($B$29+$B$34)-(IF('Project Assumptions'!$I$34="Normal",SUM('Debt Amortization'!$E$53:K53),SUM('Debt Amortization'!$E$108:K108))))/($B$29+$B$34)</f>
        <v>1</v>
      </c>
      <c r="J25" s="623" t="n">
        <f aca="false">(($B$29+$B$34)-(IF('Project Assumptions'!$I$34="Normal",SUM('Debt Amortization'!$E$53:L53),SUM('Debt Amortization'!$E$108:L108))))/($B$29+$B$34)</f>
        <v>1</v>
      </c>
      <c r="K25" s="623" t="n">
        <f aca="false">(($B$29+$B$34)-(IF('Project Assumptions'!$I$34="Normal",SUM('Debt Amortization'!$E$53:M53),SUM('Debt Amortization'!$E$108:M108))))/($B$29+$B$34)</f>
        <v>1</v>
      </c>
      <c r="L25" s="623" t="n">
        <f aca="false">(($B$29+$B$34)-(IF('Project Assumptions'!$I$34="Normal",SUM('Debt Amortization'!$E$53:N53),SUM('Debt Amortization'!$E$108:N108))))/($B$29+$B$34)</f>
        <v>1</v>
      </c>
      <c r="M25" s="623" t="n">
        <f aca="false">(($B$29+$B$34)-(IF('Project Assumptions'!$I$34="Normal",SUM('Debt Amortization'!$E$53:O53),SUM('Debt Amortization'!$E$108:O108))))/($B$29+$B$34)</f>
        <v>1</v>
      </c>
      <c r="N25" s="623" t="n">
        <f aca="false">(($B$29+$B$34)-(IF('Project Assumptions'!$I$34="Normal",SUM('Debt Amortization'!$E$53:P53),SUM('Debt Amortization'!$E$108:P108))))/($B$29+$B$34)</f>
        <v>1</v>
      </c>
      <c r="O25" s="623" t="n">
        <f aca="false">(($B$29+$B$34)-(IF('Project Assumptions'!$I$34="Normal",SUM('Debt Amortization'!$E$53:Q53),SUM('Debt Amortization'!$E$108:Q108))))/($B$29+$B$34)</f>
        <v>1</v>
      </c>
      <c r="P25" s="623" t="n">
        <f aca="false">(($B$29+$B$34)-(IF('Project Assumptions'!$I$34="Normal",SUM('Debt Amortization'!$E$53:R53),SUM('Debt Amortization'!$E$108:R108))))/($B$29+$B$34)</f>
        <v>1</v>
      </c>
      <c r="Q25" s="623" t="n">
        <f aca="false">(($B$29+$B$34)-(IF('Project Assumptions'!$I$34="Normal",SUM('Debt Amortization'!$E$53:S53),SUM('Debt Amortization'!$E$108:S108))))/($B$29+$B$34)</f>
        <v>1</v>
      </c>
      <c r="R25" s="623" t="n">
        <f aca="false">(($B$29+$B$34)-(IF('Project Assumptions'!$I$34="Normal",SUM('Debt Amortization'!$E$53:T53),SUM('Debt Amortization'!$E$108:T108))))/($B$29+$B$34)</f>
        <v>1</v>
      </c>
      <c r="S25" s="623" t="n">
        <f aca="false">(($B$29+$B$34)-(IF('Project Assumptions'!$I$34="Normal",SUM('Debt Amortization'!$E$53:U53),SUM('Debt Amortization'!$E$108:U108))))/($B$29+$B$34)</f>
        <v>1</v>
      </c>
      <c r="T25" s="623" t="n">
        <f aca="false">(($B$29+$B$34)-(IF('Project Assumptions'!$I$34="Normal",SUM('Debt Amortization'!$E$53:V53),SUM('Debt Amortization'!$E$108:V108))))/($B$29+$B$34)</f>
        <v>1</v>
      </c>
      <c r="U25" s="623" t="n">
        <f aca="false">(($B$29+$B$34)-(IF('Project Assumptions'!$I$34="Normal",SUM('Debt Amortization'!$E$53:W53),SUM('Debt Amortization'!$E$108:W108))))/($B$29+$B$34)</f>
        <v>1</v>
      </c>
      <c r="V25" s="623" t="n">
        <f aca="false">(($B$29+$B$34)-(IF('Project Assumptions'!$I$34="Normal",SUM('Debt Amortization'!$E$53:X53),SUM('Debt Amortization'!$E$108:X108))))/($B$29+$B$34)</f>
        <v>1</v>
      </c>
      <c r="W25" s="623" t="n">
        <f aca="false">(($B$29+$B$34)-(IF('Project Assumptions'!$I$34="Normal",SUM('Debt Amortization'!$E$53:Y53),SUM('Debt Amortization'!$E$108:Y108))))/($B$29+$B$34)</f>
        <v>1</v>
      </c>
      <c r="X25" s="623" t="n">
        <f aca="false">(($B$29+$B$34)-(IF('Project Assumptions'!$I$34="Normal",SUM('Debt Amortization'!$E$53:Z53),SUM('Debt Amortization'!$E$108:Z108))))/($B$29+$B$34)</f>
        <v>1</v>
      </c>
      <c r="Y25" s="623" t="n">
        <f aca="false">(($B$29+$B$34)-(IF('Project Assumptions'!$I$34="Normal",SUM('Debt Amortization'!$E$53:AA53),SUM('Debt Amortization'!$E$108:AA108))))/($B$29+$B$34)</f>
        <v>1</v>
      </c>
      <c r="Z25" s="623" t="n">
        <f aca="false">(($B$29+$B$34)-(IF('Project Assumptions'!$I$34="Normal",SUM('Debt Amortization'!$E$53:AB53),SUM('Debt Amortization'!$E$108:AB108))))/($B$29+$B$34)</f>
        <v>1</v>
      </c>
      <c r="AA25" s="624" t="n">
        <f aca="false">(($B$29+$B$34)-(IF('Project Assumptions'!$I$34="Normal",SUM('Debt Amortization'!$E$53:AC53),SUM('Debt Amortization'!$E$108:AC108))))/($B$29+$B$34)</f>
        <v>1</v>
      </c>
      <c r="AB25" s="1"/>
      <c r="AC25" s="1"/>
      <c r="AD25" s="1"/>
      <c r="AE25" s="1"/>
      <c r="AF25" s="1"/>
    </row>
    <row r="26" customFormat="false" ht="12.6" hidden="false" customHeight="true" outlineLevel="0" collapsed="false">
      <c r="A26" s="410" t="s">
        <v>485</v>
      </c>
      <c r="B26" s="30" t="n">
        <f aca="false">+'Project Assumptions'!C50</f>
        <v>0</v>
      </c>
      <c r="C26" s="30" t="n">
        <f aca="false">B26+'Cash Flow Statement'!D16-'Cash Flow Statement'!D17</f>
        <v>0</v>
      </c>
      <c r="D26" s="30" t="n">
        <f aca="false">C26+'Cash Flow Statement'!E16-'Cash Flow Statement'!E17</f>
        <v>0</v>
      </c>
      <c r="E26" s="30" t="n">
        <f aca="false">D26+'Cash Flow Statement'!F16-'Cash Flow Statement'!F17</f>
        <v>0</v>
      </c>
      <c r="F26" s="30" t="n">
        <f aca="false">E26+'Cash Flow Statement'!G16-'Cash Flow Statement'!G17</f>
        <v>0</v>
      </c>
      <c r="G26" s="30" t="n">
        <f aca="false">F26+'Cash Flow Statement'!H16-'Cash Flow Statement'!H17</f>
        <v>0</v>
      </c>
      <c r="H26" s="30" t="n">
        <f aca="false">G26+'Cash Flow Statement'!I16-'Cash Flow Statement'!I17</f>
        <v>0</v>
      </c>
      <c r="I26" s="30" t="n">
        <f aca="false">H26+'Cash Flow Statement'!J16-'Cash Flow Statement'!J17</f>
        <v>0</v>
      </c>
      <c r="J26" s="30" t="n">
        <f aca="false">I26+'Cash Flow Statement'!K16-'Cash Flow Statement'!K17</f>
        <v>0</v>
      </c>
      <c r="K26" s="30" t="n">
        <f aca="false">J26+'Cash Flow Statement'!L16-'Cash Flow Statement'!L17</f>
        <v>0</v>
      </c>
      <c r="L26" s="30" t="n">
        <f aca="false">K26+'Cash Flow Statement'!M16-'Cash Flow Statement'!M17</f>
        <v>0</v>
      </c>
      <c r="M26" s="30" t="n">
        <f aca="false">L26+'Cash Flow Statement'!N16-'Cash Flow Statement'!N17</f>
        <v>0</v>
      </c>
      <c r="N26" s="30" t="n">
        <f aca="false">M26+'Cash Flow Statement'!O16-'Cash Flow Statement'!O17</f>
        <v>0</v>
      </c>
      <c r="O26" s="30" t="n">
        <f aca="false">N26+'Cash Flow Statement'!P16-'Cash Flow Statement'!P17</f>
        <v>0</v>
      </c>
      <c r="P26" s="30" t="n">
        <f aca="false">O26+'Cash Flow Statement'!Q16-'Cash Flow Statement'!Q17</f>
        <v>0</v>
      </c>
      <c r="Q26" s="30" t="n">
        <f aca="false">P26+'Cash Flow Statement'!R16+'Cash Flow Statement'!R17</f>
        <v>0</v>
      </c>
      <c r="R26" s="30" t="n">
        <f aca="false">Q26+'Cash Flow Statement'!S16+'Cash Flow Statement'!S17</f>
        <v>0</v>
      </c>
      <c r="S26" s="30" t="n">
        <f aca="false">R26+'Cash Flow Statement'!T16+'Cash Flow Statement'!T17</f>
        <v>0</v>
      </c>
      <c r="T26" s="30" t="n">
        <f aca="false">S26+'Cash Flow Statement'!U16+'Cash Flow Statement'!U17</f>
        <v>0</v>
      </c>
      <c r="U26" s="30" t="n">
        <f aca="false">T26+'Cash Flow Statement'!V16+'Cash Flow Statement'!V17</f>
        <v>0</v>
      </c>
      <c r="V26" s="30" t="n">
        <f aca="false">U26+'Cash Flow Statement'!W16+'Cash Flow Statement'!W17</f>
        <v>0</v>
      </c>
      <c r="W26" s="30" t="n">
        <f aca="false">V26+'Cash Flow Statement'!X16+'Cash Flow Statement'!X17</f>
        <v>0</v>
      </c>
      <c r="X26" s="30" t="n">
        <f aca="false">W26+'Cash Flow Statement'!Y16+'Cash Flow Statement'!Y17</f>
        <v>0</v>
      </c>
      <c r="Y26" s="30" t="n">
        <f aca="false">X26+'Cash Flow Statement'!Z16+'Cash Flow Statement'!Z17</f>
        <v>0</v>
      </c>
      <c r="Z26" s="30" t="n">
        <f aca="false">Y26+'Cash Flow Statement'!AA16+'Cash Flow Statement'!AA17</f>
        <v>0</v>
      </c>
      <c r="AA26" s="437" t="n">
        <f aca="false">Z26+'Cash Flow Statement'!AB16+'Cash Flow Statement'!AB17</f>
        <v>0</v>
      </c>
      <c r="AB26" s="1"/>
      <c r="AC26" s="1"/>
      <c r="AD26" s="1"/>
      <c r="AE26" s="1"/>
      <c r="AF26" s="1"/>
    </row>
    <row r="27" customFormat="false" ht="12.6" hidden="false" customHeight="true" outlineLevel="0" collapsed="false">
      <c r="A27" s="410" t="str">
        <f aca="false">"  Debt Reserve Interest Income @ "&amp;'Project Assumptions'!I48*100&amp;"%"</f>
        <v>  Debt Reserve Interest Income @ 0%</v>
      </c>
      <c r="B27" s="502"/>
      <c r="C27" s="30" t="n">
        <f aca="false">C26*'Project Assumptions'!$I$48*(SUM('Book Income Statement'!D6:D8)/12)</f>
        <v>0</v>
      </c>
      <c r="D27" s="30" t="n">
        <f aca="false">D26*'Project Assumptions'!$I$48*(SUM('Book Income Statement'!E6:E8)/12)</f>
        <v>0</v>
      </c>
      <c r="E27" s="30" t="n">
        <f aca="false">E26*'Project Assumptions'!$I$48*(SUM('Book Income Statement'!F6:F8)/12)</f>
        <v>0</v>
      </c>
      <c r="F27" s="30" t="n">
        <f aca="false">F26*'Project Assumptions'!$I$48*(SUM('Book Income Statement'!G6:G8)/12)</f>
        <v>0</v>
      </c>
      <c r="G27" s="30" t="n">
        <f aca="false">G26*'Project Assumptions'!$I$48*(SUM('Book Income Statement'!H6:H8)/12)</f>
        <v>0</v>
      </c>
      <c r="H27" s="30" t="n">
        <f aca="false">H26*'Project Assumptions'!$I$48*(SUM('Book Income Statement'!I6:I8)/12)</f>
        <v>0</v>
      </c>
      <c r="I27" s="30" t="n">
        <f aca="false">I26*'Project Assumptions'!$I$48*(SUM('Book Income Statement'!J6:J8)/12)</f>
        <v>0</v>
      </c>
      <c r="J27" s="30" t="n">
        <f aca="false">J26*'Project Assumptions'!$I$48*(SUM('Book Income Statement'!K6:K8)/12)</f>
        <v>0</v>
      </c>
      <c r="K27" s="30" t="n">
        <f aca="false">K26*'Project Assumptions'!$I$48*(SUM('Book Income Statement'!L6:L8)/12)</f>
        <v>0</v>
      </c>
      <c r="L27" s="30" t="n">
        <f aca="false">L26*'Project Assumptions'!$I$48*(SUM('Book Income Statement'!M6:M8)/12)</f>
        <v>0</v>
      </c>
      <c r="M27" s="30" t="n">
        <f aca="false">M26*'Project Assumptions'!$I$48*(SUM('Book Income Statement'!N6:N8)/12)</f>
        <v>0</v>
      </c>
      <c r="N27" s="30" t="n">
        <f aca="false">N26*'Project Assumptions'!$I$48*(SUM('Book Income Statement'!O6:O8)/12)</f>
        <v>0</v>
      </c>
      <c r="O27" s="30" t="n">
        <f aca="false">O26*'Project Assumptions'!$I$48*(SUM('Book Income Statement'!P6:P8)/12)</f>
        <v>0</v>
      </c>
      <c r="P27" s="30" t="n">
        <f aca="false">P26*'Project Assumptions'!$I$48*(SUM('Book Income Statement'!Q6:Q8)/12)</f>
        <v>0</v>
      </c>
      <c r="Q27" s="30" t="n">
        <f aca="false">Q26*'Project Assumptions'!$I$48*(SUM('Book Income Statement'!R6:R8)/12)</f>
        <v>0</v>
      </c>
      <c r="R27" s="30" t="n">
        <f aca="false">R26*'Project Assumptions'!$I$48*(SUM('Book Income Statement'!S6:S8)/12)</f>
        <v>0</v>
      </c>
      <c r="S27" s="30" t="n">
        <f aca="false">S26*'Project Assumptions'!$I$48*(SUM('Book Income Statement'!T6:T8)/12)</f>
        <v>0</v>
      </c>
      <c r="T27" s="30" t="n">
        <f aca="false">T26*'Project Assumptions'!$I$48*(SUM('Book Income Statement'!U6:U8)/12)</f>
        <v>0</v>
      </c>
      <c r="U27" s="30" t="n">
        <f aca="false">U26*'Project Assumptions'!$I$48*(SUM('Book Income Statement'!V6:V8)/12)</f>
        <v>0</v>
      </c>
      <c r="V27" s="30" t="n">
        <f aca="false">V26*'Project Assumptions'!$I$48*(SUM('Book Income Statement'!W6:W8)/12)</f>
        <v>0</v>
      </c>
      <c r="W27" s="30" t="n">
        <f aca="false">W26*'Project Assumptions'!$I$48*(SUM('Book Income Statement'!X6:X8)/12)</f>
        <v>0</v>
      </c>
      <c r="X27" s="30" t="n">
        <f aca="false">X26*'Project Assumptions'!$I$48*(SUM('Book Income Statement'!Y6:Y8)/12)</f>
        <v>0</v>
      </c>
      <c r="Y27" s="30" t="n">
        <f aca="false">Y26*'Project Assumptions'!$I$48*(SUM('Book Income Statement'!Z6:Z8)/12)</f>
        <v>0</v>
      </c>
      <c r="Z27" s="30" t="n">
        <f aca="false">Z26*'Project Assumptions'!$I$48*(SUM('Book Income Statement'!AA6:AA8)/12)</f>
        <v>0</v>
      </c>
      <c r="AA27" s="437" t="n">
        <f aca="false">AA26*'Project Assumptions'!$I$48*(SUM('Book Income Statement'!AB6:AB8)/12)</f>
        <v>0</v>
      </c>
      <c r="AB27" s="30"/>
      <c r="AC27" s="30"/>
      <c r="AD27" s="30"/>
      <c r="AE27" s="30"/>
      <c r="AF27" s="30"/>
    </row>
    <row r="28" customFormat="false" ht="12.6" hidden="false" customHeight="true" outlineLevel="0" collapsed="false">
      <c r="A28" s="410"/>
      <c r="B28" s="385"/>
      <c r="C28" s="632"/>
      <c r="D28" s="632"/>
      <c r="E28" s="632"/>
      <c r="F28" s="632"/>
      <c r="G28" s="632"/>
      <c r="H28" s="632"/>
      <c r="I28" s="632"/>
      <c r="J28" s="632"/>
      <c r="K28" s="632"/>
      <c r="L28" s="632"/>
      <c r="M28" s="632"/>
      <c r="N28" s="632"/>
      <c r="O28" s="632"/>
      <c r="P28" s="632"/>
      <c r="Q28" s="632"/>
      <c r="R28" s="632"/>
      <c r="S28" s="632"/>
      <c r="T28" s="632"/>
      <c r="U28" s="632"/>
      <c r="V28" s="632"/>
      <c r="W28" s="632"/>
      <c r="X28" s="632"/>
      <c r="Y28" s="632"/>
      <c r="Z28" s="632"/>
      <c r="AA28" s="633"/>
      <c r="AB28" s="1"/>
      <c r="AC28" s="1"/>
      <c r="AD28" s="1"/>
      <c r="AE28" s="1"/>
      <c r="AF28" s="1"/>
    </row>
    <row r="29" customFormat="false" ht="12.6" hidden="false" customHeight="true" outlineLevel="0" collapsed="false">
      <c r="A29" s="433" t="s">
        <v>230</v>
      </c>
      <c r="B29" s="30" t="n">
        <f aca="false">IF('Project Assumptions'!$I$34="Normal",'Debt Amortization'!B19,'Debt Amortization'!C69)</f>
        <v>20924.35416</v>
      </c>
      <c r="C29" s="632"/>
      <c r="D29" s="632"/>
      <c r="E29" s="632"/>
      <c r="F29" s="632"/>
      <c r="G29" s="632"/>
      <c r="H29" s="632"/>
      <c r="I29" s="632"/>
      <c r="J29" s="632"/>
      <c r="K29" s="632"/>
      <c r="L29" s="632"/>
      <c r="M29" s="632"/>
      <c r="N29" s="632"/>
      <c r="O29" s="632"/>
      <c r="P29" s="632"/>
      <c r="Q29" s="632"/>
      <c r="R29" s="632"/>
      <c r="S29" s="632"/>
      <c r="T29" s="632"/>
      <c r="U29" s="632"/>
      <c r="V29" s="632"/>
      <c r="W29" s="632"/>
      <c r="X29" s="632"/>
      <c r="Y29" s="632"/>
      <c r="Z29" s="632"/>
      <c r="AA29" s="633"/>
      <c r="AB29" s="1"/>
      <c r="AC29" s="1"/>
      <c r="AD29" s="1"/>
      <c r="AE29" s="1"/>
      <c r="AF29" s="1"/>
    </row>
    <row r="30" customFormat="false" ht="12.6" hidden="false" customHeight="true" outlineLevel="0" collapsed="false">
      <c r="A30" s="410" t="s">
        <v>486</v>
      </c>
      <c r="B30" s="385"/>
      <c r="C30" s="30" t="n">
        <f aca="false">IF('Project Assumptions'!$I$34="Normal",'Debt Amortization'!E29,'Debt Amortization'!E72)</f>
        <v>6638.25135726</v>
      </c>
      <c r="D30" s="30" t="n">
        <f aca="false">IF('Project Assumptions'!$I$34="Normal",'Debt Amortization'!F29,'Debt Amortization'!F72)</f>
        <v>6286.460652945</v>
      </c>
      <c r="E30" s="30" t="n">
        <f aca="false">IF('Project Assumptions'!$I$34="Normal",'Debt Amortization'!G29,'Debt Amortization'!G72)</f>
        <v>5934.66994863</v>
      </c>
      <c r="F30" s="30" t="n">
        <f aca="false">IF('Project Assumptions'!$I$34="Normal",'Debt Amortization'!H29,'Debt Amortization'!H72)</f>
        <v>5582.879244315</v>
      </c>
      <c r="G30" s="30" t="n">
        <f aca="false">IF('Project Assumptions'!$I$34="Normal",'Debt Amortization'!I29,'Debt Amortization'!I72)</f>
        <v>0</v>
      </c>
      <c r="H30" s="30" t="n">
        <f aca="false">IF('Project Assumptions'!$I$34="Normal",'Debt Amortization'!J29,'Debt Amortization'!J72)</f>
        <v>0</v>
      </c>
      <c r="I30" s="30" t="n">
        <f aca="false">IF('Project Assumptions'!$I$34="Normal",'Debt Amortization'!K29,'Debt Amortization'!K72)</f>
        <v>0</v>
      </c>
      <c r="J30" s="30" t="n">
        <f aca="false">IF('Project Assumptions'!$I$34="Normal",'Debt Amortization'!L29,'Debt Amortization'!L72)</f>
        <v>0</v>
      </c>
      <c r="K30" s="30" t="n">
        <f aca="false">IF('Project Assumptions'!$I$34="Normal",'Debt Amortization'!M29,'Debt Amortization'!M72)</f>
        <v>0</v>
      </c>
      <c r="L30" s="30" t="n">
        <f aca="false">IF('Project Assumptions'!$I$34="Normal",'Debt Amortization'!N29,'Debt Amortization'!N72)</f>
        <v>0</v>
      </c>
      <c r="M30" s="30" t="n">
        <f aca="false">IF('Project Assumptions'!$I$34="Normal",'Debt Amortization'!O29,'Debt Amortization'!O72)</f>
        <v>0</v>
      </c>
      <c r="N30" s="30" t="n">
        <f aca="false">IF('Project Assumptions'!$I$34="Normal",'Debt Amortization'!P29,'Debt Amortization'!P72)</f>
        <v>0</v>
      </c>
      <c r="O30" s="30" t="n">
        <f aca="false">IF('Project Assumptions'!$I$34="Normal",'Debt Amortization'!Q29,'Debt Amortization'!Q72)</f>
        <v>0</v>
      </c>
      <c r="P30" s="30" t="n">
        <f aca="false">IF('Project Assumptions'!$I$34="Normal",'Debt Amortization'!R29,'Debt Amortization'!R72)</f>
        <v>0</v>
      </c>
      <c r="Q30" s="30" t="n">
        <f aca="false">IF('Project Assumptions'!$I$34="Normal",'Debt Amortization'!S29,'Debt Amortization'!S72)</f>
        <v>0</v>
      </c>
      <c r="R30" s="30" t="n">
        <f aca="false">IF('Project Assumptions'!$I$34="Normal",'Debt Amortization'!T29,'Debt Amortization'!T72)</f>
        <v>0</v>
      </c>
      <c r="S30" s="30" t="n">
        <f aca="false">IF('Project Assumptions'!$I$34="Normal",'Debt Amortization'!U29,'Debt Amortization'!U72)</f>
        <v>0</v>
      </c>
      <c r="T30" s="30" t="n">
        <f aca="false">IF('Project Assumptions'!$I$34="Normal",'Debt Amortization'!V29,'Debt Amortization'!V72)</f>
        <v>0</v>
      </c>
      <c r="U30" s="30" t="n">
        <f aca="false">IF('Project Assumptions'!$I$34="Normal",'Debt Amortization'!W29,'Debt Amortization'!W72)</f>
        <v>0</v>
      </c>
      <c r="V30" s="30" t="n">
        <f aca="false">IF('Project Assumptions'!$I$34="Normal",'Debt Amortization'!X29,'Debt Amortization'!X72)</f>
        <v>0</v>
      </c>
      <c r="W30" s="30" t="n">
        <f aca="false">IF('Project Assumptions'!$I$34="Normal",'Debt Amortization'!Y29,'Debt Amortization'!Y72)</f>
        <v>0</v>
      </c>
      <c r="X30" s="30" t="n">
        <f aca="false">IF('Project Assumptions'!$I$34="Normal",'Debt Amortization'!Z29,'Debt Amortization'!Z72)</f>
        <v>0</v>
      </c>
      <c r="Y30" s="30" t="n">
        <f aca="false">IF('Project Assumptions'!$I$34="Normal",'Debt Amortization'!AA29,'Debt Amortization'!AA72)</f>
        <v>0</v>
      </c>
      <c r="Z30" s="30" t="n">
        <f aca="false">IF('Project Assumptions'!$I$34="Normal",'Debt Amortization'!AB29,'Debt Amortization'!AB72)</f>
        <v>0</v>
      </c>
      <c r="AA30" s="437" t="n">
        <f aca="false">IF('Project Assumptions'!$I$34="Normal",'Debt Amortization'!AC29,'Debt Amortization'!AC72)</f>
        <v>0</v>
      </c>
      <c r="AB30" s="1"/>
      <c r="AC30" s="1"/>
      <c r="AD30" s="1"/>
      <c r="AE30" s="1"/>
      <c r="AF30" s="1"/>
    </row>
    <row r="31" customFormat="false" ht="12.6" hidden="false" customHeight="true" outlineLevel="0" collapsed="false">
      <c r="A31" s="410" t="s">
        <v>487</v>
      </c>
      <c r="B31" s="385"/>
      <c r="C31" s="634" t="n">
        <f aca="false">IF(C30&lt;1,"N/A",'Book Income Statement'!D63/C30)</f>
        <v>1.9208871501694</v>
      </c>
      <c r="D31" s="634" t="n">
        <f aca="false">IF(D30&lt;1,"N/A",+'Book Income Statement'!E63/D30)</f>
        <v>3.50307098257978</v>
      </c>
      <c r="E31" s="634" t="n">
        <f aca="false">IF(E30&lt;1,"N/A",+'Book Income Statement'!F63/E30)</f>
        <v>3.69953911743951</v>
      </c>
      <c r="F31" s="634" t="n">
        <f aca="false">IF(F30&lt;1,"N/A",+'Book Income Statement'!G63/F30)</f>
        <v>4.81133285901624</v>
      </c>
      <c r="G31" s="634" t="str">
        <f aca="false">IF(G30&lt;1,"N/A",+'Book Income Statement'!H63/G30)</f>
        <v>N/A</v>
      </c>
      <c r="H31" s="634" t="str">
        <f aca="false">IF(H30&lt;1,"N/A",+'Book Income Statement'!I63/H30)</f>
        <v>N/A</v>
      </c>
      <c r="I31" s="634" t="str">
        <f aca="false">IF(I30&lt;1,"N/A",+'Book Income Statement'!J63/I30)</f>
        <v>N/A</v>
      </c>
      <c r="J31" s="634" t="str">
        <f aca="false">IF(J30&lt;1,"N/A",+'Book Income Statement'!K63/J30)</f>
        <v>N/A</v>
      </c>
      <c r="K31" s="634" t="str">
        <f aca="false">IF(K30&lt;1,"N/A",+'Book Income Statement'!L63/K30)</f>
        <v>N/A</v>
      </c>
      <c r="L31" s="634" t="str">
        <f aca="false">IF(L30&lt;1,"N/A",+'Book Income Statement'!M63/L30)</f>
        <v>N/A</v>
      </c>
      <c r="M31" s="634" t="str">
        <f aca="false">IF(M30&lt;1,"N/A",+'Book Income Statement'!N63/M30)</f>
        <v>N/A</v>
      </c>
      <c r="N31" s="634" t="str">
        <f aca="false">IF(N30&lt;1,"N/A",+'Book Income Statement'!O63/N30)</f>
        <v>N/A</v>
      </c>
      <c r="O31" s="634" t="str">
        <f aca="false">IF(O30&lt;1,"N/A",+'Book Income Statement'!P63/O30)</f>
        <v>N/A</v>
      </c>
      <c r="P31" s="634" t="str">
        <f aca="false">IF(P30&lt;1,"N/A",+'Book Income Statement'!Q63/P30)</f>
        <v>N/A</v>
      </c>
      <c r="Q31" s="634" t="str">
        <f aca="false">IF(Q30&lt;1,"N/A",+'Book Income Statement'!R63/Q30)</f>
        <v>N/A</v>
      </c>
      <c r="R31" s="634" t="str">
        <f aca="false">IF(R30&lt;1,"N/A",+'Book Income Statement'!S63/R30)</f>
        <v>N/A</v>
      </c>
      <c r="S31" s="634" t="str">
        <f aca="false">IF(S30&lt;1,"N/A",+'Book Income Statement'!T63/S30)</f>
        <v>N/A</v>
      </c>
      <c r="T31" s="634" t="str">
        <f aca="false">IF(T30&lt;1,"N/A",+'Book Income Statement'!U63/T30)</f>
        <v>N/A</v>
      </c>
      <c r="U31" s="634" t="str">
        <f aca="false">IF(U30&lt;1,"N/A",+'Book Income Statement'!V63/U30)</f>
        <v>N/A</v>
      </c>
      <c r="V31" s="634" t="str">
        <f aca="false">IF(V30&lt;1,"N/A",+'Book Income Statement'!W63/V30)</f>
        <v>N/A</v>
      </c>
      <c r="W31" s="634" t="str">
        <f aca="false">IF(W30&lt;1,"N/A",+'Book Income Statement'!X63/W30)</f>
        <v>N/A</v>
      </c>
      <c r="X31" s="634" t="str">
        <f aca="false">IF(X30&lt;1,"N/A",+'Book Income Statement'!Y63/X30)</f>
        <v>N/A</v>
      </c>
      <c r="Y31" s="634" t="str">
        <f aca="false">IF(Y30&lt;1,"N/A",+'Book Income Statement'!Z63/Y30)</f>
        <v>N/A</v>
      </c>
      <c r="Z31" s="634" t="str">
        <f aca="false">IF(Z30&lt;1,"N/A",+'Book Income Statement'!AA63/Z30)</f>
        <v>N/A</v>
      </c>
      <c r="AA31" s="635" t="str">
        <f aca="false">IF(AA30&lt;1,"N/A",+'Book Income Statement'!AB63/AA30)</f>
        <v>N/A</v>
      </c>
      <c r="AB31" s="1"/>
      <c r="AC31" s="1"/>
      <c r="AD31" s="1"/>
      <c r="AE31" s="1"/>
      <c r="AF31" s="1"/>
    </row>
    <row r="32" customFormat="false" ht="12.6" hidden="false" customHeight="true" outlineLevel="0" collapsed="false">
      <c r="A32" s="410" t="s">
        <v>484</v>
      </c>
      <c r="B32" s="385"/>
      <c r="C32" s="627" t="n">
        <f aca="false">($B$29-IF('Project Assumptions'!$I$34="Normal",SUM('Debt Amortization'!$E$28:E28),SUM('Debt Amortization'!$E$71:E71)))/$B$29</f>
        <v>0.75</v>
      </c>
      <c r="D32" s="627" t="n">
        <f aca="false">($B$29-IF('Project Assumptions'!$I$34="Normal",SUM('Debt Amortization'!$E$28:F28),SUM('Debt Amortization'!$E$71:F71)))/$B$29</f>
        <v>0.5</v>
      </c>
      <c r="E32" s="627" t="n">
        <f aca="false">($B$29-IF('Project Assumptions'!$I$34="Normal",SUM('Debt Amortization'!$E$28:G28),SUM('Debt Amortization'!$E$71:G71)))/$B$29</f>
        <v>0.25</v>
      </c>
      <c r="F32" s="627" t="n">
        <f aca="false">($B$29-IF('Project Assumptions'!$I$34="Normal",SUM('Debt Amortization'!$E$28:H28),SUM('Debt Amortization'!$E$71:H71)))/$B$29</f>
        <v>0</v>
      </c>
      <c r="G32" s="627" t="n">
        <f aca="false">($B$29-IF('Project Assumptions'!$I$34="Normal",SUM('Debt Amortization'!$E$28:I28),SUM('Debt Amortization'!$E$71:I71)))/$B$29</f>
        <v>0</v>
      </c>
      <c r="H32" s="627" t="n">
        <f aca="false">($B$29-IF('Project Assumptions'!$I$34="Normal",SUM('Debt Amortization'!$E$28:J28),SUM('Debt Amortization'!$E$71:J71)))/$B$29</f>
        <v>0</v>
      </c>
      <c r="I32" s="627" t="n">
        <f aca="false">($B$29-IF('Project Assumptions'!$I$34="Normal",SUM('Debt Amortization'!$E$28:K28),SUM('Debt Amortization'!$E$71:K71)))/$B$29</f>
        <v>0</v>
      </c>
      <c r="J32" s="627" t="n">
        <f aca="false">($B$29-IF('Project Assumptions'!$I$34="Normal",SUM('Debt Amortization'!$E$28:L28),SUM('Debt Amortization'!$E$71:L71)))/$B$29</f>
        <v>0</v>
      </c>
      <c r="K32" s="627" t="n">
        <f aca="false">($B$29-IF('Project Assumptions'!$I$34="Normal",SUM('Debt Amortization'!$E$28:M28),SUM('Debt Amortization'!$E$71:M71)))/$B$29</f>
        <v>0</v>
      </c>
      <c r="L32" s="627" t="n">
        <f aca="false">($B$29-IF('Project Assumptions'!$I$34="Normal",SUM('Debt Amortization'!$E$28:N28),SUM('Debt Amortization'!$E$71:N71)))/$B$29</f>
        <v>0</v>
      </c>
      <c r="M32" s="627" t="n">
        <f aca="false">($B$29-IF('Project Assumptions'!$I$34="Normal",SUM('Debt Amortization'!$E$28:O28),SUM('Debt Amortization'!$E$71:O71)))/$B$29</f>
        <v>0</v>
      </c>
      <c r="N32" s="627" t="n">
        <f aca="false">($B$29-IF('Project Assumptions'!$I$34="Normal",SUM('Debt Amortization'!$E$28:P28),SUM('Debt Amortization'!$E$71:P71)))/$B$29</f>
        <v>0</v>
      </c>
      <c r="O32" s="627" t="n">
        <f aca="false">($B$29-IF('Project Assumptions'!$I$34="Normal",SUM('Debt Amortization'!$E$28:Q28),SUM('Debt Amortization'!$E$71:Q71)))/$B$29</f>
        <v>0</v>
      </c>
      <c r="P32" s="627" t="n">
        <f aca="false">($B$29-IF('Project Assumptions'!$I$34="Normal",SUM('Debt Amortization'!$E$28:R28),SUM('Debt Amortization'!$E$71:R71)))/$B$29</f>
        <v>0</v>
      </c>
      <c r="Q32" s="627" t="n">
        <f aca="false">($B$29-IF('Project Assumptions'!$I$34="Normal",SUM('Debt Amortization'!$E$28:S28),SUM('Debt Amortization'!$E$71:S71)))/$B$29</f>
        <v>0</v>
      </c>
      <c r="R32" s="627" t="n">
        <f aca="false">($B$29-IF('Project Assumptions'!$I$34="Normal",SUM('Debt Amortization'!$E$28:T28),SUM('Debt Amortization'!$E$71:T71)))/$B$29</f>
        <v>0</v>
      </c>
      <c r="S32" s="627" t="n">
        <f aca="false">($B$29-IF('Project Assumptions'!$I$34="Normal",SUM('Debt Amortization'!$E$28:U28),SUM('Debt Amortization'!$E$71:U71)))/$B$29</f>
        <v>0</v>
      </c>
      <c r="T32" s="627" t="n">
        <f aca="false">($B$29-IF('Project Assumptions'!$I$34="Normal",SUM('Debt Amortization'!$E$28:V28),SUM('Debt Amortization'!$E$71:V71)))/$B$29</f>
        <v>0</v>
      </c>
      <c r="U32" s="627" t="n">
        <f aca="false">($B$29-IF('Project Assumptions'!$I$34="Normal",SUM('Debt Amortization'!$E$28:W28),SUM('Debt Amortization'!$E$71:W71)))/$B$29</f>
        <v>0</v>
      </c>
      <c r="V32" s="627" t="n">
        <f aca="false">($B$29-IF('Project Assumptions'!$I$34="Normal",SUM('Debt Amortization'!$E$28:X28),SUM('Debt Amortization'!$E$71:X71)))/$B$29</f>
        <v>0</v>
      </c>
      <c r="W32" s="627" t="n">
        <f aca="false">($B$29-IF('Project Assumptions'!$I$34="Normal",SUM('Debt Amortization'!$E$28:Y28),SUM('Debt Amortization'!$E$71:Y71)))/$B$29</f>
        <v>0</v>
      </c>
      <c r="X32" s="627" t="n">
        <f aca="false">($B$29-IF('Project Assumptions'!$I$34="Normal",SUM('Debt Amortization'!$E$28:Z28),SUM('Debt Amortization'!$E$71:Z71)))/$B$29</f>
        <v>0</v>
      </c>
      <c r="Y32" s="627" t="n">
        <f aca="false">($B$29-IF('Project Assumptions'!$I$34="Normal",SUM('Debt Amortization'!$E$28:AA28),SUM('Debt Amortization'!$E$71:AA71)))/$B$29</f>
        <v>0</v>
      </c>
      <c r="Z32" s="627" t="n">
        <f aca="false">($B$29-IF('Project Assumptions'!$I$34="Normal",SUM('Debt Amortization'!$E$28:AB28),SUM('Debt Amortization'!$E$71:AB71)))/$B$29</f>
        <v>0</v>
      </c>
      <c r="AA32" s="636" t="n">
        <f aca="false">($B$29-IF('Project Assumptions'!$I$34="Normal",SUM('Debt Amortization'!$E$28:AC28),SUM('Debt Amortization'!$E$71:AC71)))/$B$29</f>
        <v>0</v>
      </c>
      <c r="AB32" s="1"/>
      <c r="AC32" s="1"/>
      <c r="AD32" s="1"/>
      <c r="AE32" s="1"/>
      <c r="AF32" s="1"/>
    </row>
    <row r="33" customFormat="false" ht="12.6" hidden="false" customHeight="true" outlineLevel="0" collapsed="false">
      <c r="A33" s="410"/>
      <c r="B33" s="385"/>
      <c r="C33" s="627"/>
      <c r="D33" s="627"/>
      <c r="E33" s="627"/>
      <c r="F33" s="627"/>
      <c r="G33" s="627"/>
      <c r="H33" s="627"/>
      <c r="I33" s="627"/>
      <c r="J33" s="627"/>
      <c r="K33" s="627"/>
      <c r="L33" s="627"/>
      <c r="M33" s="627"/>
      <c r="N33" s="627"/>
      <c r="O33" s="627"/>
      <c r="P33" s="627"/>
      <c r="Q33" s="627"/>
      <c r="R33" s="627"/>
      <c r="S33" s="627"/>
      <c r="T33" s="627"/>
      <c r="U33" s="627"/>
      <c r="V33" s="627"/>
      <c r="W33" s="627"/>
      <c r="X33" s="627"/>
      <c r="Y33" s="627"/>
      <c r="Z33" s="627"/>
      <c r="AA33" s="636"/>
      <c r="AB33" s="1"/>
      <c r="AC33" s="1"/>
      <c r="AD33" s="1"/>
      <c r="AE33" s="1"/>
      <c r="AF33" s="1"/>
    </row>
    <row r="34" customFormat="false" ht="12.6" hidden="false" customHeight="true" outlineLevel="0" collapsed="false">
      <c r="A34" s="433" t="s">
        <v>231</v>
      </c>
      <c r="B34" s="30" t="n">
        <f aca="false">IF('Project Assumptions'!$I$34="Normal",'Debt Amortization'!B20,'Debt Amortization'!C84)</f>
        <v>39233.16405</v>
      </c>
      <c r="C34" s="632"/>
      <c r="D34" s="632"/>
      <c r="E34" s="632"/>
      <c r="F34" s="632"/>
      <c r="G34" s="632"/>
      <c r="H34" s="632"/>
      <c r="I34" s="632"/>
      <c r="J34" s="632"/>
      <c r="K34" s="632"/>
      <c r="L34" s="632"/>
      <c r="M34" s="632"/>
      <c r="N34" s="632"/>
      <c r="O34" s="632"/>
      <c r="P34" s="632"/>
      <c r="Q34" s="632"/>
      <c r="R34" s="632"/>
      <c r="S34" s="632"/>
      <c r="T34" s="632"/>
      <c r="U34" s="632"/>
      <c r="V34" s="632"/>
      <c r="W34" s="632"/>
      <c r="X34" s="632"/>
      <c r="Y34" s="632"/>
      <c r="Z34" s="632"/>
      <c r="AA34" s="633"/>
      <c r="AB34" s="1"/>
      <c r="AC34" s="1"/>
      <c r="AD34" s="1"/>
      <c r="AE34" s="1"/>
      <c r="AF34" s="1"/>
    </row>
    <row r="35" customFormat="false" ht="12.6" hidden="false" customHeight="true" outlineLevel="0" collapsed="false">
      <c r="A35" s="410" t="s">
        <v>486</v>
      </c>
      <c r="B35" s="385"/>
      <c r="C35" s="30" t="n">
        <f aca="false">IF('Project Assumptions'!$I$34="Normal",'Debt Amortization'!E37,'Debt Amortization'!E86)</f>
        <v>0</v>
      </c>
      <c r="D35" s="30" t="n">
        <f aca="false">IF('Project Assumptions'!$I$34="Normal",'Debt Amortization'!F37,'Debt Amortization'!F86)</f>
        <v>0</v>
      </c>
      <c r="E35" s="30" t="n">
        <f aca="false">IF('Project Assumptions'!$I$34="Normal",'Debt Amortization'!G37,'Debt Amortization'!G86)</f>
        <v>1961.6582025</v>
      </c>
      <c r="F35" s="30" t="n">
        <f aca="false">IF('Project Assumptions'!$I$34="Normal",'Debt Amortization'!H37,'Debt Amortization'!H86)</f>
        <v>3923.316405</v>
      </c>
      <c r="G35" s="30" t="n">
        <f aca="false">IF('Project Assumptions'!$I$34="Normal",'Debt Amortization'!I37,'Debt Amortization'!I86)</f>
        <v>3923.316405</v>
      </c>
      <c r="H35" s="30" t="n">
        <f aca="false">IF('Project Assumptions'!$I$34="Normal",'Debt Amortization'!J37,'Debt Amortization'!J86)</f>
        <v>3923.316405</v>
      </c>
      <c r="I35" s="30" t="n">
        <f aca="false">IF('Project Assumptions'!$I$34="Normal",'Debt Amortization'!K37,'Debt Amortization'!K86)</f>
        <v>3923.316405</v>
      </c>
      <c r="J35" s="30" t="n">
        <f aca="false">IF('Project Assumptions'!$I$34="Normal",'Debt Amortization'!L37,'Debt Amortization'!L86)</f>
        <v>3923.316405</v>
      </c>
      <c r="K35" s="30" t="n">
        <f aca="false">IF('Project Assumptions'!$I$34="Normal",'Debt Amortization'!M37,'Debt Amortization'!M86)</f>
        <v>7846.63281</v>
      </c>
      <c r="L35" s="30" t="n">
        <f aca="false">IF('Project Assumptions'!$I$34="Normal",'Debt Amortization'!N37,'Debt Amortization'!N86)</f>
        <v>9808.2910125</v>
      </c>
      <c r="M35" s="30" t="n">
        <f aca="false">IF('Project Assumptions'!$I$34="Normal",'Debt Amortization'!O37,'Debt Amortization'!O86)</f>
        <v>0</v>
      </c>
      <c r="N35" s="30" t="n">
        <f aca="false">IF('Project Assumptions'!$I$34="Normal",'Debt Amortization'!P37,'Debt Amortization'!P86)</f>
        <v>0</v>
      </c>
      <c r="O35" s="30" t="n">
        <f aca="false">IF('Project Assumptions'!$I$34="Normal",'Debt Amortization'!Q37,'Debt Amortization'!Q86)</f>
        <v>0</v>
      </c>
      <c r="P35" s="30" t="n">
        <f aca="false">IF('Project Assumptions'!$I$34="Normal",'Debt Amortization'!R37,'Debt Amortization'!R86)</f>
        <v>0</v>
      </c>
      <c r="Q35" s="30" t="n">
        <f aca="false">IF('Project Assumptions'!$I$34="Normal",'Debt Amortization'!S37,'Debt Amortization'!S86)</f>
        <v>0</v>
      </c>
      <c r="R35" s="30" t="n">
        <f aca="false">IF('Project Assumptions'!$I$34="Normal",'Debt Amortization'!T37,'Debt Amortization'!T86)</f>
        <v>0</v>
      </c>
      <c r="S35" s="30" t="n">
        <f aca="false">IF('Project Assumptions'!$I$34="Normal",'Debt Amortization'!U37,'Debt Amortization'!U86)</f>
        <v>0</v>
      </c>
      <c r="T35" s="30" t="n">
        <f aca="false">IF('Project Assumptions'!$I$34="Normal",'Debt Amortization'!V37,'Debt Amortization'!V86)</f>
        <v>0</v>
      </c>
      <c r="U35" s="30" t="n">
        <f aca="false">IF('Project Assumptions'!$I$34="Normal",'Debt Amortization'!W37,'Debt Amortization'!W86)</f>
        <v>0</v>
      </c>
      <c r="V35" s="30" t="n">
        <f aca="false">IF('Project Assumptions'!$I$34="Normal",'Debt Amortization'!X37,'Debt Amortization'!X86)</f>
        <v>0</v>
      </c>
      <c r="W35" s="30" t="n">
        <f aca="false">IF('Project Assumptions'!$I$34="Normal",'Debt Amortization'!Y37,'Debt Amortization'!Y86)</f>
        <v>0</v>
      </c>
      <c r="X35" s="30" t="n">
        <f aca="false">IF('Project Assumptions'!$I$34="Normal",'Debt Amortization'!Z37,'Debt Amortization'!Z86)</f>
        <v>0</v>
      </c>
      <c r="Y35" s="30" t="n">
        <f aca="false">IF('Project Assumptions'!$I$34="Normal",'Debt Amortization'!AA37,'Debt Amortization'!AA86)</f>
        <v>0</v>
      </c>
      <c r="Z35" s="30" t="n">
        <f aca="false">IF('Project Assumptions'!$I$34="Normal",'Debt Amortization'!AB37,'Debt Amortization'!AB86)</f>
        <v>0</v>
      </c>
      <c r="AA35" s="437" t="n">
        <f aca="false">IF('Project Assumptions'!$I$34="Normal",'Debt Amortization'!AC37,'Debt Amortization'!AC86)</f>
        <v>0</v>
      </c>
      <c r="AB35" s="1"/>
      <c r="AC35" s="1"/>
      <c r="AD35" s="1"/>
      <c r="AE35" s="1"/>
      <c r="AF35" s="1"/>
    </row>
    <row r="36" customFormat="false" ht="12.6" hidden="false" customHeight="true" outlineLevel="0" collapsed="false">
      <c r="A36" s="410" t="s">
        <v>487</v>
      </c>
      <c r="B36" s="385"/>
      <c r="C36" s="634" t="str">
        <f aca="false">IF(C35&lt;1,"N/A",'Book Income Statement'!D63/C35)</f>
        <v>N/A</v>
      </c>
      <c r="D36" s="634" t="str">
        <f aca="false">IF(D35&lt;1,"N/A",'Book Income Statement'!E63/D35)</f>
        <v>N/A</v>
      </c>
      <c r="E36" s="634" t="n">
        <f aca="false">IF(E35&lt;1,"N/A",'Book Income Statement'!F63/E35)</f>
        <v>11.1923390099603</v>
      </c>
      <c r="F36" s="634" t="n">
        <f aca="false">IF(F35&lt;1,"N/A",'Book Income Statement'!G63/F35)</f>
        <v>6.84652665838011</v>
      </c>
      <c r="G36" s="634" t="n">
        <f aca="false">IF(G35&lt;1,"N/A",'Book Income Statement'!H63/G35)</f>
        <v>7.83134143787879</v>
      </c>
      <c r="H36" s="634" t="n">
        <f aca="false">IF(H35&lt;1,"N/A",'Book Income Statement'!I63/H35)</f>
        <v>7.90690369209327</v>
      </c>
      <c r="I36" s="634" t="n">
        <f aca="false">IF(I35&lt;1,"N/A",'Book Income Statement'!J63/I35)</f>
        <v>7.97989802089475</v>
      </c>
      <c r="J36" s="634" t="n">
        <f aca="false">IF(J35&lt;1,"N/A",'Book Income Statement'!K63/J35)</f>
        <v>8.22107674058113</v>
      </c>
      <c r="K36" s="634" t="n">
        <f aca="false">IF(K35&lt;1,"N/A",'Book Income Statement'!L63/K35)</f>
        <v>4.14669359603554</v>
      </c>
      <c r="L36" s="634" t="n">
        <f aca="false">IF(L35&lt;1,"N/A",'Book Income Statement'!M63/L35)</f>
        <v>3.4175882347571</v>
      </c>
      <c r="M36" s="634" t="str">
        <f aca="false">IF(M35&lt;1,"N/A",'Book Income Statement'!N63/M35)</f>
        <v>N/A</v>
      </c>
      <c r="N36" s="634" t="str">
        <f aca="false">IF(N35&lt;1,"N/A",'Book Income Statement'!O63/N35)</f>
        <v>N/A</v>
      </c>
      <c r="O36" s="634" t="str">
        <f aca="false">IF(O35&lt;1,"N/A",'Book Income Statement'!P63/O35)</f>
        <v>N/A</v>
      </c>
      <c r="P36" s="634" t="str">
        <f aca="false">IF(P35&lt;1,"N/A",'Book Income Statement'!Q63/P35)</f>
        <v>N/A</v>
      </c>
      <c r="Q36" s="634" t="str">
        <f aca="false">IF(Q35&lt;1,"N/A",'Book Income Statement'!R63/Q35)</f>
        <v>N/A</v>
      </c>
      <c r="R36" s="634" t="str">
        <f aca="false">IF(R35&lt;1,"N/A",'Book Income Statement'!S63/R35)</f>
        <v>N/A</v>
      </c>
      <c r="S36" s="634" t="str">
        <f aca="false">IF(S35&lt;1,"N/A",'Book Income Statement'!T63/S35)</f>
        <v>N/A</v>
      </c>
      <c r="T36" s="634" t="str">
        <f aca="false">IF(T35&lt;1,"N/A",'Book Income Statement'!U63/T35)</f>
        <v>N/A</v>
      </c>
      <c r="U36" s="634" t="str">
        <f aca="false">IF(U35&lt;1,"N/A",'Book Income Statement'!V63/U35)</f>
        <v>N/A</v>
      </c>
      <c r="V36" s="634" t="str">
        <f aca="false">IF(V35&lt;1,"N/A",'Book Income Statement'!W63/V35)</f>
        <v>N/A</v>
      </c>
      <c r="W36" s="634" t="str">
        <f aca="false">IF(W35&lt;1,"N/A",'Book Income Statement'!X63/W35)</f>
        <v>N/A</v>
      </c>
      <c r="X36" s="634" t="str">
        <f aca="false">IF(X35&lt;1,"N/A",'Book Income Statement'!Y63/X35)</f>
        <v>N/A</v>
      </c>
      <c r="Y36" s="634" t="str">
        <f aca="false">IF(Y35&lt;1,"N/A",'Book Income Statement'!Z63/Y35)</f>
        <v>N/A</v>
      </c>
      <c r="Z36" s="634" t="str">
        <f aca="false">IF(Z35&lt;1,"N/A",'Book Income Statement'!AA63/Z35)</f>
        <v>N/A</v>
      </c>
      <c r="AA36" s="635" t="str">
        <f aca="false">IF(AA35&lt;1,"N/A",'Book Income Statement'!AB63/AA35)</f>
        <v>N/A</v>
      </c>
      <c r="AB36" s="1"/>
      <c r="AC36" s="1"/>
      <c r="AD36" s="1"/>
      <c r="AE36" s="1"/>
      <c r="AF36" s="1"/>
    </row>
    <row r="37" customFormat="false" ht="12.6" hidden="false" customHeight="true" outlineLevel="0" collapsed="false">
      <c r="A37" s="410" t="s">
        <v>484</v>
      </c>
      <c r="B37" s="385"/>
      <c r="C37" s="627" t="n">
        <f aca="false">IF($B$34&gt;0,(($B$34-IF('Project Assumptions'!$I$34="Normal",SUM('Debt Amortization'!$E$36:E36),SUM('Debt Amortization'!$E$86:E86)))/$B$34),0)</f>
        <v>1</v>
      </c>
      <c r="D37" s="627" t="n">
        <f aca="false">IF($B$34&gt;0,(($B$34-IF('Project Assumptions'!$I$34="Normal",SUM('Debt Amortization'!$E$36:F36),SUM('Debt Amortization'!$E$86:F86)))/$B$34),0)</f>
        <v>1</v>
      </c>
      <c r="E37" s="627" t="n">
        <f aca="false">IF($B$34&gt;0,(($B$34-IF('Project Assumptions'!$I$34="Normal",SUM('Debt Amortization'!$E$36:G36),SUM('Debt Amortization'!$E$86:G86)))/$B$34),0)</f>
        <v>0.95</v>
      </c>
      <c r="F37" s="627" t="n">
        <f aca="false">IF($B$34&gt;0,(($B$34-IF('Project Assumptions'!$I$34="Normal",SUM('Debt Amortization'!$E$36:H36),SUM('Debt Amortization'!$E$86:H86)))/$B$34),0)</f>
        <v>0.85</v>
      </c>
      <c r="G37" s="627" t="n">
        <f aca="false">IF($B$34&gt;0,(($B$34-IF('Project Assumptions'!$I$34="Normal",SUM('Debt Amortization'!$E$36:I36),SUM('Debt Amortization'!$E$86:I86)))/$B$34),0)</f>
        <v>0.75</v>
      </c>
      <c r="H37" s="627" t="n">
        <f aca="false">IF($B$34&gt;0,(($B$34-IF('Project Assumptions'!$I$34="Normal",SUM('Debt Amortization'!$E$36:J36),SUM('Debt Amortization'!$E$86:J86)))/$B$34),0)</f>
        <v>0.65</v>
      </c>
      <c r="I37" s="627" t="n">
        <f aca="false">IF($B$34&gt;0,(($B$34-IF('Project Assumptions'!$I$34="Normal",SUM('Debt Amortization'!$E$36:K36),SUM('Debt Amortization'!$E$86:K86)))/$B$34),0)</f>
        <v>0.55</v>
      </c>
      <c r="J37" s="627" t="n">
        <f aca="false">IF($B$34&gt;0,(($B$34-IF('Project Assumptions'!$I$34="Normal",SUM('Debt Amortization'!$E$36:L36),SUM('Debt Amortization'!$E$86:L86)))/$B$34),0)</f>
        <v>0.45</v>
      </c>
      <c r="K37" s="627" t="n">
        <f aca="false">IF($B$34&gt;0,(($B$34-IF('Project Assumptions'!$I$34="Normal",SUM('Debt Amortization'!$E$36:M36),SUM('Debt Amortization'!$E$86:M86)))/$B$34),0)</f>
        <v>0.25</v>
      </c>
      <c r="L37" s="627" t="n">
        <f aca="false">IF($B$34&gt;0,(($B$34-IF('Project Assumptions'!$I$34="Normal",SUM('Debt Amortization'!$E$36:N36),SUM('Debt Amortization'!$E$86:N86)))/$B$34),0)</f>
        <v>0</v>
      </c>
      <c r="M37" s="627" t="n">
        <f aca="false">IF($B$34&gt;0,(($B$34-IF('Project Assumptions'!$I$34="Normal",SUM('Debt Amortization'!$E$36:O36),SUM('Debt Amortization'!$E$86:O86)))/$B$34),0)</f>
        <v>0</v>
      </c>
      <c r="N37" s="627" t="n">
        <f aca="false">IF($B$34&gt;0,(($B$34-IF('Project Assumptions'!$I$34="Normal",SUM('Debt Amortization'!$E$36:P36),SUM('Debt Amortization'!$E$86:P86)))/$B$34),0)</f>
        <v>0</v>
      </c>
      <c r="O37" s="627" t="n">
        <f aca="false">IF($B$34&gt;0,(($B$34-IF('Project Assumptions'!$I$34="Normal",SUM('Debt Amortization'!$E$36:Q36),SUM('Debt Amortization'!$E$86:Q86)))/$B$34),0)</f>
        <v>0</v>
      </c>
      <c r="P37" s="627" t="n">
        <f aca="false">IF($B$34&gt;0,(($B$34-IF('Project Assumptions'!$I$34="Normal",SUM('Debt Amortization'!$E$36:R36),SUM('Debt Amortization'!$E$86:R86)))/$B$34),0)</f>
        <v>0</v>
      </c>
      <c r="Q37" s="627" t="n">
        <f aca="false">IF($B$34&gt;0,(($B$34-IF('Project Assumptions'!$I$34="Normal",SUM('Debt Amortization'!$E$36:S36),SUM('Debt Amortization'!$E$86:S86)))/$B$34),0)</f>
        <v>0</v>
      </c>
      <c r="R37" s="627" t="n">
        <f aca="false">IF($B$34&gt;0,(($B$34-IF('Project Assumptions'!$I$34="Normal",SUM('Debt Amortization'!$E$36:T36),SUM('Debt Amortization'!$E$86:T86)))/$B$34),0)</f>
        <v>0</v>
      </c>
      <c r="S37" s="627" t="n">
        <f aca="false">IF($B$34&gt;0,(($B$34-IF('Project Assumptions'!$I$34="Normal",SUM('Debt Amortization'!$E$36:U36),SUM('Debt Amortization'!$E$86:U86)))/$B$34),0)</f>
        <v>0</v>
      </c>
      <c r="T37" s="627" t="n">
        <f aca="false">IF($B$34&gt;0,(($B$34-IF('Project Assumptions'!$I$34="Normal",SUM('Debt Amortization'!$E$36:V36),SUM('Debt Amortization'!$E$86:V86)))/$B$34),0)</f>
        <v>0</v>
      </c>
      <c r="U37" s="627" t="n">
        <f aca="false">IF($B$34&gt;0,(($B$34-IF('Project Assumptions'!$I$34="Normal",SUM('Debt Amortization'!$E$36:W36),SUM('Debt Amortization'!$E$86:W86)))/$B$34),0)</f>
        <v>0</v>
      </c>
      <c r="V37" s="627" t="n">
        <f aca="false">IF($B$34&gt;0,(($B$34-IF('Project Assumptions'!$I$34="Normal",SUM('Debt Amortization'!$E$36:X36),SUM('Debt Amortization'!$E$86:X86)))/$B$34),0)</f>
        <v>0</v>
      </c>
      <c r="W37" s="627" t="n">
        <f aca="false">IF($B$34&gt;0,(($B$34-IF('Project Assumptions'!$I$34="Normal",SUM('Debt Amortization'!$E$36:Y36),SUM('Debt Amortization'!$E$86:Y86)))/$B$34),0)</f>
        <v>0</v>
      </c>
      <c r="X37" s="627" t="n">
        <f aca="false">IF($B$34&gt;0,(($B$34-IF('Project Assumptions'!$I$34="Normal",SUM('Debt Amortization'!$E$36:Z36),SUM('Debt Amortization'!$E$86:Z86)))/$B$34),0)</f>
        <v>0</v>
      </c>
      <c r="Y37" s="627" t="n">
        <f aca="false">IF($B$34&gt;0,(($B$34-IF('Project Assumptions'!$I$34="Normal",SUM('Debt Amortization'!$E$36:AA36),SUM('Debt Amortization'!$E$86:AA86)))/$B$34),0)</f>
        <v>0</v>
      </c>
      <c r="Z37" s="627" t="n">
        <f aca="false">IF($B$34&gt;0,(($B$34-IF('Project Assumptions'!$I$34="Normal",SUM('Debt Amortization'!$E$36:AB36),SUM('Debt Amortization'!$E$86:AB86)))/$B$34),0)</f>
        <v>0</v>
      </c>
      <c r="AA37" s="636" t="n">
        <f aca="false">IF($B$34&gt;0,(($B$34-IF('Project Assumptions'!$I$34="Normal",SUM('Debt Amortization'!$E$36:AC36),SUM('Debt Amortization'!$E$86:AC86)))/$B$34),0)</f>
        <v>0</v>
      </c>
      <c r="AB37" s="1"/>
      <c r="AC37" s="1"/>
      <c r="AD37" s="1"/>
      <c r="AE37" s="1"/>
      <c r="AF37" s="1"/>
    </row>
    <row r="38" customFormat="false" ht="11.25" hidden="false" customHeight="false" outlineLevel="0" collapsed="false">
      <c r="A38" s="410"/>
      <c r="B38" s="385"/>
      <c r="C38" s="385"/>
      <c r="D38" s="385"/>
      <c r="E38" s="385"/>
      <c r="F38" s="385"/>
      <c r="G38" s="385"/>
      <c r="H38" s="385"/>
      <c r="I38" s="385"/>
      <c r="J38" s="385"/>
      <c r="K38" s="385"/>
      <c r="L38" s="385"/>
      <c r="M38" s="385"/>
      <c r="N38" s="385"/>
      <c r="O38" s="385"/>
      <c r="P38" s="385"/>
      <c r="Q38" s="385"/>
      <c r="R38" s="385"/>
      <c r="S38" s="385"/>
      <c r="T38" s="385"/>
      <c r="U38" s="385"/>
      <c r="V38" s="385"/>
      <c r="W38" s="385"/>
      <c r="X38" s="385"/>
      <c r="Y38" s="385"/>
      <c r="Z38" s="385"/>
      <c r="AA38" s="415"/>
      <c r="AB38" s="1"/>
      <c r="AC38" s="1"/>
      <c r="AD38" s="1"/>
      <c r="AE38" s="1"/>
      <c r="AF38" s="1"/>
    </row>
    <row r="39" customFormat="false" ht="12.6" hidden="false" customHeight="true" outlineLevel="0" collapsed="false">
      <c r="A39" s="433" t="s">
        <v>232</v>
      </c>
      <c r="B39" s="30" t="n">
        <f aca="false">IF('Project Assumptions'!$I$34="Normal",'Debt Amortization'!B21,'Debt Amortization'!C99)</f>
        <v>70619.69529</v>
      </c>
      <c r="C39" s="632"/>
      <c r="D39" s="632"/>
      <c r="E39" s="632"/>
      <c r="F39" s="632"/>
      <c r="G39" s="632"/>
      <c r="H39" s="632"/>
      <c r="I39" s="632"/>
      <c r="J39" s="632"/>
      <c r="K39" s="632"/>
      <c r="L39" s="632"/>
      <c r="M39" s="632"/>
      <c r="N39" s="632"/>
      <c r="O39" s="632"/>
      <c r="P39" s="632"/>
      <c r="Q39" s="632"/>
      <c r="R39" s="632"/>
      <c r="S39" s="632"/>
      <c r="T39" s="632"/>
      <c r="U39" s="632"/>
      <c r="V39" s="632"/>
      <c r="W39" s="632"/>
      <c r="X39" s="632"/>
      <c r="Y39" s="632"/>
      <c r="Z39" s="632"/>
      <c r="AA39" s="633"/>
      <c r="AB39" s="1"/>
      <c r="AC39" s="1"/>
      <c r="AD39" s="1"/>
      <c r="AE39" s="1"/>
      <c r="AF39" s="1"/>
    </row>
    <row r="40" customFormat="false" ht="12.6" hidden="false" customHeight="true" outlineLevel="0" collapsed="false">
      <c r="A40" s="410" t="s">
        <v>486</v>
      </c>
      <c r="B40" s="385"/>
      <c r="C40" s="30" t="n">
        <f aca="false">IF('Project Assumptions'!$I$34="Normal",'Debt Amortization'!E45,'Debt Amortization'!E101)</f>
        <v>0</v>
      </c>
      <c r="D40" s="30" t="n">
        <f aca="false">IF('Project Assumptions'!$I$34="Normal",'Debt Amortization'!F45,'Debt Amortization'!F101)</f>
        <v>0</v>
      </c>
      <c r="E40" s="30" t="n">
        <f aca="false">IF('Project Assumptions'!$I$34="Normal",'Debt Amortization'!G45,'Debt Amortization'!G101)</f>
        <v>0</v>
      </c>
      <c r="F40" s="30" t="n">
        <f aca="false">IF('Project Assumptions'!$I$34="Normal",'Debt Amortization'!H45,'Debt Amortization'!H101)</f>
        <v>0</v>
      </c>
      <c r="G40" s="30" t="n">
        <f aca="false">IF('Project Assumptions'!$I$34="Normal",'Debt Amortization'!I45,'Debt Amortization'!I101)</f>
        <v>1412.3939058</v>
      </c>
      <c r="H40" s="30" t="n">
        <f aca="false">IF('Project Assumptions'!$I$34="Normal",'Debt Amortization'!J45,'Debt Amortization'!J101)</f>
        <v>1412.3939058</v>
      </c>
      <c r="I40" s="30" t="n">
        <f aca="false">IF('Project Assumptions'!$I$34="Normal",'Debt Amortization'!K45,'Debt Amortization'!K101)</f>
        <v>2118.5908587</v>
      </c>
      <c r="J40" s="30" t="n">
        <f aca="false">IF('Project Assumptions'!$I$34="Normal",'Debt Amortization'!L45,'Debt Amortization'!L101)</f>
        <v>2118.5908587</v>
      </c>
      <c r="K40" s="30" t="n">
        <f aca="false">IF('Project Assumptions'!$I$34="Normal",'Debt Amortization'!M45,'Debt Amortization'!M101)</f>
        <v>2118.5908587</v>
      </c>
      <c r="L40" s="30" t="n">
        <f aca="false">IF('Project Assumptions'!$I$34="Normal",'Debt Amortization'!N45,'Debt Amortization'!N101)</f>
        <v>2824.7878116</v>
      </c>
      <c r="M40" s="30" t="n">
        <f aca="false">IF('Project Assumptions'!$I$34="Normal",'Debt Amortization'!O45,'Debt Amortization'!O101)</f>
        <v>2824.7878116</v>
      </c>
      <c r="N40" s="30" t="n">
        <f aca="false">IF('Project Assumptions'!$I$34="Normal",'Debt Amortization'!P45,'Debt Amortization'!P101)</f>
        <v>3530.9847645</v>
      </c>
      <c r="O40" s="30" t="n">
        <f aca="false">IF('Project Assumptions'!$I$34="Normal",'Debt Amortization'!Q45,'Debt Amortization'!Q101)</f>
        <v>3530.9847645</v>
      </c>
      <c r="P40" s="30" t="n">
        <f aca="false">IF('Project Assumptions'!$I$34="Normal",'Debt Amortization'!R45,'Debt Amortization'!R101)</f>
        <v>3530.9847645</v>
      </c>
      <c r="Q40" s="30" t="n">
        <f aca="false">IF('Project Assumptions'!$I$34="Normal",'Debt Amortization'!S45,'Debt Amortization'!S101)</f>
        <v>3530.9847645</v>
      </c>
      <c r="R40" s="30" t="n">
        <f aca="false">IF('Project Assumptions'!$I$34="Normal",'Debt Amortization'!T45,'Debt Amortization'!T101)</f>
        <v>3530.9847645</v>
      </c>
      <c r="S40" s="30" t="n">
        <f aca="false">IF('Project Assumptions'!$I$34="Normal",'Debt Amortization'!U45,'Debt Amortization'!U101)</f>
        <v>7061.969529</v>
      </c>
      <c r="T40" s="30" t="n">
        <f aca="false">IF('Project Assumptions'!$I$34="Normal",'Debt Amortization'!V45,'Debt Amortization'!V101)</f>
        <v>8474.3634348</v>
      </c>
      <c r="U40" s="30" t="n">
        <f aca="false">IF('Project Assumptions'!$I$34="Normal",'Debt Amortization'!W45,'Debt Amortization'!W101)</f>
        <v>10592.9542935</v>
      </c>
      <c r="V40" s="30" t="n">
        <f aca="false">IF('Project Assumptions'!$I$34="Normal",'Debt Amortization'!X45,'Debt Amortization'!X101)</f>
        <v>12005.3481993</v>
      </c>
      <c r="W40" s="30" t="n">
        <f aca="false">IF('Project Assumptions'!$I$34="Normal",'Debt Amortization'!Y45,'Debt Amortization'!Y101)</f>
        <v>0</v>
      </c>
      <c r="X40" s="30" t="n">
        <f aca="false">IF('Project Assumptions'!$I$34="Normal",'Debt Amortization'!Z45,'Debt Amortization'!Z101)</f>
        <v>0</v>
      </c>
      <c r="Y40" s="30" t="n">
        <f aca="false">IF('Project Assumptions'!$I$34="Normal",'Debt Amortization'!AA45,'Debt Amortization'!AA101)</f>
        <v>0</v>
      </c>
      <c r="Z40" s="30" t="n">
        <f aca="false">IF('Project Assumptions'!$I$34="Normal",'Debt Amortization'!AB45,'Debt Amortization'!AB101)</f>
        <v>0</v>
      </c>
      <c r="AA40" s="437" t="n">
        <f aca="false">IF('Project Assumptions'!$I$34="Normal",'Debt Amortization'!AC45,'Debt Amortization'!AC101)</f>
        <v>0</v>
      </c>
      <c r="AB40" s="1"/>
      <c r="AC40" s="1"/>
      <c r="AD40" s="1"/>
      <c r="AE40" s="1"/>
      <c r="AF40" s="1"/>
    </row>
    <row r="41" customFormat="false" ht="12.6" hidden="false" customHeight="true" outlineLevel="0" collapsed="false">
      <c r="A41" s="410" t="s">
        <v>487</v>
      </c>
      <c r="B41" s="385"/>
      <c r="C41" s="634" t="str">
        <f aca="false">+IF(C40&lt;1,"N/A",'Book Income Statement'!D63/C40)</f>
        <v>N/A</v>
      </c>
      <c r="D41" s="634" t="str">
        <f aca="false">+IF(D40&lt;1,"N/A",'Book Income Statement'!E63/D40)</f>
        <v>N/A</v>
      </c>
      <c r="E41" s="634" t="str">
        <f aca="false">+IF(E40&lt;1,"N/A",'Book Income Statement'!F63/E40)</f>
        <v>N/A</v>
      </c>
      <c r="F41" s="634" t="str">
        <f aca="false">+IF(F40&lt;1,"N/A",'Book Income Statement'!G63/F40)</f>
        <v>N/A</v>
      </c>
      <c r="G41" s="634" t="n">
        <f aca="false">+IF(G40&lt;1,"N/A",'Book Income Statement'!H63/G40)</f>
        <v>21.75372621633</v>
      </c>
      <c r="H41" s="634" t="n">
        <f aca="false">+IF(H40&lt;1,"N/A",'Book Income Statement'!I63/H40)</f>
        <v>21.9636213669258</v>
      </c>
      <c r="I41" s="634" t="n">
        <f aca="false">+IF(I40&lt;1,"N/A",'Book Income Statement'!J63/I40)</f>
        <v>14.7775889275829</v>
      </c>
      <c r="J41" s="634" t="n">
        <f aca="false">+IF(J40&lt;1,"N/A",'Book Income Statement'!K63/J40)</f>
        <v>15.2242161862614</v>
      </c>
      <c r="K41" s="634" t="n">
        <f aca="false">+IF(K40&lt;1,"N/A",'Book Income Statement'!L63/K40)</f>
        <v>15.3581244297612</v>
      </c>
      <c r="L41" s="634" t="n">
        <f aca="false">+IF(L40&lt;1,"N/A",'Book Income Statement'!M63/L40)</f>
        <v>11.8666258151288</v>
      </c>
      <c r="M41" s="634" t="n">
        <f aca="false">+IF(M40&lt;1,"N/A",'Book Income Statement'!N63/M40)</f>
        <v>11.9656154759972</v>
      </c>
      <c r="N41" s="634" t="n">
        <f aca="false">+IF(N40&lt;1,"N/A",'Book Income Statement'!O63/N40)</f>
        <v>9.86164690673233</v>
      </c>
      <c r="O41" s="634" t="n">
        <f aca="false">+IF(O40&lt;1,"N/A",'Book Income Statement'!P63/O40)</f>
        <v>9.93924697200236</v>
      </c>
      <c r="P41" s="634" t="n">
        <f aca="false">+IF(P40&lt;1,"N/A",'Book Income Statement'!Q63/P40)</f>
        <v>10.0125681663372</v>
      </c>
      <c r="Q41" s="634" t="n">
        <f aca="false">+IF(Q40&lt;1,"N/A",'Book Income Statement'!R63/Q40)</f>
        <v>10.081283917422</v>
      </c>
      <c r="R41" s="634" t="n">
        <f aca="false">+IF(R40&lt;1,"N/A",'Book Income Statement'!S63/R40)</f>
        <v>10.1450519095869</v>
      </c>
      <c r="S41" s="634" t="n">
        <f aca="false">+IF(S40&lt;1,"N/A",'Book Income Statement'!T63/S40)</f>
        <v>5.10175671656036</v>
      </c>
      <c r="T41" s="634" t="n">
        <f aca="false">+IF(T40&lt;1,"N/A",'Book Income Statement'!U63/T40)</f>
        <v>4.27345529529691</v>
      </c>
      <c r="U41" s="634" t="n">
        <f aca="false">+IF(U40&lt;1,"N/A",'Book Income Statement'!V63/U40)</f>
        <v>3.43433206203828</v>
      </c>
      <c r="V41" s="634" t="n">
        <f aca="false">+IF(V40&lt;1,"N/A",'Book Income Statement'!W63/V40)</f>
        <v>3.04212112237885</v>
      </c>
      <c r="W41" s="634" t="str">
        <f aca="false">+IF(W40&lt;1,"N/A",'Book Income Statement'!X63/W40)</f>
        <v>N/A</v>
      </c>
      <c r="X41" s="634" t="str">
        <f aca="false">+IF(X40&lt;1,"N/A",'Book Income Statement'!Y63/X40)</f>
        <v>N/A</v>
      </c>
      <c r="Y41" s="634" t="str">
        <f aca="false">+IF(Y40&lt;1,"N/A",'Book Income Statement'!Z63/Y40)</f>
        <v>N/A</v>
      </c>
      <c r="Z41" s="634" t="str">
        <f aca="false">+IF(Z40&lt;1,"N/A",'Book Income Statement'!AA63/Z40)</f>
        <v>N/A</v>
      </c>
      <c r="AA41" s="635" t="str">
        <f aca="false">+IF(AA40&lt;1,"N/A",'Book Income Statement'!AB63/AA40)</f>
        <v>N/A</v>
      </c>
      <c r="AB41" s="1"/>
      <c r="AC41" s="1"/>
      <c r="AD41" s="1"/>
      <c r="AE41" s="1"/>
      <c r="AF41" s="1"/>
    </row>
    <row r="42" customFormat="false" ht="12.6" hidden="false" customHeight="true" outlineLevel="0" collapsed="false">
      <c r="A42" s="453" t="s">
        <v>484</v>
      </c>
      <c r="B42" s="474"/>
      <c r="C42" s="637" t="n">
        <f aca="false">IF($B$39&gt;0,(($B$39-IF('Project Assumptions'!$I$34="Normal",SUM('Debt Amortization'!$E$44:E44),SUM('Debt Amortization'!$E$101:E101)))/$B$39),0)</f>
        <v>1</v>
      </c>
      <c r="D42" s="637" t="n">
        <f aca="false">IF($B$39&gt;0,(($B$39-IF('Project Assumptions'!$I$34="Normal",SUM('Debt Amortization'!$E$44:F44),SUM('Debt Amortization'!$E$101:F101)))/$B$39),0)</f>
        <v>1</v>
      </c>
      <c r="E42" s="637" t="n">
        <f aca="false">IF($B$39&gt;0,(($B$39-IF('Project Assumptions'!$I$34="Normal",SUM('Debt Amortization'!$E$44:G44),SUM('Debt Amortization'!$E$101:G101)))/$B$39),0)</f>
        <v>1</v>
      </c>
      <c r="F42" s="637" t="n">
        <f aca="false">IF($B$39&gt;0,(($B$39-IF('Project Assumptions'!$I$34="Normal",SUM('Debt Amortization'!$E$44:H44),SUM('Debt Amortization'!$E$101:H101)))/$B$39),0)</f>
        <v>1</v>
      </c>
      <c r="G42" s="637" t="n">
        <f aca="false">IF($B$39&gt;0,(($B$39-IF('Project Assumptions'!$I$34="Normal",SUM('Debt Amortization'!$E$44:I44),SUM('Debt Amortization'!$E$101:I101)))/$B$39),0)</f>
        <v>0.98</v>
      </c>
      <c r="H42" s="637" t="n">
        <f aca="false">IF($B$39&gt;0,(($B$39-IF('Project Assumptions'!$I$34="Normal",SUM('Debt Amortization'!$E$44:J44),SUM('Debt Amortization'!$E$101:J101)))/$B$39),0)</f>
        <v>0.96</v>
      </c>
      <c r="I42" s="637" t="n">
        <f aca="false">IF($B$39&gt;0,(($B$39-IF('Project Assumptions'!$I$34="Normal",SUM('Debt Amortization'!$E$44:K44),SUM('Debt Amortization'!$E$101:K101)))/$B$39),0)</f>
        <v>0.93</v>
      </c>
      <c r="J42" s="637" t="n">
        <f aca="false">IF($B$39&gt;0,(($B$39-IF('Project Assumptions'!$I$34="Normal",SUM('Debt Amortization'!$E$44:L44),SUM('Debt Amortization'!$E$101:L101)))/$B$39),0)</f>
        <v>0.9</v>
      </c>
      <c r="K42" s="637" t="n">
        <f aca="false">IF($B$39&gt;0,(($B$39-IF('Project Assumptions'!$I$34="Normal",SUM('Debt Amortization'!$E$44:M44),SUM('Debt Amortization'!$E$101:M101)))/$B$39),0)</f>
        <v>0.87</v>
      </c>
      <c r="L42" s="637" t="n">
        <f aca="false">IF($B$39&gt;0,(($B$39-IF('Project Assumptions'!$I$34="Normal",SUM('Debt Amortization'!$E$44:N44),SUM('Debt Amortization'!$E$101:N101)))/$B$39),0)</f>
        <v>0.83</v>
      </c>
      <c r="M42" s="637" t="n">
        <f aca="false">IF($B$39&gt;0,(($B$39-IF('Project Assumptions'!$I$34="Normal",SUM('Debt Amortization'!$E$44:O44),SUM('Debt Amortization'!$E$101:O101)))/$B$39),0)</f>
        <v>0.79</v>
      </c>
      <c r="N42" s="637" t="n">
        <f aca="false">IF($B$39&gt;0,(($B$39-IF('Project Assumptions'!$I$34="Normal",SUM('Debt Amortization'!$E$44:P44),SUM('Debt Amortization'!$E$101:P101)))/$B$39),0)</f>
        <v>0.74</v>
      </c>
      <c r="O42" s="637" t="n">
        <f aca="false">IF($B$39&gt;0,(($B$39-IF('Project Assumptions'!$I$34="Normal",SUM('Debt Amortization'!$E$44:Q44),SUM('Debt Amortization'!$E$101:Q101)))/$B$39),0)</f>
        <v>0.69</v>
      </c>
      <c r="P42" s="637" t="n">
        <f aca="false">IF($B$39&gt;0,(($B$39-IF('Project Assumptions'!$I$34="Normal",SUM('Debt Amortization'!$E$44:R44),SUM('Debt Amortization'!$E$101:R101)))/$B$39),0)</f>
        <v>0.64</v>
      </c>
      <c r="Q42" s="637" t="n">
        <f aca="false">IF($B$39&gt;0,(($B$39-IF('Project Assumptions'!$I$34="Normal",SUM('Debt Amortization'!$E$44:S44),SUM('Debt Amortization'!$E$101:S101)))/$B$39),0)</f>
        <v>0.59</v>
      </c>
      <c r="R42" s="637" t="n">
        <f aca="false">IF($B$39&gt;0,(($B$39-IF('Project Assumptions'!$I$34="Normal",SUM('Debt Amortization'!$E$44:T44),SUM('Debt Amortization'!$E$101:T101)))/$B$39),0)</f>
        <v>0.54</v>
      </c>
      <c r="S42" s="637" t="n">
        <f aca="false">IF($B$39&gt;0,(($B$39-IF('Project Assumptions'!$I$34="Normal",SUM('Debt Amortization'!$E$44:U44),SUM('Debt Amortization'!$E$101:U101)))/$B$39),0)</f>
        <v>0.44</v>
      </c>
      <c r="T42" s="637" t="n">
        <f aca="false">IF($B$39&gt;0,(($B$39-IF('Project Assumptions'!$I$34="Normal",SUM('Debt Amortization'!$E$44:V44),SUM('Debt Amortization'!$E$101:V101)))/$B$39),0)</f>
        <v>0.32</v>
      </c>
      <c r="U42" s="637" t="n">
        <f aca="false">IF($B$39&gt;0,(($B$39-IF('Project Assumptions'!$I$34="Normal",SUM('Debt Amortization'!$E$44:W44),SUM('Debt Amortization'!$E$101:W101)))/$B$39),0)</f>
        <v>0.17</v>
      </c>
      <c r="V42" s="637" t="n">
        <f aca="false">IF($B$39&gt;0,(($B$39-IF('Project Assumptions'!$I$34="Normal",SUM('Debt Amortization'!$E$44:X44),SUM('Debt Amortization'!$E$101:X101)))/$B$39),0)</f>
        <v>0</v>
      </c>
      <c r="W42" s="637" t="n">
        <f aca="false">IF($B$39&gt;0,(($B$39-IF('Project Assumptions'!$I$34="Normal",SUM('Debt Amortization'!$E$44:Y44),SUM('Debt Amortization'!$E$101:Y101)))/$B$39),0)</f>
        <v>0</v>
      </c>
      <c r="X42" s="637" t="n">
        <f aca="false">IF($B$39&gt;0,(($B$39-IF('Project Assumptions'!$I$34="Normal",SUM('Debt Amortization'!$E$44:Z44),SUM('Debt Amortization'!$E$101:Z101)))/$B$39),0)</f>
        <v>0</v>
      </c>
      <c r="Y42" s="637" t="n">
        <f aca="false">IF($B$39&gt;0,(($B$39-IF('Project Assumptions'!$I$34="Normal",SUM('Debt Amortization'!$E$44:AA44),SUM('Debt Amortization'!$E$101:AA101)))/$B$39),0)</f>
        <v>0</v>
      </c>
      <c r="Z42" s="637" t="n">
        <f aca="false">IF($B$39&gt;0,(($B$39-IF('Project Assumptions'!$I$34="Normal",SUM('Debt Amortization'!$E$44:AB44),SUM('Debt Amortization'!$E$101:AB101)))/$B$39),0)</f>
        <v>0</v>
      </c>
      <c r="AA42" s="638" t="n">
        <f aca="false">IF($B$39&gt;0,(($B$39-IF('Project Assumptions'!$I$34="Normal",SUM('Debt Amortization'!$E$44:AC44),SUM('Debt Amortization'!$E$101:AC101)))/$B$39),0)</f>
        <v>0</v>
      </c>
      <c r="AB42" s="1"/>
      <c r="AC42" s="1"/>
      <c r="AD42" s="1"/>
      <c r="AE42" s="1"/>
      <c r="AF42" s="1"/>
    </row>
    <row r="43" customFormat="false" ht="12.6" hidden="false" customHeight="true" outlineLevel="0" collapsed="false"/>
    <row r="44" customFormat="false" ht="12.6" hidden="false" customHeight="true" outlineLevel="0" collapsed="false"/>
    <row r="45" customFormat="false" ht="12.6" hidden="false" customHeight="true" outlineLevel="0" collapsed="false"/>
    <row r="46" customFormat="false" ht="12.6" hidden="false" customHeight="true" outlineLevel="0" collapsed="false"/>
    <row r="47" customFormat="false" ht="12.6" hidden="false" customHeight="true" outlineLevel="0" collapsed="false"/>
    <row r="48" customFormat="false" ht="12.6" hidden="false" customHeight="true" outlineLevel="0" collapsed="false"/>
    <row r="49" customFormat="false" ht="12.6" hidden="false" customHeight="true" outlineLevel="0" collapsed="false"/>
    <row r="87" customFormat="false" ht="12.6" hidden="false" customHeight="true" outlineLevel="0" collapsed="false">
      <c r="A87" s="1"/>
      <c r="B87" s="1"/>
      <c r="C87" s="34"/>
      <c r="D87" s="34"/>
      <c r="E87" s="34"/>
      <c r="F87" s="34"/>
      <c r="G87" s="34"/>
      <c r="H87" s="34"/>
      <c r="I87" s="34"/>
      <c r="J87" s="34"/>
      <c r="K87" s="34"/>
      <c r="L87" s="34"/>
      <c r="M87" s="34"/>
      <c r="N87" s="34"/>
      <c r="O87" s="34"/>
      <c r="P87" s="34"/>
      <c r="Q87" s="34"/>
      <c r="R87" s="34"/>
      <c r="S87" s="34"/>
      <c r="T87" s="34"/>
      <c r="U87" s="34"/>
      <c r="V87" s="34"/>
      <c r="W87" s="34"/>
      <c r="X87" s="34"/>
      <c r="Y87" s="34"/>
      <c r="Z87" s="34"/>
      <c r="AA87" s="34"/>
      <c r="AB87" s="1"/>
      <c r="AC87" s="1"/>
      <c r="AD87" s="1"/>
      <c r="AE87" s="1"/>
      <c r="AF87" s="1"/>
    </row>
    <row r="88" customFormat="false" ht="12.6" hidden="false" customHeight="true" outlineLevel="0" collapsed="false">
      <c r="A88" s="1"/>
      <c r="B88" s="1"/>
      <c r="C88" s="450"/>
      <c r="D88" s="450"/>
      <c r="E88" s="450"/>
      <c r="F88" s="450"/>
      <c r="G88" s="450"/>
      <c r="H88" s="450"/>
      <c r="I88" s="450"/>
      <c r="J88" s="450"/>
      <c r="K88" s="450"/>
      <c r="L88" s="450"/>
      <c r="M88" s="450"/>
      <c r="N88" s="450"/>
      <c r="O88" s="450"/>
      <c r="P88" s="450"/>
      <c r="Q88" s="450"/>
      <c r="R88" s="450"/>
      <c r="S88" s="450"/>
      <c r="T88" s="450"/>
      <c r="U88" s="450"/>
      <c r="V88" s="450"/>
      <c r="W88" s="450"/>
      <c r="X88" s="450"/>
      <c r="Y88" s="450"/>
      <c r="Z88" s="450"/>
      <c r="AA88" s="450"/>
      <c r="AB88" s="1"/>
      <c r="AC88" s="1"/>
      <c r="AD88" s="1"/>
      <c r="AE88" s="1"/>
      <c r="AF88" s="1"/>
    </row>
    <row r="89" customFormat="false" ht="12.6" hidden="false" customHeight="true" outlineLevel="0" collapsed="false">
      <c r="A89" s="1"/>
      <c r="B89" s="1"/>
      <c r="C89" s="34"/>
      <c r="D89" s="34"/>
      <c r="E89" s="34"/>
      <c r="F89" s="34"/>
      <c r="G89" s="34"/>
      <c r="H89" s="34"/>
      <c r="I89" s="34"/>
      <c r="J89" s="34"/>
      <c r="K89" s="34"/>
      <c r="L89" s="34"/>
      <c r="M89" s="34"/>
      <c r="N89" s="34"/>
      <c r="O89" s="34"/>
      <c r="P89" s="34"/>
      <c r="Q89" s="34"/>
      <c r="R89" s="34"/>
      <c r="S89" s="34"/>
      <c r="T89" s="34"/>
      <c r="U89" s="34"/>
      <c r="V89" s="34"/>
      <c r="W89" s="34"/>
      <c r="X89" s="34"/>
      <c r="Y89" s="34"/>
      <c r="Z89" s="34"/>
      <c r="AA89" s="34"/>
      <c r="AB89" s="1"/>
      <c r="AC89" s="1"/>
      <c r="AD89" s="1"/>
      <c r="AE89" s="1"/>
      <c r="AF89" s="1"/>
    </row>
    <row r="90" customFormat="false" ht="12.6" hidden="false" customHeight="true" outlineLevel="0" collapsed="false">
      <c r="A90" s="1"/>
      <c r="B90" s="1"/>
      <c r="C90" s="450"/>
      <c r="D90" s="450"/>
      <c r="E90" s="450"/>
      <c r="F90" s="450"/>
      <c r="G90" s="450"/>
      <c r="H90" s="450"/>
      <c r="I90" s="450"/>
      <c r="J90" s="450"/>
      <c r="K90" s="450"/>
      <c r="L90" s="450"/>
      <c r="M90" s="450"/>
      <c r="N90" s="450"/>
      <c r="O90" s="450"/>
      <c r="P90" s="450"/>
      <c r="Q90" s="450"/>
      <c r="R90" s="450"/>
      <c r="S90" s="450"/>
      <c r="T90" s="450"/>
      <c r="U90" s="450"/>
      <c r="V90" s="450"/>
      <c r="W90" s="450"/>
      <c r="X90" s="450"/>
      <c r="Y90" s="450"/>
      <c r="Z90" s="450"/>
      <c r="AA90" s="450"/>
      <c r="AB90" s="1"/>
      <c r="AC90" s="1"/>
      <c r="AD90" s="1"/>
      <c r="AE90" s="1"/>
      <c r="AF90" s="1"/>
    </row>
    <row r="91" customFormat="false" ht="12.75" hidden="false" customHeight="false" outlineLevel="0" collapsed="false">
      <c r="C91" s="639"/>
      <c r="D91" s="639"/>
      <c r="E91" s="639"/>
      <c r="F91" s="639"/>
      <c r="G91" s="639"/>
      <c r="H91" s="639"/>
      <c r="I91" s="639"/>
      <c r="J91" s="639"/>
      <c r="K91" s="639"/>
      <c r="L91" s="639"/>
      <c r="M91" s="639"/>
      <c r="N91" s="639"/>
      <c r="O91" s="639"/>
      <c r="P91" s="639"/>
      <c r="Q91" s="639"/>
      <c r="R91" s="639"/>
      <c r="S91" s="639"/>
      <c r="T91" s="639"/>
      <c r="U91" s="639"/>
      <c r="V91" s="639"/>
      <c r="W91" s="639"/>
      <c r="X91" s="639"/>
      <c r="Y91" s="639"/>
      <c r="Z91" s="639"/>
      <c r="AA91" s="639"/>
    </row>
    <row r="93" customFormat="false" ht="12.75" hidden="false" customHeight="false" outlineLevel="0" collapsed="false">
      <c r="C93" s="639"/>
      <c r="D93" s="639"/>
      <c r="E93" s="639"/>
      <c r="F93" s="639"/>
      <c r="G93" s="639"/>
      <c r="H93" s="639"/>
      <c r="I93" s="639"/>
      <c r="J93" s="639"/>
      <c r="K93" s="639"/>
      <c r="L93" s="639"/>
      <c r="M93" s="639"/>
      <c r="N93" s="639"/>
      <c r="O93" s="639"/>
      <c r="P93" s="639"/>
      <c r="Q93" s="639"/>
      <c r="R93" s="639"/>
      <c r="S93" s="639"/>
      <c r="T93" s="639"/>
      <c r="U93" s="639"/>
      <c r="V93" s="639"/>
      <c r="W93" s="639"/>
      <c r="X93" s="639"/>
      <c r="Y93" s="639"/>
      <c r="Z93" s="639"/>
      <c r="AA93" s="639"/>
    </row>
    <row r="96" customFormat="false" ht="12.6" hidden="false" customHeight="true" outlineLevel="0" collapsed="false"/>
    <row r="97" customFormat="false" ht="12.6" hidden="false" customHeight="true" outlineLevel="0" collapsed="false"/>
    <row r="131" customFormat="false" ht="12.6" hidden="false" customHeight="true" outlineLevel="0" collapsed="false">
      <c r="A131" s="1"/>
      <c r="B131" s="1"/>
      <c r="C131" s="408"/>
      <c r="D131" s="408"/>
      <c r="E131" s="408"/>
      <c r="F131" s="408"/>
      <c r="G131" s="408"/>
      <c r="H131" s="408"/>
      <c r="I131" s="408"/>
      <c r="J131" s="408"/>
      <c r="K131" s="408"/>
      <c r="L131" s="408"/>
      <c r="M131" s="408"/>
      <c r="N131" s="408"/>
      <c r="O131" s="408"/>
      <c r="P131" s="408"/>
      <c r="Q131" s="408"/>
      <c r="R131" s="408"/>
      <c r="S131" s="408"/>
      <c r="T131" s="408"/>
      <c r="U131" s="408"/>
      <c r="V131" s="408"/>
      <c r="W131" s="408"/>
      <c r="X131" s="408"/>
      <c r="Y131" s="408"/>
      <c r="Z131" s="408"/>
      <c r="AA131" s="408"/>
      <c r="AB131" s="1"/>
      <c r="AC131" s="1"/>
      <c r="AD131" s="1"/>
      <c r="AE131" s="1"/>
      <c r="AF131" s="1"/>
    </row>
    <row r="132" customFormat="false" ht="12.6" hidden="false" customHeight="true" outlineLevel="0" collapsed="false">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row>
    <row r="133" customFormat="false" ht="12.6" hidden="false" customHeight="true" outlineLevel="0" collapsed="false">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row>
    <row r="134" customFormat="false" ht="15.75" hidden="false" customHeight="false" outlineLevel="0" collapsed="false">
      <c r="A134" s="640"/>
      <c r="B134" s="385"/>
      <c r="C134" s="385"/>
      <c r="D134" s="385"/>
      <c r="E134" s="385"/>
      <c r="F134" s="385"/>
      <c r="G134" s="385"/>
      <c r="H134" s="385"/>
      <c r="I134" s="385"/>
      <c r="J134" s="385"/>
      <c r="K134" s="385"/>
      <c r="L134" s="385"/>
      <c r="M134" s="385"/>
      <c r="N134" s="385"/>
      <c r="O134" s="385"/>
      <c r="P134" s="385"/>
      <c r="Q134" s="385"/>
      <c r="R134" s="385"/>
      <c r="S134" s="385"/>
      <c r="T134" s="385"/>
      <c r="U134" s="385"/>
      <c r="V134" s="385"/>
      <c r="W134" s="385"/>
      <c r="X134" s="385"/>
      <c r="Y134" s="385"/>
      <c r="Z134" s="385"/>
      <c r="AA134" s="385"/>
      <c r="AB134" s="385"/>
      <c r="AC134" s="385"/>
      <c r="AD134" s="385"/>
      <c r="AE134" s="385"/>
      <c r="AF134" s="385"/>
    </row>
    <row r="135" customFormat="false" ht="12.6" hidden="false" customHeight="true" outlineLevel="0" collapsed="false">
      <c r="A135" s="1"/>
      <c r="B135" s="1"/>
      <c r="C135" s="450"/>
      <c r="D135" s="450"/>
      <c r="E135" s="450"/>
      <c r="F135" s="450"/>
      <c r="G135" s="450"/>
      <c r="H135" s="450"/>
      <c r="I135" s="450"/>
      <c r="J135" s="450"/>
      <c r="K135" s="450"/>
      <c r="L135" s="450"/>
      <c r="M135" s="450"/>
      <c r="N135" s="450"/>
      <c r="O135" s="450"/>
      <c r="P135" s="450"/>
      <c r="Q135" s="450"/>
      <c r="R135" s="450"/>
      <c r="S135" s="450"/>
      <c r="T135" s="450"/>
      <c r="U135" s="450"/>
      <c r="V135" s="450"/>
      <c r="W135" s="450"/>
      <c r="X135" s="450"/>
      <c r="Y135" s="450"/>
      <c r="Z135" s="450"/>
      <c r="AA135" s="450"/>
      <c r="AB135" s="1"/>
      <c r="AC135" s="1"/>
      <c r="AD135" s="1"/>
      <c r="AE135" s="1"/>
      <c r="AF135" s="1"/>
    </row>
    <row r="136" customFormat="false" ht="12.6" hidden="false" customHeight="true" outlineLevel="0" collapsed="false">
      <c r="A136" s="1"/>
      <c r="B136" s="1"/>
      <c r="C136" s="450"/>
      <c r="D136" s="450"/>
      <c r="E136" s="450"/>
      <c r="F136" s="450"/>
      <c r="G136" s="450"/>
      <c r="H136" s="450"/>
      <c r="I136" s="450"/>
      <c r="J136" s="450"/>
      <c r="K136" s="450"/>
      <c r="L136" s="450"/>
      <c r="M136" s="450"/>
      <c r="N136" s="450"/>
      <c r="O136" s="450"/>
      <c r="P136" s="450"/>
      <c r="Q136" s="450"/>
      <c r="R136" s="450"/>
      <c r="S136" s="450"/>
      <c r="T136" s="450"/>
      <c r="U136" s="450"/>
      <c r="V136" s="450"/>
      <c r="W136" s="450"/>
      <c r="X136" s="450"/>
      <c r="Y136" s="450"/>
      <c r="Z136" s="450"/>
      <c r="AA136" s="450"/>
      <c r="AB136" s="1"/>
      <c r="AC136" s="1"/>
      <c r="AD136" s="1"/>
      <c r="AE136" s="1"/>
      <c r="AF136" s="1"/>
    </row>
    <row r="137" customFormat="false" ht="12.6" hidden="false" customHeight="true" outlineLevel="0" collapsed="false">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row>
    <row r="138" customFormat="false" ht="12.6" hidden="false" customHeight="true" outlineLevel="0" collapsed="false">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row>
    <row r="139" customFormat="false" ht="12.6" hidden="false" customHeight="true" outlineLevel="0" collapsed="false">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row>
    <row r="140" customFormat="false" ht="12.6" hidden="false" customHeight="true" outlineLevel="0" collapsed="false">
      <c r="A140" s="428"/>
      <c r="B140" s="480"/>
      <c r="C140" s="417"/>
      <c r="D140" s="490"/>
      <c r="E140" s="490"/>
      <c r="F140" s="490"/>
      <c r="G140" s="490"/>
      <c r="H140" s="490"/>
      <c r="I140" s="490"/>
      <c r="J140" s="490"/>
      <c r="K140" s="490"/>
      <c r="L140" s="490"/>
      <c r="M140" s="490"/>
      <c r="N140" s="490"/>
      <c r="O140" s="490"/>
      <c r="P140" s="490"/>
      <c r="Q140" s="490"/>
      <c r="R140" s="490"/>
      <c r="S140" s="490"/>
      <c r="T140" s="490"/>
      <c r="U140" s="490"/>
      <c r="V140" s="490"/>
      <c r="W140" s="490"/>
      <c r="X140" s="490"/>
      <c r="Y140" s="490"/>
      <c r="Z140" s="490"/>
      <c r="AA140" s="490"/>
      <c r="AB140" s="490"/>
      <c r="AC140" s="480"/>
      <c r="AD140" s="480"/>
      <c r="AE140" s="480"/>
      <c r="AF140" s="480"/>
    </row>
    <row r="141" customFormat="false" ht="12.6" hidden="false" customHeight="true" outlineLevel="0" collapsed="false">
      <c r="A141" s="641"/>
      <c r="B141" s="481"/>
      <c r="C141" s="417"/>
      <c r="D141" s="417"/>
      <c r="E141" s="417"/>
      <c r="F141" s="417"/>
      <c r="G141" s="417"/>
      <c r="H141" s="417"/>
      <c r="I141" s="417"/>
      <c r="J141" s="417"/>
      <c r="K141" s="417"/>
      <c r="L141" s="417"/>
      <c r="M141" s="417"/>
      <c r="N141" s="417"/>
      <c r="O141" s="417"/>
      <c r="P141" s="417"/>
      <c r="Q141" s="417"/>
      <c r="R141" s="417"/>
      <c r="S141" s="417"/>
      <c r="T141" s="417"/>
      <c r="U141" s="417"/>
      <c r="V141" s="417"/>
      <c r="W141" s="417"/>
      <c r="X141" s="417"/>
      <c r="Y141" s="417"/>
      <c r="Z141" s="417"/>
      <c r="AA141" s="417"/>
      <c r="AB141" s="417"/>
      <c r="AC141" s="417"/>
      <c r="AD141" s="417"/>
      <c r="AE141" s="417"/>
      <c r="AF141" s="417"/>
      <c r="AG141" s="489"/>
      <c r="AH141" s="489"/>
      <c r="AI141" s="489"/>
      <c r="AJ141" s="489"/>
      <c r="AK141" s="489"/>
      <c r="AL141" s="489"/>
      <c r="AM141" s="489"/>
      <c r="AN141" s="489"/>
      <c r="AO141" s="489"/>
      <c r="AP141" s="489"/>
      <c r="AQ141" s="489"/>
      <c r="AR141" s="489"/>
      <c r="AS141" s="489"/>
      <c r="AT141" s="489"/>
      <c r="AU141" s="489"/>
      <c r="AV141" s="489"/>
      <c r="AW141" s="489"/>
      <c r="AX141" s="489"/>
      <c r="AY141" s="489"/>
      <c r="AZ141" s="489"/>
      <c r="BA141" s="489"/>
      <c r="BB141" s="489"/>
      <c r="BC141" s="489"/>
      <c r="BD141" s="489"/>
      <c r="BE141" s="489"/>
      <c r="BF141" s="489"/>
      <c r="BG141" s="489"/>
      <c r="BH141" s="489"/>
      <c r="BI141" s="489"/>
      <c r="BJ141" s="489"/>
      <c r="BK141" s="489"/>
      <c r="BL141" s="489"/>
      <c r="BM141" s="489"/>
      <c r="BN141" s="489"/>
      <c r="BO141" s="489"/>
      <c r="BP141" s="489"/>
      <c r="BQ141" s="489"/>
      <c r="BR141" s="489"/>
      <c r="BS141" s="489"/>
      <c r="BT141" s="489"/>
      <c r="BU141" s="489"/>
      <c r="BV141" s="489"/>
      <c r="BW141" s="489"/>
      <c r="BX141" s="489"/>
      <c r="BY141" s="489"/>
      <c r="BZ141" s="489"/>
      <c r="CA141" s="489"/>
      <c r="CB141" s="489"/>
      <c r="CC141" s="489"/>
      <c r="CD141" s="489"/>
      <c r="CE141" s="489"/>
      <c r="CF141" s="489"/>
      <c r="CG141" s="489"/>
      <c r="CH141" s="489"/>
      <c r="CI141" s="489"/>
      <c r="CJ141" s="489"/>
      <c r="CK141" s="489"/>
      <c r="CL141" s="489"/>
      <c r="CM141" s="489"/>
      <c r="CN141" s="489"/>
      <c r="CO141" s="489"/>
      <c r="CP141" s="489"/>
      <c r="CQ141" s="489"/>
      <c r="CR141" s="489"/>
      <c r="CS141" s="489"/>
      <c r="CT141" s="489"/>
      <c r="CU141" s="489"/>
      <c r="CV141" s="489"/>
      <c r="CW141" s="489"/>
      <c r="CX141" s="489"/>
      <c r="CY141" s="489"/>
      <c r="CZ141" s="489"/>
      <c r="DA141" s="489"/>
      <c r="DB141" s="489"/>
      <c r="DC141" s="489"/>
      <c r="DD141" s="489"/>
      <c r="DE141" s="489"/>
      <c r="DF141" s="489"/>
      <c r="DG141" s="489"/>
      <c r="DH141" s="489"/>
      <c r="DI141" s="489"/>
      <c r="DJ141" s="489"/>
      <c r="DK141" s="489"/>
      <c r="DL141" s="489"/>
      <c r="DM141" s="489"/>
      <c r="DN141" s="489"/>
      <c r="DO141" s="489"/>
      <c r="DP141" s="489"/>
      <c r="DQ141" s="489"/>
      <c r="DR141" s="489"/>
      <c r="DS141" s="489"/>
      <c r="DT141" s="489"/>
      <c r="DU141" s="489"/>
      <c r="DV141" s="489"/>
      <c r="DW141" s="489"/>
      <c r="DX141" s="489"/>
      <c r="DY141" s="489"/>
      <c r="DZ141" s="489"/>
      <c r="EA141" s="489"/>
      <c r="EB141" s="489"/>
      <c r="EC141" s="489"/>
      <c r="ED141" s="489"/>
      <c r="EE141" s="489"/>
      <c r="EF141" s="489"/>
      <c r="EG141" s="489"/>
      <c r="EH141" s="489"/>
      <c r="EI141" s="489"/>
      <c r="EJ141" s="489"/>
      <c r="EK141" s="489"/>
      <c r="EL141" s="489"/>
      <c r="EM141" s="489"/>
      <c r="EN141" s="489"/>
      <c r="EO141" s="489"/>
      <c r="EP141" s="489"/>
      <c r="EQ141" s="489"/>
      <c r="ER141" s="489"/>
      <c r="ES141" s="489"/>
      <c r="ET141" s="489"/>
      <c r="EU141" s="489"/>
      <c r="EV141" s="489"/>
      <c r="EW141" s="489"/>
      <c r="EX141" s="489"/>
      <c r="EY141" s="489"/>
      <c r="EZ141" s="489"/>
      <c r="FA141" s="489"/>
      <c r="FB141" s="489"/>
      <c r="FC141" s="489"/>
      <c r="FD141" s="489"/>
      <c r="FE141" s="489"/>
      <c r="FF141" s="489"/>
      <c r="FG141" s="489"/>
      <c r="FH141" s="489"/>
      <c r="FI141" s="489"/>
      <c r="FJ141" s="489"/>
      <c r="FK141" s="489"/>
      <c r="FL141" s="489"/>
      <c r="FM141" s="489"/>
      <c r="FN141" s="489"/>
      <c r="FO141" s="489"/>
      <c r="FP141" s="489"/>
      <c r="FQ141" s="489"/>
      <c r="FR141" s="489"/>
      <c r="FS141" s="489"/>
      <c r="FT141" s="489"/>
      <c r="FU141" s="489"/>
      <c r="FV141" s="489"/>
      <c r="FW141" s="489"/>
      <c r="FX141" s="489"/>
      <c r="FY141" s="489"/>
      <c r="FZ141" s="489"/>
      <c r="GA141" s="489"/>
      <c r="GB141" s="489"/>
      <c r="GC141" s="489"/>
      <c r="GD141" s="489"/>
      <c r="GE141" s="489"/>
      <c r="GF141" s="489"/>
      <c r="GG141" s="489"/>
      <c r="GH141" s="489"/>
      <c r="GI141" s="489"/>
      <c r="GJ141" s="489"/>
      <c r="GK141" s="489"/>
      <c r="GL141" s="489"/>
      <c r="GM141" s="489"/>
      <c r="GN141" s="489"/>
      <c r="GO141" s="489"/>
      <c r="GP141" s="489"/>
      <c r="GQ141" s="489"/>
      <c r="GR141" s="489"/>
      <c r="GS141" s="489"/>
      <c r="GT141" s="489"/>
      <c r="GU141" s="489"/>
      <c r="GV141" s="489"/>
      <c r="GW141" s="489"/>
      <c r="GX141" s="489"/>
      <c r="GY141" s="489"/>
      <c r="GZ141" s="489"/>
      <c r="HA141" s="489"/>
      <c r="HB141" s="489"/>
      <c r="HC141" s="489"/>
      <c r="HD141" s="489"/>
      <c r="HE141" s="489"/>
      <c r="HF141" s="489"/>
      <c r="HG141" s="489"/>
      <c r="HH141" s="489"/>
      <c r="HI141" s="489"/>
      <c r="HJ141" s="489"/>
      <c r="HK141" s="489"/>
      <c r="HL141" s="489"/>
      <c r="HM141" s="489"/>
      <c r="HN141" s="489"/>
      <c r="HO141" s="489"/>
      <c r="HP141" s="489"/>
      <c r="HQ141" s="489"/>
      <c r="HR141" s="489"/>
      <c r="HS141" s="489"/>
      <c r="HT141" s="489"/>
      <c r="HU141" s="489"/>
    </row>
    <row r="142" customFormat="false" ht="12.6" hidden="false" customHeight="true" outlineLevel="0" collapsed="false">
      <c r="A142" s="641"/>
      <c r="B142" s="481"/>
      <c r="C142" s="429"/>
      <c r="D142" s="429"/>
      <c r="E142" s="429"/>
      <c r="F142" s="429"/>
      <c r="G142" s="429"/>
      <c r="H142" s="429"/>
      <c r="I142" s="429"/>
      <c r="J142" s="429"/>
      <c r="K142" s="429"/>
      <c r="L142" s="429"/>
      <c r="M142" s="429"/>
      <c r="N142" s="429"/>
      <c r="O142" s="429"/>
      <c r="P142" s="429"/>
      <c r="Q142" s="429"/>
      <c r="R142" s="429"/>
      <c r="S142" s="429"/>
      <c r="T142" s="429"/>
      <c r="U142" s="429"/>
      <c r="V142" s="429"/>
      <c r="W142" s="429"/>
      <c r="X142" s="429"/>
      <c r="Y142" s="429"/>
      <c r="Z142" s="429"/>
      <c r="AA142" s="429"/>
      <c r="AB142" s="417"/>
      <c r="AC142" s="417"/>
      <c r="AD142" s="417"/>
      <c r="AE142" s="417"/>
      <c r="AF142" s="417"/>
    </row>
    <row r="143" customFormat="false" ht="12.6" hidden="false" customHeight="true" outlineLevel="0" collapsed="false">
      <c r="A143" s="1"/>
      <c r="B143" s="1"/>
      <c r="C143" s="408"/>
      <c r="D143" s="408"/>
      <c r="E143" s="408"/>
      <c r="F143" s="408"/>
      <c r="G143" s="408"/>
      <c r="H143" s="408"/>
      <c r="I143" s="408"/>
      <c r="J143" s="408"/>
      <c r="K143" s="408"/>
      <c r="L143" s="408"/>
      <c r="M143" s="408"/>
      <c r="N143" s="408"/>
      <c r="O143" s="408"/>
      <c r="P143" s="408"/>
      <c r="Q143" s="408"/>
      <c r="R143" s="408"/>
      <c r="S143" s="408"/>
      <c r="T143" s="408"/>
      <c r="U143" s="408"/>
      <c r="V143" s="408"/>
      <c r="W143" s="408"/>
      <c r="X143" s="408"/>
      <c r="Y143" s="408"/>
      <c r="Z143" s="408"/>
      <c r="AA143" s="408"/>
      <c r="AB143" s="1"/>
      <c r="AC143" s="1"/>
      <c r="AD143" s="1"/>
      <c r="AE143" s="1"/>
      <c r="AF143" s="1"/>
    </row>
    <row r="144" customFormat="false" ht="12.6" hidden="false" customHeight="true" outlineLevel="0" collapsed="false">
      <c r="A144" s="1"/>
      <c r="B144" s="1"/>
      <c r="C144" s="376"/>
      <c r="D144" s="376"/>
      <c r="E144" s="376"/>
      <c r="F144" s="376"/>
      <c r="G144" s="376"/>
      <c r="H144" s="376"/>
      <c r="I144" s="376"/>
      <c r="J144" s="376"/>
      <c r="K144" s="376"/>
      <c r="L144" s="376"/>
      <c r="M144" s="376"/>
      <c r="N144" s="376"/>
      <c r="O144" s="376"/>
      <c r="P144" s="376"/>
      <c r="Q144" s="376"/>
      <c r="R144" s="376"/>
      <c r="S144" s="376"/>
      <c r="T144" s="376"/>
      <c r="U144" s="376"/>
      <c r="V144" s="376"/>
      <c r="W144" s="376"/>
      <c r="X144" s="376"/>
      <c r="Y144" s="376"/>
      <c r="Z144" s="376"/>
      <c r="AA144" s="376"/>
      <c r="AB144" s="1"/>
      <c r="AC144" s="1"/>
      <c r="AD144" s="1"/>
      <c r="AE144" s="1"/>
      <c r="AF144" s="1"/>
    </row>
    <row r="145" customFormat="false" ht="12.6" hidden="false" customHeight="true" outlineLevel="0" collapsed="false">
      <c r="A145" s="428"/>
      <c r="B145" s="417"/>
      <c r="C145" s="429"/>
      <c r="D145" s="429"/>
      <c r="E145" s="429"/>
      <c r="F145" s="429"/>
      <c r="G145" s="429"/>
      <c r="H145" s="429"/>
      <c r="I145" s="429"/>
      <c r="J145" s="429"/>
      <c r="K145" s="429"/>
      <c r="L145" s="429"/>
      <c r="M145" s="429"/>
      <c r="N145" s="429"/>
      <c r="O145" s="429"/>
      <c r="P145" s="429"/>
      <c r="Q145" s="429"/>
      <c r="R145" s="429"/>
      <c r="S145" s="429"/>
      <c r="T145" s="429"/>
      <c r="U145" s="429"/>
      <c r="V145" s="429"/>
      <c r="W145" s="429"/>
      <c r="X145" s="429"/>
      <c r="Y145" s="429"/>
      <c r="Z145" s="429"/>
      <c r="AA145" s="429"/>
      <c r="AB145" s="417"/>
      <c r="AC145" s="417"/>
      <c r="AD145" s="417"/>
      <c r="AE145" s="417"/>
      <c r="AF145" s="417"/>
    </row>
    <row r="146" customFormat="false" ht="15.75" hidden="false" customHeight="false" outlineLevel="0" collapsed="false">
      <c r="A146" s="640"/>
      <c r="B146" s="385"/>
      <c r="C146" s="385"/>
      <c r="D146" s="385"/>
      <c r="E146" s="385"/>
      <c r="F146" s="385"/>
      <c r="G146" s="385"/>
      <c r="H146" s="385"/>
      <c r="I146" s="385"/>
      <c r="J146" s="385"/>
      <c r="K146" s="385"/>
      <c r="L146" s="385"/>
      <c r="M146" s="385"/>
      <c r="N146" s="385"/>
      <c r="O146" s="385"/>
      <c r="P146" s="385"/>
      <c r="Q146" s="385"/>
      <c r="R146" s="385"/>
      <c r="S146" s="385"/>
      <c r="T146" s="385"/>
      <c r="U146" s="385"/>
      <c r="V146" s="385"/>
      <c r="W146" s="385"/>
      <c r="X146" s="385"/>
      <c r="Y146" s="385"/>
      <c r="Z146" s="385"/>
      <c r="AA146" s="385"/>
      <c r="AB146" s="385"/>
      <c r="AC146" s="385"/>
      <c r="AD146" s="385"/>
      <c r="AE146" s="385"/>
      <c r="AF146" s="385"/>
    </row>
    <row r="147" customFormat="false" ht="12.6" hidden="false" customHeight="true" outlineLevel="0" collapsed="false">
      <c r="A147" s="1"/>
      <c r="B147" s="1"/>
      <c r="C147" s="408"/>
      <c r="D147" s="408"/>
      <c r="E147" s="408"/>
      <c r="F147" s="408"/>
      <c r="G147" s="408"/>
      <c r="H147" s="408"/>
      <c r="I147" s="408"/>
      <c r="J147" s="408"/>
      <c r="K147" s="408"/>
      <c r="L147" s="408"/>
      <c r="M147" s="408"/>
      <c r="N147" s="408"/>
      <c r="O147" s="408"/>
      <c r="P147" s="408"/>
      <c r="Q147" s="408"/>
      <c r="R147" s="408"/>
      <c r="S147" s="408"/>
      <c r="T147" s="408"/>
      <c r="U147" s="408"/>
      <c r="V147" s="408"/>
      <c r="W147" s="408"/>
      <c r="X147" s="408"/>
      <c r="Y147" s="408"/>
      <c r="Z147" s="408"/>
      <c r="AA147" s="408"/>
      <c r="AB147" s="1"/>
      <c r="AC147" s="1"/>
      <c r="AD147" s="1"/>
      <c r="AE147" s="1"/>
      <c r="AF147" s="1"/>
    </row>
    <row r="148" customFormat="false" ht="12.6" hidden="false" customHeight="true" outlineLevel="0" collapsed="false">
      <c r="A148" s="1"/>
      <c r="B148" s="1"/>
      <c r="C148" s="408"/>
      <c r="D148" s="408"/>
      <c r="E148" s="408"/>
      <c r="F148" s="408"/>
      <c r="G148" s="408"/>
      <c r="H148" s="408"/>
      <c r="I148" s="408"/>
      <c r="J148" s="408"/>
      <c r="K148" s="408"/>
      <c r="L148" s="408"/>
      <c r="M148" s="408"/>
      <c r="N148" s="408"/>
      <c r="O148" s="408"/>
      <c r="P148" s="408"/>
      <c r="Q148" s="408"/>
      <c r="R148" s="408"/>
      <c r="S148" s="408"/>
      <c r="T148" s="408"/>
      <c r="U148" s="408"/>
      <c r="V148" s="408"/>
      <c r="W148" s="408"/>
      <c r="X148" s="408"/>
      <c r="Y148" s="408"/>
      <c r="Z148" s="408"/>
      <c r="AA148" s="408"/>
      <c r="AB148" s="1"/>
      <c r="AC148" s="1"/>
      <c r="AD148" s="1"/>
      <c r="AE148" s="1"/>
      <c r="AF148" s="1"/>
    </row>
    <row r="149" customFormat="false" ht="12.6" hidden="false" customHeight="true" outlineLevel="0" collapsed="false">
      <c r="A149" s="1"/>
      <c r="B149" s="1"/>
      <c r="C149" s="408"/>
      <c r="D149" s="408"/>
      <c r="E149" s="408"/>
      <c r="F149" s="408"/>
      <c r="G149" s="408"/>
      <c r="H149" s="408"/>
      <c r="I149" s="408"/>
      <c r="J149" s="408"/>
      <c r="K149" s="408"/>
      <c r="L149" s="408"/>
      <c r="M149" s="408"/>
      <c r="N149" s="408"/>
      <c r="O149" s="408"/>
      <c r="P149" s="408"/>
      <c r="Q149" s="408"/>
      <c r="R149" s="408"/>
      <c r="S149" s="408"/>
      <c r="T149" s="408"/>
      <c r="U149" s="408"/>
      <c r="V149" s="408"/>
      <c r="W149" s="408"/>
      <c r="X149" s="408"/>
      <c r="Y149" s="408"/>
      <c r="Z149" s="408"/>
      <c r="AA149" s="408"/>
      <c r="AB149" s="1"/>
      <c r="AC149" s="1"/>
      <c r="AD149" s="1"/>
      <c r="AE149" s="1"/>
      <c r="AF149" s="1"/>
    </row>
    <row r="150" customFormat="false" ht="15.75" hidden="false" customHeight="false" outlineLevel="0" collapsed="false">
      <c r="A150" s="640"/>
      <c r="B150" s="385"/>
      <c r="C150" s="385"/>
      <c r="D150" s="385"/>
      <c r="E150" s="385"/>
      <c r="F150" s="385"/>
      <c r="G150" s="385"/>
      <c r="H150" s="385"/>
      <c r="I150" s="385"/>
      <c r="J150" s="385"/>
      <c r="K150" s="385"/>
      <c r="L150" s="385"/>
      <c r="M150" s="385"/>
      <c r="N150" s="385"/>
      <c r="O150" s="385"/>
      <c r="P150" s="385"/>
      <c r="Q150" s="385"/>
      <c r="R150" s="385"/>
      <c r="S150" s="385"/>
      <c r="T150" s="385"/>
      <c r="U150" s="385"/>
      <c r="V150" s="385"/>
      <c r="W150" s="385"/>
      <c r="X150" s="385"/>
      <c r="Y150" s="385"/>
      <c r="Z150" s="385"/>
      <c r="AA150" s="385"/>
      <c r="AB150" s="385"/>
      <c r="AC150" s="385"/>
      <c r="AD150" s="385"/>
      <c r="AE150" s="385"/>
      <c r="AF150" s="385"/>
    </row>
    <row r="151" customFormat="false" ht="12.6" hidden="false" customHeight="true" outlineLevel="0" collapsed="false">
      <c r="A151" s="428"/>
      <c r="B151" s="417"/>
      <c r="C151" s="429"/>
      <c r="D151" s="429"/>
      <c r="E151" s="429"/>
      <c r="F151" s="429"/>
      <c r="G151" s="429"/>
      <c r="H151" s="429"/>
      <c r="I151" s="429"/>
      <c r="J151" s="429"/>
      <c r="K151" s="429"/>
      <c r="L151" s="429"/>
      <c r="M151" s="429"/>
      <c r="N151" s="429"/>
      <c r="O151" s="429"/>
      <c r="P151" s="429"/>
      <c r="Q151" s="429"/>
      <c r="R151" s="429"/>
      <c r="S151" s="429"/>
      <c r="T151" s="429"/>
      <c r="U151" s="429"/>
      <c r="V151" s="429"/>
      <c r="W151" s="429"/>
      <c r="X151" s="429"/>
      <c r="Y151" s="429"/>
      <c r="Z151" s="429"/>
      <c r="AA151" s="429"/>
      <c r="AB151" s="417"/>
      <c r="AC151" s="417"/>
      <c r="AD151" s="417"/>
      <c r="AE151" s="417"/>
      <c r="AF151" s="417"/>
    </row>
    <row r="152" customFormat="false" ht="12.6" hidden="false" customHeight="true" outlineLevel="0" collapsed="false">
      <c r="A152" s="428"/>
      <c r="B152" s="417"/>
      <c r="C152" s="429"/>
      <c r="D152" s="429"/>
      <c r="E152" s="429"/>
      <c r="F152" s="429"/>
      <c r="G152" s="429"/>
      <c r="H152" s="429"/>
      <c r="I152" s="429"/>
      <c r="J152" s="429"/>
      <c r="K152" s="429"/>
      <c r="L152" s="429"/>
      <c r="M152" s="429"/>
      <c r="N152" s="429"/>
      <c r="O152" s="429"/>
      <c r="P152" s="429"/>
      <c r="Q152" s="429"/>
      <c r="R152" s="429"/>
      <c r="S152" s="429"/>
      <c r="T152" s="429"/>
      <c r="U152" s="429"/>
      <c r="V152" s="429"/>
      <c r="W152" s="429"/>
      <c r="X152" s="429"/>
      <c r="Y152" s="429"/>
      <c r="Z152" s="429"/>
      <c r="AA152" s="429"/>
      <c r="AB152" s="417"/>
      <c r="AC152" s="417"/>
      <c r="AD152" s="417"/>
      <c r="AE152" s="417"/>
      <c r="AF152" s="417"/>
    </row>
    <row r="153" customFormat="false" ht="12.6" hidden="false" customHeight="true" outlineLevel="0" collapsed="false">
      <c r="A153" s="428"/>
      <c r="B153" s="417"/>
      <c r="C153" s="429"/>
      <c r="D153" s="429"/>
      <c r="E153" s="429"/>
      <c r="F153" s="429"/>
      <c r="G153" s="429"/>
      <c r="H153" s="429"/>
      <c r="I153" s="429"/>
      <c r="J153" s="429"/>
      <c r="K153" s="429"/>
      <c r="L153" s="429"/>
      <c r="M153" s="429"/>
      <c r="N153" s="429"/>
      <c r="O153" s="429"/>
      <c r="P153" s="429"/>
      <c r="Q153" s="429"/>
      <c r="R153" s="429"/>
      <c r="S153" s="429"/>
      <c r="T153" s="429"/>
      <c r="U153" s="429"/>
      <c r="V153" s="429"/>
      <c r="W153" s="429"/>
      <c r="X153" s="429"/>
      <c r="Y153" s="429"/>
      <c r="Z153" s="429"/>
      <c r="AA153" s="429"/>
      <c r="AB153" s="417"/>
      <c r="AC153" s="417"/>
      <c r="AD153" s="417"/>
      <c r="AE153" s="417"/>
      <c r="AF153" s="417"/>
    </row>
    <row r="154" customFormat="false" ht="12.6" hidden="false" customHeight="true" outlineLevel="0" collapsed="false">
      <c r="A154" s="428"/>
      <c r="B154" s="417"/>
      <c r="C154" s="429"/>
      <c r="D154" s="429"/>
      <c r="E154" s="429"/>
      <c r="F154" s="429"/>
      <c r="G154" s="429"/>
      <c r="H154" s="429"/>
      <c r="I154" s="429"/>
      <c r="J154" s="429"/>
      <c r="K154" s="429"/>
      <c r="L154" s="429"/>
      <c r="M154" s="429"/>
      <c r="N154" s="429"/>
      <c r="O154" s="429"/>
      <c r="P154" s="429"/>
      <c r="Q154" s="429"/>
      <c r="R154" s="429"/>
      <c r="S154" s="429"/>
      <c r="T154" s="429"/>
      <c r="U154" s="429"/>
      <c r="V154" s="429"/>
      <c r="W154" s="429"/>
      <c r="X154" s="429"/>
      <c r="Y154" s="429"/>
      <c r="Z154" s="429"/>
      <c r="AA154" s="429"/>
      <c r="AB154" s="417"/>
      <c r="AC154" s="417"/>
      <c r="AD154" s="417"/>
      <c r="AE154" s="417"/>
      <c r="AF154" s="417"/>
    </row>
    <row r="155" customFormat="false" ht="12.6" hidden="false" customHeight="true" outlineLevel="0" collapsed="false">
      <c r="A155" s="428"/>
      <c r="B155" s="417"/>
      <c r="C155" s="429"/>
      <c r="D155" s="429"/>
      <c r="E155" s="429"/>
      <c r="F155" s="429"/>
      <c r="G155" s="429"/>
      <c r="H155" s="429"/>
      <c r="I155" s="429"/>
      <c r="J155" s="429"/>
      <c r="K155" s="429"/>
      <c r="L155" s="429"/>
      <c r="M155" s="429"/>
      <c r="N155" s="429"/>
      <c r="O155" s="429"/>
      <c r="P155" s="429"/>
      <c r="Q155" s="429"/>
      <c r="R155" s="429"/>
      <c r="S155" s="429"/>
      <c r="T155" s="429"/>
      <c r="U155" s="429"/>
      <c r="V155" s="429"/>
      <c r="W155" s="429"/>
      <c r="X155" s="429"/>
      <c r="Y155" s="429"/>
      <c r="Z155" s="429"/>
      <c r="AA155" s="429"/>
      <c r="AB155" s="417"/>
      <c r="AC155" s="417"/>
      <c r="AD155" s="417"/>
      <c r="AE155" s="417"/>
      <c r="AF155" s="417"/>
    </row>
    <row r="156" customFormat="false" ht="12.6" hidden="false" customHeight="true" outlineLevel="0" collapsed="false">
      <c r="A156" s="428"/>
      <c r="B156" s="417"/>
      <c r="C156" s="429"/>
      <c r="D156" s="429"/>
      <c r="E156" s="429"/>
      <c r="F156" s="429"/>
      <c r="G156" s="429"/>
      <c r="H156" s="429"/>
      <c r="I156" s="429"/>
      <c r="J156" s="429"/>
      <c r="K156" s="429"/>
      <c r="L156" s="429"/>
      <c r="M156" s="429"/>
      <c r="N156" s="429"/>
      <c r="O156" s="429"/>
      <c r="P156" s="429"/>
      <c r="Q156" s="429"/>
      <c r="R156" s="429"/>
      <c r="S156" s="429"/>
      <c r="T156" s="429"/>
      <c r="U156" s="429"/>
      <c r="V156" s="429"/>
      <c r="W156" s="429"/>
      <c r="X156" s="429"/>
      <c r="Y156" s="429"/>
      <c r="Z156" s="429"/>
      <c r="AA156" s="429"/>
      <c r="AB156" s="417"/>
      <c r="AC156" s="417"/>
      <c r="AD156" s="417"/>
      <c r="AE156" s="417"/>
      <c r="AF156" s="417"/>
    </row>
    <row r="157" customFormat="false" ht="12.6" hidden="false" customHeight="true" outlineLevel="0" collapsed="false">
      <c r="A157" s="428"/>
      <c r="B157" s="417"/>
      <c r="C157" s="429"/>
      <c r="D157" s="429"/>
      <c r="E157" s="429"/>
      <c r="F157" s="429"/>
      <c r="G157" s="429"/>
      <c r="H157" s="429"/>
      <c r="I157" s="429"/>
      <c r="J157" s="429"/>
      <c r="K157" s="429"/>
      <c r="L157" s="429"/>
      <c r="M157" s="429"/>
      <c r="N157" s="429"/>
      <c r="O157" s="429"/>
      <c r="P157" s="429"/>
      <c r="Q157" s="429"/>
      <c r="R157" s="429"/>
      <c r="S157" s="429"/>
      <c r="T157" s="429"/>
      <c r="U157" s="429"/>
      <c r="V157" s="429"/>
      <c r="W157" s="429"/>
      <c r="X157" s="429"/>
      <c r="Y157" s="429"/>
      <c r="Z157" s="429"/>
      <c r="AA157" s="429"/>
      <c r="AB157" s="417"/>
      <c r="AC157" s="417"/>
      <c r="AD157" s="417"/>
      <c r="AE157" s="417"/>
      <c r="AF157" s="417"/>
    </row>
    <row r="158" customFormat="false" ht="12.6" hidden="false" customHeight="true" outlineLevel="0" collapsed="false">
      <c r="A158" s="428"/>
      <c r="B158" s="417"/>
      <c r="C158" s="429"/>
      <c r="D158" s="429"/>
      <c r="E158" s="429"/>
      <c r="F158" s="429"/>
      <c r="G158" s="429"/>
      <c r="H158" s="429"/>
      <c r="I158" s="429"/>
      <c r="J158" s="429"/>
      <c r="K158" s="429"/>
      <c r="L158" s="429"/>
      <c r="M158" s="429"/>
      <c r="N158" s="429"/>
      <c r="O158" s="429"/>
      <c r="P158" s="429"/>
      <c r="Q158" s="429"/>
      <c r="R158" s="429"/>
      <c r="S158" s="429"/>
      <c r="T158" s="429"/>
      <c r="U158" s="429"/>
      <c r="V158" s="429"/>
      <c r="W158" s="429"/>
      <c r="X158" s="429"/>
      <c r="Y158" s="429"/>
      <c r="Z158" s="429"/>
      <c r="AA158" s="429"/>
      <c r="AB158" s="417"/>
      <c r="AC158" s="417"/>
      <c r="AD158" s="417"/>
      <c r="AE158" s="417"/>
      <c r="AF158" s="417"/>
    </row>
    <row r="164" customFormat="false" ht="12.6" hidden="false" customHeight="true" outlineLevel="0" collapsed="false">
      <c r="A164" s="641"/>
      <c r="B164" s="481"/>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80"/>
      <c r="AC164" s="480"/>
      <c r="AD164" s="480"/>
      <c r="AE164" s="480"/>
      <c r="AF164" s="480"/>
    </row>
    <row r="165" customFormat="false" ht="12.6" hidden="false" customHeight="true" outlineLevel="0" collapsed="false">
      <c r="A165" s="428"/>
      <c r="B165" s="480"/>
      <c r="C165" s="417"/>
      <c r="D165" s="417"/>
      <c r="E165" s="417"/>
      <c r="F165" s="417"/>
      <c r="G165" s="417"/>
      <c r="H165" s="417"/>
      <c r="I165" s="417"/>
      <c r="J165" s="417"/>
      <c r="K165" s="417"/>
      <c r="L165" s="417"/>
      <c r="M165" s="417"/>
      <c r="N165" s="417"/>
      <c r="O165" s="417"/>
      <c r="P165" s="417"/>
      <c r="Q165" s="417"/>
      <c r="R165" s="417"/>
      <c r="S165" s="417"/>
      <c r="T165" s="417"/>
      <c r="U165" s="417"/>
      <c r="V165" s="417"/>
      <c r="W165" s="417"/>
      <c r="X165" s="417"/>
      <c r="Y165" s="417"/>
      <c r="Z165" s="417"/>
      <c r="AA165" s="417"/>
      <c r="AB165" s="417"/>
      <c r="AC165" s="417"/>
      <c r="AD165" s="417"/>
      <c r="AE165" s="417"/>
      <c r="AF165" s="417"/>
      <c r="AG165" s="489"/>
      <c r="AH165" s="489"/>
      <c r="AI165" s="489"/>
      <c r="AJ165" s="489"/>
      <c r="AK165" s="489"/>
      <c r="AL165" s="489"/>
      <c r="AM165" s="489"/>
      <c r="AN165" s="489"/>
      <c r="AO165" s="489"/>
      <c r="AP165" s="489"/>
      <c r="AQ165" s="489"/>
      <c r="AR165" s="489"/>
      <c r="AS165" s="489"/>
      <c r="AT165" s="489"/>
      <c r="AU165" s="489"/>
      <c r="AV165" s="489"/>
      <c r="AW165" s="489"/>
      <c r="AX165" s="489"/>
      <c r="AY165" s="489"/>
      <c r="AZ165" s="489"/>
      <c r="BA165" s="489"/>
      <c r="BB165" s="489"/>
      <c r="BC165" s="489"/>
      <c r="BD165" s="489"/>
      <c r="BE165" s="489"/>
      <c r="BF165" s="489"/>
      <c r="BG165" s="489"/>
      <c r="BH165" s="489"/>
      <c r="BI165" s="489"/>
      <c r="BJ165" s="489"/>
      <c r="BK165" s="489"/>
      <c r="BL165" s="489"/>
      <c r="BM165" s="489"/>
      <c r="BN165" s="489"/>
      <c r="BO165" s="489"/>
      <c r="BP165" s="489"/>
      <c r="BQ165" s="489"/>
      <c r="BR165" s="489"/>
      <c r="BS165" s="489"/>
      <c r="BT165" s="489"/>
      <c r="BU165" s="489"/>
      <c r="BV165" s="489"/>
      <c r="BW165" s="489"/>
      <c r="BX165" s="489"/>
      <c r="BY165" s="489"/>
      <c r="BZ165" s="489"/>
      <c r="CA165" s="489"/>
      <c r="CB165" s="489"/>
      <c r="CC165" s="489"/>
      <c r="CD165" s="489"/>
      <c r="CE165" s="489"/>
      <c r="CF165" s="489"/>
      <c r="CG165" s="489"/>
      <c r="CH165" s="489"/>
      <c r="CI165" s="489"/>
      <c r="CJ165" s="489"/>
      <c r="CK165" s="489"/>
      <c r="CL165" s="489"/>
      <c r="CM165" s="489"/>
      <c r="CN165" s="489"/>
      <c r="CO165" s="489"/>
      <c r="CP165" s="489"/>
      <c r="CQ165" s="489"/>
      <c r="CR165" s="489"/>
      <c r="CS165" s="489"/>
      <c r="CT165" s="489"/>
      <c r="CU165" s="489"/>
      <c r="CV165" s="489"/>
      <c r="CW165" s="489"/>
      <c r="CX165" s="489"/>
      <c r="CY165" s="489"/>
      <c r="CZ165" s="489"/>
      <c r="DA165" s="489"/>
      <c r="DB165" s="489"/>
      <c r="DC165" s="489"/>
      <c r="DD165" s="489"/>
      <c r="DE165" s="489"/>
      <c r="DF165" s="489"/>
      <c r="DG165" s="489"/>
      <c r="DH165" s="489"/>
      <c r="DI165" s="489"/>
      <c r="DJ165" s="489"/>
      <c r="DK165" s="489"/>
      <c r="DL165" s="489"/>
      <c r="DM165" s="489"/>
      <c r="DN165" s="489"/>
      <c r="DO165" s="489"/>
      <c r="DP165" s="489"/>
      <c r="DQ165" s="489"/>
      <c r="DR165" s="489"/>
      <c r="DS165" s="489"/>
      <c r="DT165" s="489"/>
      <c r="DU165" s="489"/>
      <c r="DV165" s="489"/>
      <c r="DW165" s="489"/>
      <c r="DX165" s="489"/>
      <c r="DY165" s="489"/>
      <c r="DZ165" s="489"/>
      <c r="EA165" s="489"/>
      <c r="EB165" s="489"/>
      <c r="EC165" s="489"/>
      <c r="ED165" s="489"/>
      <c r="EE165" s="489"/>
      <c r="EF165" s="489"/>
      <c r="EG165" s="489"/>
      <c r="EH165" s="489"/>
      <c r="EI165" s="489"/>
      <c r="EJ165" s="489"/>
      <c r="EK165" s="489"/>
      <c r="EL165" s="489"/>
      <c r="EM165" s="489"/>
      <c r="EN165" s="489"/>
      <c r="EO165" s="489"/>
      <c r="EP165" s="489"/>
      <c r="EQ165" s="489"/>
      <c r="ER165" s="489"/>
      <c r="ES165" s="489"/>
      <c r="ET165" s="489"/>
      <c r="EU165" s="489"/>
      <c r="EV165" s="489"/>
      <c r="EW165" s="489"/>
      <c r="EX165" s="489"/>
      <c r="EY165" s="489"/>
      <c r="EZ165" s="489"/>
      <c r="FA165" s="489"/>
      <c r="FB165" s="489"/>
      <c r="FC165" s="489"/>
      <c r="FD165" s="489"/>
      <c r="FE165" s="489"/>
      <c r="FF165" s="489"/>
      <c r="FG165" s="489"/>
      <c r="FH165" s="489"/>
      <c r="FI165" s="489"/>
      <c r="FJ165" s="489"/>
      <c r="FK165" s="489"/>
      <c r="FL165" s="489"/>
      <c r="FM165" s="489"/>
      <c r="FN165" s="489"/>
      <c r="FO165" s="489"/>
      <c r="FP165" s="489"/>
      <c r="FQ165" s="489"/>
      <c r="FR165" s="489"/>
      <c r="FS165" s="489"/>
      <c r="FT165" s="489"/>
      <c r="FU165" s="489"/>
      <c r="FV165" s="489"/>
      <c r="FW165" s="489"/>
      <c r="FX165" s="489"/>
      <c r="FY165" s="489"/>
      <c r="FZ165" s="489"/>
      <c r="GA165" s="489"/>
      <c r="GB165" s="489"/>
      <c r="GC165" s="489"/>
      <c r="GD165" s="489"/>
      <c r="GE165" s="489"/>
      <c r="GF165" s="489"/>
      <c r="GG165" s="489"/>
      <c r="GH165" s="489"/>
      <c r="GI165" s="489"/>
      <c r="GJ165" s="489"/>
      <c r="GK165" s="489"/>
      <c r="GL165" s="489"/>
      <c r="GM165" s="489"/>
      <c r="GN165" s="489"/>
      <c r="GO165" s="489"/>
      <c r="GP165" s="489"/>
      <c r="GQ165" s="489"/>
      <c r="GR165" s="489"/>
      <c r="GS165" s="489"/>
      <c r="GT165" s="489"/>
      <c r="GU165" s="489"/>
      <c r="GV165" s="489"/>
      <c r="GW165" s="489"/>
      <c r="GX165" s="489"/>
      <c r="GY165" s="489"/>
      <c r="GZ165" s="489"/>
      <c r="HA165" s="489"/>
      <c r="HB165" s="489"/>
      <c r="HC165" s="489"/>
      <c r="HD165" s="489"/>
      <c r="HE165" s="489"/>
      <c r="HF165" s="489"/>
      <c r="HG165" s="489"/>
      <c r="HH165" s="489"/>
      <c r="HI165" s="489"/>
      <c r="HJ165" s="489"/>
      <c r="HK165" s="489"/>
      <c r="HL165" s="489"/>
      <c r="HM165" s="489"/>
      <c r="HN165" s="489"/>
      <c r="HO165" s="489"/>
      <c r="HP165" s="489"/>
      <c r="HQ165" s="489"/>
      <c r="HR165" s="489"/>
      <c r="HS165" s="489"/>
      <c r="HT165" s="489"/>
    </row>
    <row r="168" customFormat="false" ht="12.6" hidden="false" customHeight="true" outlineLevel="0" collapsed="false"/>
    <row r="179" customFormat="false" ht="12.6" hidden="false" customHeight="true" outlineLevel="0" collapsed="false"/>
  </sheetData>
  <printOptions headings="false" gridLines="false" gridLinesSet="true" horizontalCentered="false" verticalCentered="false"/>
  <pageMargins left="0.25" right="0.25" top="0.2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colBreaks count="1" manualBreakCount="1">
    <brk id="14" man="true" max="65535" min="0"/>
  </col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293"/>
  <sheetViews>
    <sheetView showFormulas="false" showGridLines="true" showRowColHeaders="true" showZeros="true" rightToLeft="false" tabSelected="false" showOutlineSymbols="true" defaultGridColor="true" view="normal" topLeftCell="A44" colorId="64" zoomScale="75" zoomScaleNormal="75" zoomScalePageLayoutView="85" workbookViewId="0">
      <selection pane="topLeft" activeCell="D75" activeCellId="0" sqref="D75:X75"/>
    </sheetView>
  </sheetViews>
  <sheetFormatPr defaultColWidth="9.28125" defaultRowHeight="12.6" customHeight="true" zeroHeight="false" outlineLevelRow="0" outlineLevelCol="0"/>
  <cols>
    <col collapsed="false" customWidth="true" hidden="false" outlineLevel="0" max="1" min="1" style="642" width="9.14"/>
    <col collapsed="false" customWidth="true" hidden="false" outlineLevel="0" max="2" min="2" style="480" width="28.14"/>
    <col collapsed="false" customWidth="true" hidden="false" outlineLevel="0" max="3" min="3" style="480" width="8.28"/>
    <col collapsed="false" customWidth="true" hidden="false" outlineLevel="0" max="4" min="4" style="480" width="11.7"/>
    <col collapsed="false" customWidth="true" hidden="false" outlineLevel="0" max="7" min="5" style="480" width="9.99"/>
    <col collapsed="false" customWidth="true" hidden="false" outlineLevel="0" max="8" min="8" style="480" width="10.28"/>
    <col collapsed="false" customWidth="true" hidden="false" outlineLevel="0" max="9" min="9" style="480" width="9.99"/>
    <col collapsed="false" customWidth="true" hidden="false" outlineLevel="0" max="11" min="10" style="480" width="10.41"/>
    <col collapsed="false" customWidth="true" hidden="false" outlineLevel="0" max="14" min="12" style="480" width="9.99"/>
    <col collapsed="false" customWidth="true" hidden="false" outlineLevel="0" max="15" min="15" style="480" width="9.85"/>
    <col collapsed="false" customWidth="true" hidden="false" outlineLevel="0" max="16" min="16" style="480" width="10.41"/>
    <col collapsed="false" customWidth="true" hidden="false" outlineLevel="0" max="17" min="17" style="480" width="9.99"/>
    <col collapsed="false" customWidth="true" hidden="false" outlineLevel="0" max="18" min="18" style="480" width="10.41"/>
    <col collapsed="false" customWidth="true" hidden="false" outlineLevel="0" max="19" min="19" style="480" width="9.99"/>
    <col collapsed="false" customWidth="true" hidden="false" outlineLevel="0" max="21" min="20" style="480" width="10.28"/>
    <col collapsed="false" customWidth="true" hidden="false" outlineLevel="0" max="22" min="22" style="480" width="9.99"/>
    <col collapsed="false" customWidth="true" hidden="false" outlineLevel="0" max="23" min="23" style="480" width="9.85"/>
    <col collapsed="false" customWidth="true" hidden="false" outlineLevel="0" max="24" min="24" style="480" width="10.85"/>
    <col collapsed="false" customWidth="true" hidden="false" outlineLevel="0" max="27" min="25" style="480" width="7.14"/>
    <col collapsed="false" customWidth="false" hidden="false" outlineLevel="0" max="28" min="28" style="480" width="9.28"/>
    <col collapsed="false" customWidth="false" hidden="false" outlineLevel="0" max="30" min="29" style="642" width="9.28"/>
    <col collapsed="false" customWidth="true" hidden="false" outlineLevel="0" max="31" min="31" style="0" width="9.7"/>
    <col collapsed="false" customWidth="true" hidden="false" outlineLevel="0" max="32" min="32" style="642" width="10.71"/>
    <col collapsed="false" customWidth="false" hidden="false" outlineLevel="0" max="257" min="33" style="642" width="9.28"/>
  </cols>
  <sheetData>
    <row r="1" customFormat="false" ht="20.25" hidden="false" customHeight="true" outlineLevel="0" collapsed="false">
      <c r="B1" s="374" t="str">
        <f aca="false">'Project Assumptions'!$A$2</f>
        <v>GLEASON, TN</v>
      </c>
      <c r="C1" s="375"/>
      <c r="AD1" s="643"/>
    </row>
    <row r="2" customFormat="false" ht="15.6" hidden="false" customHeight="true" outlineLevel="0" collapsed="false">
      <c r="B2" s="377" t="s">
        <v>488</v>
      </c>
      <c r="C2" s="378"/>
      <c r="D2" s="627"/>
      <c r="E2" s="627"/>
      <c r="F2" s="627"/>
      <c r="G2" s="627"/>
      <c r="H2" s="627"/>
      <c r="I2" s="627"/>
      <c r="J2" s="627"/>
      <c r="K2" s="627"/>
      <c r="L2" s="627"/>
      <c r="M2" s="627"/>
      <c r="N2" s="627"/>
      <c r="O2" s="627"/>
      <c r="P2" s="627"/>
      <c r="Q2" s="627"/>
      <c r="R2" s="627"/>
      <c r="S2" s="627"/>
      <c r="T2" s="627"/>
      <c r="U2" s="627"/>
      <c r="V2" s="627"/>
      <c r="W2" s="627"/>
      <c r="X2" s="627"/>
      <c r="Y2" s="627"/>
      <c r="Z2" s="627"/>
      <c r="AA2" s="627"/>
      <c r="AB2" s="627"/>
      <c r="AD2" s="643"/>
    </row>
    <row r="3" customFormat="false" ht="12.6" hidden="false" customHeight="true" outlineLevel="0" collapsed="false">
      <c r="B3" s="644"/>
      <c r="C3" s="7"/>
      <c r="D3" s="480" t="n">
        <v>1</v>
      </c>
      <c r="E3" s="480" t="n">
        <f aca="false">D3+1</f>
        <v>2</v>
      </c>
      <c r="F3" s="480" t="n">
        <f aca="false">E3+1</f>
        <v>3</v>
      </c>
      <c r="G3" s="480" t="n">
        <f aca="false">F3+1</f>
        <v>4</v>
      </c>
      <c r="H3" s="480" t="n">
        <f aca="false">G3+1</f>
        <v>5</v>
      </c>
      <c r="I3" s="480" t="n">
        <f aca="false">H3+1</f>
        <v>6</v>
      </c>
      <c r="J3" s="480" t="n">
        <f aca="false">I3+1</f>
        <v>7</v>
      </c>
      <c r="K3" s="480" t="n">
        <f aca="false">J3+1</f>
        <v>8</v>
      </c>
      <c r="L3" s="480" t="n">
        <f aca="false">K3+1</f>
        <v>9</v>
      </c>
      <c r="M3" s="480" t="n">
        <f aca="false">L3+1</f>
        <v>10</v>
      </c>
      <c r="N3" s="480" t="n">
        <f aca="false">M3+1</f>
        <v>11</v>
      </c>
      <c r="O3" s="480" t="n">
        <f aca="false">N3+1</f>
        <v>12</v>
      </c>
      <c r="P3" s="480" t="n">
        <f aca="false">O3+1</f>
        <v>13</v>
      </c>
      <c r="Q3" s="480" t="n">
        <f aca="false">P3+1</f>
        <v>14</v>
      </c>
      <c r="R3" s="480" t="n">
        <f aca="false">Q3+1</f>
        <v>15</v>
      </c>
      <c r="S3" s="480" t="n">
        <f aca="false">R3+1</f>
        <v>16</v>
      </c>
      <c r="T3" s="480" t="n">
        <f aca="false">S3+1</f>
        <v>17</v>
      </c>
      <c r="U3" s="480" t="n">
        <f aca="false">T3+1</f>
        <v>18</v>
      </c>
      <c r="V3" s="480" t="n">
        <f aca="false">U3+1</f>
        <v>19</v>
      </c>
      <c r="W3" s="480" t="n">
        <f aca="false">V3+1</f>
        <v>20</v>
      </c>
      <c r="X3" s="480" t="n">
        <f aca="false">W3+1</f>
        <v>21</v>
      </c>
      <c r="Y3" s="480" t="n">
        <f aca="false">X3+1</f>
        <v>22</v>
      </c>
      <c r="Z3" s="480" t="n">
        <f aca="false">Y3+1</f>
        <v>23</v>
      </c>
      <c r="AA3" s="480" t="n">
        <f aca="false">Z3+1</f>
        <v>24</v>
      </c>
      <c r="AB3" s="480" t="n">
        <f aca="false">AA3+1</f>
        <v>25</v>
      </c>
      <c r="AD3" s="643"/>
    </row>
    <row r="4" customFormat="false" ht="12.6" hidden="false" customHeight="true" outlineLevel="0" collapsed="false">
      <c r="B4" s="483"/>
      <c r="C4" s="484"/>
      <c r="D4" s="382" t="n">
        <f aca="false">YEAR(StartDate)</f>
        <v>2000</v>
      </c>
      <c r="E4" s="382" t="n">
        <f aca="false">D4+1</f>
        <v>2001</v>
      </c>
      <c r="F4" s="382" t="n">
        <f aca="false">E4+1</f>
        <v>2002</v>
      </c>
      <c r="G4" s="382" t="n">
        <f aca="false">F4+1</f>
        <v>2003</v>
      </c>
      <c r="H4" s="382" t="n">
        <f aca="false">G4+1</f>
        <v>2004</v>
      </c>
      <c r="I4" s="382" t="n">
        <f aca="false">H4+1</f>
        <v>2005</v>
      </c>
      <c r="J4" s="382" t="n">
        <f aca="false">I4+1</f>
        <v>2006</v>
      </c>
      <c r="K4" s="382" t="n">
        <f aca="false">J4+1</f>
        <v>2007</v>
      </c>
      <c r="L4" s="382" t="n">
        <f aca="false">K4+1</f>
        <v>2008</v>
      </c>
      <c r="M4" s="382" t="n">
        <f aca="false">L4+1</f>
        <v>2009</v>
      </c>
      <c r="N4" s="382" t="n">
        <f aca="false">M4+1</f>
        <v>2010</v>
      </c>
      <c r="O4" s="382" t="n">
        <f aca="false">N4+1</f>
        <v>2011</v>
      </c>
      <c r="P4" s="382" t="n">
        <f aca="false">O4+1</f>
        <v>2012</v>
      </c>
      <c r="Q4" s="382" t="n">
        <f aca="false">P4+1</f>
        <v>2013</v>
      </c>
      <c r="R4" s="382" t="n">
        <f aca="false">Q4+1</f>
        <v>2014</v>
      </c>
      <c r="S4" s="382" t="n">
        <f aca="false">R4+1</f>
        <v>2015</v>
      </c>
      <c r="T4" s="382" t="n">
        <f aca="false">S4+1</f>
        <v>2016</v>
      </c>
      <c r="U4" s="382" t="n">
        <f aca="false">T4+1</f>
        <v>2017</v>
      </c>
      <c r="V4" s="382" t="n">
        <f aca="false">U4+1</f>
        <v>2018</v>
      </c>
      <c r="W4" s="382" t="n">
        <f aca="false">V4+1</f>
        <v>2019</v>
      </c>
      <c r="X4" s="382" t="n">
        <f aca="false">W4+1</f>
        <v>2020</v>
      </c>
      <c r="Y4" s="382" t="n">
        <f aca="false">X4+1</f>
        <v>2021</v>
      </c>
      <c r="Z4" s="382" t="n">
        <f aca="false">Y4+1</f>
        <v>2022</v>
      </c>
      <c r="AA4" s="382" t="n">
        <f aca="false">Z4+1</f>
        <v>2023</v>
      </c>
      <c r="AB4" s="383" t="n">
        <f aca="false">AA4+1</f>
        <v>2024</v>
      </c>
      <c r="AC4" s="485"/>
      <c r="AD4" s="485"/>
      <c r="AF4" s="485"/>
      <c r="AG4" s="485"/>
      <c r="AH4" s="485"/>
      <c r="AI4" s="485"/>
      <c r="AJ4" s="485"/>
      <c r="AK4" s="485"/>
      <c r="AL4" s="485"/>
      <c r="AM4" s="485"/>
      <c r="AN4" s="485"/>
      <c r="AO4" s="485"/>
      <c r="AP4" s="485"/>
      <c r="AQ4" s="485"/>
      <c r="AR4" s="485"/>
      <c r="AS4" s="485"/>
      <c r="AT4" s="485"/>
      <c r="AU4" s="485"/>
      <c r="AV4" s="485"/>
      <c r="AW4" s="485"/>
      <c r="AX4" s="485"/>
      <c r="AY4" s="485"/>
      <c r="AZ4" s="485"/>
      <c r="BA4" s="485"/>
    </row>
    <row r="5" customFormat="false" ht="12.6" hidden="false" customHeight="true" outlineLevel="0" collapsed="false">
      <c r="B5" s="645" t="str">
        <f aca="false">'PPA Assumptions &amp;Summary'!A5</f>
        <v>Months of Operation</v>
      </c>
      <c r="D5" s="387" t="n">
        <f aca="false">'PPA Assumptions &amp;Summary'!C5</f>
        <v>7</v>
      </c>
      <c r="E5" s="387" t="n">
        <f aca="false">'PPA Assumptions &amp;Summary'!D5</f>
        <v>12</v>
      </c>
      <c r="F5" s="387" t="n">
        <f aca="false">'PPA Assumptions &amp;Summary'!E5</f>
        <v>12</v>
      </c>
      <c r="G5" s="387" t="n">
        <f aca="false">'PPA Assumptions &amp;Summary'!F5</f>
        <v>12</v>
      </c>
      <c r="H5" s="387" t="n">
        <f aca="false">'PPA Assumptions &amp;Summary'!G5</f>
        <v>12</v>
      </c>
      <c r="I5" s="387" t="n">
        <f aca="false">'PPA Assumptions &amp;Summary'!H5</f>
        <v>12</v>
      </c>
      <c r="J5" s="387" t="n">
        <f aca="false">'PPA Assumptions &amp;Summary'!I5</f>
        <v>12</v>
      </c>
      <c r="K5" s="387" t="n">
        <f aca="false">'PPA Assumptions &amp;Summary'!J5</f>
        <v>12</v>
      </c>
      <c r="L5" s="387" t="n">
        <f aca="false">'PPA Assumptions &amp;Summary'!K5</f>
        <v>12</v>
      </c>
      <c r="M5" s="387" t="n">
        <f aca="false">'PPA Assumptions &amp;Summary'!L5</f>
        <v>12</v>
      </c>
      <c r="N5" s="387" t="n">
        <f aca="false">'PPA Assumptions &amp;Summary'!M5</f>
        <v>12</v>
      </c>
      <c r="O5" s="387" t="n">
        <f aca="false">'PPA Assumptions &amp;Summary'!N5</f>
        <v>12</v>
      </c>
      <c r="P5" s="387" t="n">
        <f aca="false">'PPA Assumptions &amp;Summary'!O5</f>
        <v>12</v>
      </c>
      <c r="Q5" s="387" t="n">
        <f aca="false">'PPA Assumptions &amp;Summary'!P5</f>
        <v>12</v>
      </c>
      <c r="R5" s="387" t="n">
        <f aca="false">'PPA Assumptions &amp;Summary'!Q5</f>
        <v>12</v>
      </c>
      <c r="S5" s="387" t="n">
        <f aca="false">'PPA Assumptions &amp;Summary'!R5</f>
        <v>12</v>
      </c>
      <c r="T5" s="387" t="n">
        <f aca="false">'PPA Assumptions &amp;Summary'!S5</f>
        <v>12</v>
      </c>
      <c r="U5" s="387" t="n">
        <f aca="false">'PPA Assumptions &amp;Summary'!T5</f>
        <v>12</v>
      </c>
      <c r="V5" s="387" t="n">
        <f aca="false">'PPA Assumptions &amp;Summary'!U5</f>
        <v>12</v>
      </c>
      <c r="W5" s="387" t="n">
        <f aca="false">'PPA Assumptions &amp;Summary'!V5</f>
        <v>12</v>
      </c>
      <c r="X5" s="387" t="n">
        <f aca="false">'PPA Assumptions &amp;Summary'!W5</f>
        <v>5</v>
      </c>
      <c r="Y5" s="387" t="n">
        <f aca="false">'PPA Assumptions &amp;Summary'!X5</f>
        <v>0</v>
      </c>
      <c r="Z5" s="387" t="n">
        <f aca="false">'PPA Assumptions &amp;Summary'!Y5</f>
        <v>0</v>
      </c>
      <c r="AA5" s="387" t="n">
        <f aca="false">'PPA Assumptions &amp;Summary'!Z5</f>
        <v>0</v>
      </c>
      <c r="AB5" s="389" t="n">
        <f aca="false">'PPA Assumptions &amp;Summary'!AA5</f>
        <v>0</v>
      </c>
      <c r="AD5" s="643"/>
    </row>
    <row r="6" customFormat="false" ht="12.6" hidden="false" customHeight="true" outlineLevel="0" collapsed="false">
      <c r="B6" s="645" t="str">
        <f aca="false">'PPA Assumptions &amp;Summary'!A6</f>
        <v>Months of Year Under PPA</v>
      </c>
      <c r="D6" s="387" t="n">
        <f aca="false">'PPA Assumptions &amp;Summary'!C6</f>
        <v>7</v>
      </c>
      <c r="E6" s="387" t="n">
        <f aca="false">'PPA Assumptions &amp;Summary'!D6</f>
        <v>12</v>
      </c>
      <c r="F6" s="387" t="n">
        <f aca="false">'PPA Assumptions &amp;Summary'!E6</f>
        <v>12</v>
      </c>
      <c r="G6" s="387" t="n">
        <f aca="false">'PPA Assumptions &amp;Summary'!F6</f>
        <v>5</v>
      </c>
      <c r="H6" s="387" t="n">
        <f aca="false">'PPA Assumptions &amp;Summary'!G6</f>
        <v>0</v>
      </c>
      <c r="I6" s="387" t="n">
        <f aca="false">'PPA Assumptions &amp;Summary'!H6</f>
        <v>0</v>
      </c>
      <c r="J6" s="387" t="n">
        <f aca="false">'PPA Assumptions &amp;Summary'!I6</f>
        <v>0</v>
      </c>
      <c r="K6" s="387" t="n">
        <f aca="false">'PPA Assumptions &amp;Summary'!J6</f>
        <v>0</v>
      </c>
      <c r="L6" s="387" t="n">
        <f aca="false">'PPA Assumptions &amp;Summary'!K6</f>
        <v>0</v>
      </c>
      <c r="M6" s="387" t="n">
        <f aca="false">'PPA Assumptions &amp;Summary'!L6</f>
        <v>0</v>
      </c>
      <c r="N6" s="387" t="n">
        <f aca="false">'PPA Assumptions &amp;Summary'!M6</f>
        <v>0</v>
      </c>
      <c r="O6" s="387" t="n">
        <f aca="false">'PPA Assumptions &amp;Summary'!N6</f>
        <v>0</v>
      </c>
      <c r="P6" s="387" t="n">
        <f aca="false">'PPA Assumptions &amp;Summary'!O6</f>
        <v>0</v>
      </c>
      <c r="Q6" s="387" t="n">
        <f aca="false">'PPA Assumptions &amp;Summary'!P6</f>
        <v>0</v>
      </c>
      <c r="R6" s="387" t="n">
        <f aca="false">'PPA Assumptions &amp;Summary'!Q6</f>
        <v>0</v>
      </c>
      <c r="S6" s="387" t="n">
        <f aca="false">'PPA Assumptions &amp;Summary'!R6</f>
        <v>0</v>
      </c>
      <c r="T6" s="387" t="n">
        <f aca="false">'PPA Assumptions &amp;Summary'!S6</f>
        <v>0</v>
      </c>
      <c r="U6" s="387" t="n">
        <f aca="false">'PPA Assumptions &amp;Summary'!T6</f>
        <v>0</v>
      </c>
      <c r="V6" s="387" t="n">
        <f aca="false">'PPA Assumptions &amp;Summary'!U6</f>
        <v>0</v>
      </c>
      <c r="W6" s="387" t="n">
        <f aca="false">'PPA Assumptions &amp;Summary'!V6</f>
        <v>0</v>
      </c>
      <c r="X6" s="387" t="n">
        <f aca="false">'PPA Assumptions &amp;Summary'!W6</f>
        <v>0</v>
      </c>
      <c r="Y6" s="387" t="n">
        <f aca="false">'PPA Assumptions &amp;Summary'!X6</f>
        <v>0</v>
      </c>
      <c r="Z6" s="387" t="n">
        <f aca="false">'PPA Assumptions &amp;Summary'!Y6</f>
        <v>0</v>
      </c>
      <c r="AA6" s="387" t="n">
        <f aca="false">'PPA Assumptions &amp;Summary'!Z6</f>
        <v>0</v>
      </c>
      <c r="AB6" s="389" t="n">
        <f aca="false">'PPA Assumptions &amp;Summary'!AA6</f>
        <v>0</v>
      </c>
      <c r="AD6" s="643"/>
    </row>
    <row r="7" customFormat="false" ht="12.6" hidden="false" customHeight="true" outlineLevel="0" collapsed="false">
      <c r="A7" s="620"/>
      <c r="B7" s="646" t="str">
        <f aca="false">'PPA Assumptions &amp;Summary'!A7</f>
        <v>Months of Year Merchant</v>
      </c>
      <c r="C7" s="425"/>
      <c r="D7" s="647" t="n">
        <f aca="false">'PPA Assumptions &amp;Summary'!C7</f>
        <v>0</v>
      </c>
      <c r="E7" s="647" t="n">
        <f aca="false">'PPA Assumptions &amp;Summary'!D7</f>
        <v>0</v>
      </c>
      <c r="F7" s="647" t="n">
        <f aca="false">'PPA Assumptions &amp;Summary'!E7</f>
        <v>0</v>
      </c>
      <c r="G7" s="647" t="n">
        <f aca="false">'PPA Assumptions &amp;Summary'!F7</f>
        <v>7</v>
      </c>
      <c r="H7" s="647" t="n">
        <f aca="false">'PPA Assumptions &amp;Summary'!G7</f>
        <v>12</v>
      </c>
      <c r="I7" s="647" t="n">
        <f aca="false">'PPA Assumptions &amp;Summary'!H7</f>
        <v>12</v>
      </c>
      <c r="J7" s="647" t="n">
        <f aca="false">'PPA Assumptions &amp;Summary'!I7</f>
        <v>12</v>
      </c>
      <c r="K7" s="647" t="n">
        <f aca="false">'PPA Assumptions &amp;Summary'!J7</f>
        <v>12</v>
      </c>
      <c r="L7" s="647" t="n">
        <f aca="false">'PPA Assumptions &amp;Summary'!K7</f>
        <v>12</v>
      </c>
      <c r="M7" s="647" t="n">
        <f aca="false">'PPA Assumptions &amp;Summary'!L7</f>
        <v>12</v>
      </c>
      <c r="N7" s="647" t="n">
        <f aca="false">'PPA Assumptions &amp;Summary'!M7</f>
        <v>12</v>
      </c>
      <c r="O7" s="647" t="n">
        <f aca="false">'PPA Assumptions &amp;Summary'!N7</f>
        <v>12</v>
      </c>
      <c r="P7" s="647" t="n">
        <f aca="false">'PPA Assumptions &amp;Summary'!O7</f>
        <v>12</v>
      </c>
      <c r="Q7" s="647" t="n">
        <f aca="false">'PPA Assumptions &amp;Summary'!P7</f>
        <v>12</v>
      </c>
      <c r="R7" s="647" t="n">
        <f aca="false">'PPA Assumptions &amp;Summary'!Q7</f>
        <v>12</v>
      </c>
      <c r="S7" s="647" t="n">
        <f aca="false">'PPA Assumptions &amp;Summary'!R7</f>
        <v>12</v>
      </c>
      <c r="T7" s="647" t="n">
        <f aca="false">'PPA Assumptions &amp;Summary'!S7</f>
        <v>12</v>
      </c>
      <c r="U7" s="647" t="n">
        <f aca="false">'PPA Assumptions &amp;Summary'!T7</f>
        <v>12</v>
      </c>
      <c r="V7" s="647" t="n">
        <f aca="false">'PPA Assumptions &amp;Summary'!U7</f>
        <v>12</v>
      </c>
      <c r="W7" s="647" t="n">
        <f aca="false">'PPA Assumptions &amp;Summary'!V7</f>
        <v>12</v>
      </c>
      <c r="X7" s="647" t="n">
        <f aca="false">'PPA Assumptions &amp;Summary'!W7</f>
        <v>5</v>
      </c>
      <c r="Y7" s="647" t="n">
        <f aca="false">'PPA Assumptions &amp;Summary'!X7</f>
        <v>0</v>
      </c>
      <c r="Z7" s="647" t="n">
        <f aca="false">'PPA Assumptions &amp;Summary'!Y7</f>
        <v>0</v>
      </c>
      <c r="AA7" s="647" t="n">
        <f aca="false">'PPA Assumptions &amp;Summary'!Z7</f>
        <v>0</v>
      </c>
      <c r="AB7" s="648" t="n">
        <f aca="false">'PPA Assumptions &amp;Summary'!AA7</f>
        <v>0</v>
      </c>
      <c r="AC7" s="620"/>
      <c r="AD7" s="643"/>
      <c r="AF7" s="620"/>
      <c r="AG7" s="620"/>
      <c r="AH7" s="620"/>
      <c r="AI7" s="620"/>
      <c r="AJ7" s="620"/>
      <c r="AK7" s="620"/>
      <c r="AL7" s="620"/>
      <c r="AM7" s="620"/>
      <c r="AN7" s="620"/>
      <c r="AO7" s="620"/>
      <c r="AP7" s="620"/>
      <c r="AQ7" s="620"/>
      <c r="AR7" s="620"/>
      <c r="AS7" s="620"/>
      <c r="AT7" s="620"/>
      <c r="AU7" s="620"/>
      <c r="AV7" s="620"/>
      <c r="AW7" s="620"/>
      <c r="AX7" s="620"/>
      <c r="AY7" s="620"/>
      <c r="AZ7" s="620"/>
      <c r="BA7" s="620"/>
      <c r="BB7" s="620"/>
      <c r="BC7" s="620"/>
      <c r="BD7" s="620"/>
      <c r="BE7" s="620"/>
      <c r="BF7" s="620"/>
      <c r="BG7" s="620"/>
      <c r="BH7" s="620"/>
      <c r="BI7" s="620"/>
      <c r="BJ7" s="620"/>
      <c r="BK7" s="620"/>
      <c r="BL7" s="620"/>
      <c r="BM7" s="620"/>
      <c r="BN7" s="620"/>
      <c r="BO7" s="620"/>
      <c r="BP7" s="620"/>
      <c r="BQ7" s="620"/>
      <c r="BR7" s="620"/>
      <c r="BS7" s="620"/>
      <c r="BT7" s="620"/>
      <c r="BU7" s="620"/>
      <c r="BV7" s="620"/>
      <c r="BW7" s="620"/>
      <c r="BX7" s="620"/>
      <c r="BY7" s="620"/>
      <c r="BZ7" s="620"/>
      <c r="CA7" s="620"/>
      <c r="CB7" s="620"/>
      <c r="CC7" s="620"/>
      <c r="CD7" s="620"/>
      <c r="CE7" s="620"/>
      <c r="CF7" s="620"/>
      <c r="CG7" s="620"/>
      <c r="CH7" s="620"/>
      <c r="CI7" s="620"/>
      <c r="CJ7" s="620"/>
      <c r="CK7" s="620"/>
      <c r="CL7" s="620"/>
      <c r="CM7" s="620"/>
      <c r="CN7" s="620"/>
      <c r="CO7" s="620"/>
      <c r="CP7" s="620"/>
      <c r="CQ7" s="620"/>
      <c r="CR7" s="620"/>
      <c r="CS7" s="620"/>
      <c r="CT7" s="620"/>
      <c r="CU7" s="620"/>
      <c r="CV7" s="620"/>
      <c r="CW7" s="620"/>
      <c r="CX7" s="620"/>
      <c r="CY7" s="620"/>
      <c r="CZ7" s="620"/>
      <c r="DA7" s="620"/>
      <c r="DB7" s="620"/>
      <c r="DC7" s="620"/>
      <c r="DD7" s="620"/>
      <c r="DE7" s="620"/>
      <c r="DF7" s="620"/>
      <c r="DG7" s="620"/>
      <c r="DH7" s="620"/>
      <c r="DI7" s="620"/>
      <c r="DJ7" s="620"/>
      <c r="DK7" s="620"/>
      <c r="DL7" s="620"/>
      <c r="DM7" s="620"/>
      <c r="DN7" s="620"/>
      <c r="DO7" s="620"/>
      <c r="DP7" s="620"/>
      <c r="DQ7" s="620"/>
      <c r="DR7" s="620"/>
      <c r="DS7" s="620"/>
      <c r="DT7" s="620"/>
      <c r="DU7" s="620"/>
      <c r="DV7" s="620"/>
      <c r="DW7" s="620"/>
      <c r="DX7" s="620"/>
      <c r="DY7" s="620"/>
      <c r="DZ7" s="620"/>
      <c r="EA7" s="620"/>
      <c r="EB7" s="620"/>
      <c r="EC7" s="620"/>
      <c r="ED7" s="620"/>
      <c r="EE7" s="620"/>
      <c r="EF7" s="620"/>
      <c r="EG7" s="620"/>
      <c r="EH7" s="620"/>
      <c r="EI7" s="620"/>
      <c r="EJ7" s="620"/>
      <c r="EK7" s="620"/>
      <c r="EL7" s="620"/>
      <c r="EM7" s="620"/>
      <c r="EN7" s="620"/>
      <c r="EO7" s="620"/>
      <c r="EP7" s="620"/>
      <c r="EQ7" s="620"/>
      <c r="ER7" s="620"/>
      <c r="ES7" s="620"/>
      <c r="ET7" s="620"/>
      <c r="EU7" s="620"/>
      <c r="EV7" s="620"/>
      <c r="EW7" s="620"/>
      <c r="EX7" s="620"/>
      <c r="EY7" s="620"/>
      <c r="EZ7" s="620"/>
      <c r="FA7" s="620"/>
      <c r="FB7" s="620"/>
      <c r="FC7" s="620"/>
      <c r="FD7" s="620"/>
      <c r="FE7" s="620"/>
      <c r="FF7" s="620"/>
      <c r="FG7" s="620"/>
      <c r="FH7" s="620"/>
      <c r="FI7" s="620"/>
      <c r="FJ7" s="620"/>
      <c r="FK7" s="620"/>
      <c r="FL7" s="620"/>
      <c r="FM7" s="620"/>
      <c r="FN7" s="620"/>
      <c r="FO7" s="620"/>
      <c r="FP7" s="620"/>
      <c r="FQ7" s="620"/>
      <c r="FR7" s="620"/>
      <c r="FS7" s="620"/>
      <c r="FT7" s="620"/>
      <c r="FU7" s="620"/>
      <c r="FV7" s="620"/>
      <c r="FW7" s="620"/>
      <c r="FX7" s="620"/>
      <c r="FY7" s="620"/>
      <c r="FZ7" s="620"/>
      <c r="GA7" s="620"/>
      <c r="GB7" s="620"/>
      <c r="GC7" s="620"/>
      <c r="GD7" s="620"/>
      <c r="GE7" s="620"/>
      <c r="GF7" s="620"/>
      <c r="GG7" s="620"/>
      <c r="GH7" s="620"/>
      <c r="GI7" s="620"/>
      <c r="GJ7" s="620"/>
      <c r="GK7" s="620"/>
      <c r="GL7" s="620"/>
      <c r="GM7" s="620"/>
      <c r="GN7" s="620"/>
      <c r="GO7" s="620"/>
      <c r="GP7" s="620"/>
      <c r="GQ7" s="620"/>
      <c r="GR7" s="620"/>
      <c r="GS7" s="620"/>
      <c r="GT7" s="620"/>
      <c r="GU7" s="620"/>
      <c r="GV7" s="620"/>
      <c r="GW7" s="620"/>
      <c r="GX7" s="620"/>
      <c r="GY7" s="620"/>
      <c r="GZ7" s="620"/>
      <c r="HA7" s="620"/>
      <c r="HB7" s="620"/>
      <c r="HC7" s="620"/>
      <c r="HD7" s="620"/>
      <c r="HE7" s="620"/>
      <c r="HF7" s="620"/>
      <c r="HG7" s="620"/>
      <c r="HH7" s="620"/>
      <c r="HI7" s="620"/>
      <c r="HJ7" s="620"/>
      <c r="HK7" s="620"/>
      <c r="HL7" s="620"/>
      <c r="HM7" s="620"/>
      <c r="HN7" s="620"/>
      <c r="HO7" s="620"/>
      <c r="HP7" s="620"/>
      <c r="HQ7" s="620"/>
      <c r="HR7" s="620"/>
      <c r="HS7" s="620"/>
      <c r="HT7" s="620"/>
      <c r="HU7" s="620"/>
      <c r="HV7" s="620"/>
      <c r="HW7" s="620"/>
      <c r="HX7" s="620"/>
      <c r="HY7" s="620"/>
      <c r="HZ7" s="620"/>
      <c r="IA7" s="620"/>
      <c r="IB7" s="620"/>
      <c r="IC7" s="620"/>
      <c r="ID7" s="620"/>
      <c r="IE7" s="620"/>
      <c r="IF7" s="620"/>
      <c r="IG7" s="620"/>
      <c r="IH7" s="620"/>
      <c r="II7" s="620"/>
      <c r="IJ7" s="620"/>
      <c r="IK7" s="620"/>
      <c r="IL7" s="620"/>
      <c r="IM7" s="620"/>
      <c r="IN7" s="620"/>
      <c r="IO7" s="620"/>
      <c r="IP7" s="620"/>
      <c r="IQ7" s="620"/>
      <c r="IR7" s="620"/>
      <c r="IS7" s="620"/>
      <c r="IT7" s="620"/>
      <c r="IU7" s="620"/>
      <c r="IV7" s="620"/>
      <c r="IW7" s="620"/>
    </row>
    <row r="8" customFormat="false" ht="12.6" hidden="false" customHeight="true" outlineLevel="0" collapsed="false">
      <c r="A8" s="620"/>
      <c r="B8" s="641"/>
      <c r="C8" s="417"/>
      <c r="D8" s="387"/>
      <c r="E8" s="387"/>
      <c r="F8" s="387"/>
      <c r="G8" s="387"/>
      <c r="H8" s="387"/>
      <c r="I8" s="387"/>
      <c r="J8" s="387"/>
      <c r="K8" s="387"/>
      <c r="L8" s="387"/>
      <c r="M8" s="387"/>
      <c r="N8" s="387"/>
      <c r="O8" s="387"/>
      <c r="P8" s="387"/>
      <c r="Q8" s="387"/>
      <c r="R8" s="387"/>
      <c r="S8" s="387"/>
      <c r="T8" s="387"/>
      <c r="U8" s="387"/>
      <c r="V8" s="387"/>
      <c r="W8" s="387"/>
      <c r="X8" s="387"/>
      <c r="Y8" s="387"/>
      <c r="Z8" s="387"/>
      <c r="AA8" s="387"/>
      <c r="AB8" s="387"/>
      <c r="AC8" s="620"/>
      <c r="AD8" s="643"/>
      <c r="AF8" s="620"/>
      <c r="AG8" s="620"/>
      <c r="AH8" s="620"/>
      <c r="AI8" s="620"/>
      <c r="AJ8" s="620"/>
      <c r="AK8" s="620"/>
      <c r="AL8" s="620"/>
      <c r="AM8" s="620"/>
      <c r="AN8" s="620"/>
      <c r="AO8" s="620"/>
      <c r="AP8" s="620"/>
      <c r="AQ8" s="620"/>
      <c r="AR8" s="620"/>
      <c r="AS8" s="620"/>
      <c r="AT8" s="620"/>
      <c r="AU8" s="620"/>
      <c r="AV8" s="620"/>
      <c r="AW8" s="620"/>
      <c r="AX8" s="620"/>
      <c r="AY8" s="620"/>
      <c r="AZ8" s="620"/>
      <c r="BA8" s="620"/>
      <c r="BB8" s="620"/>
      <c r="BC8" s="620"/>
      <c r="BD8" s="620"/>
      <c r="BE8" s="620"/>
      <c r="BF8" s="620"/>
      <c r="BG8" s="620"/>
      <c r="BH8" s="620"/>
      <c r="BI8" s="620"/>
      <c r="BJ8" s="620"/>
      <c r="BK8" s="620"/>
      <c r="BL8" s="620"/>
      <c r="BM8" s="620"/>
      <c r="BN8" s="620"/>
      <c r="BO8" s="620"/>
      <c r="BP8" s="620"/>
      <c r="BQ8" s="620"/>
      <c r="BR8" s="620"/>
      <c r="BS8" s="620"/>
      <c r="BT8" s="620"/>
      <c r="BU8" s="620"/>
      <c r="BV8" s="620"/>
      <c r="BW8" s="620"/>
      <c r="BX8" s="620"/>
      <c r="BY8" s="620"/>
      <c r="BZ8" s="620"/>
      <c r="CA8" s="620"/>
      <c r="CB8" s="620"/>
      <c r="CC8" s="620"/>
      <c r="CD8" s="620"/>
      <c r="CE8" s="620"/>
      <c r="CF8" s="620"/>
      <c r="CG8" s="620"/>
      <c r="CH8" s="620"/>
      <c r="CI8" s="620"/>
      <c r="CJ8" s="620"/>
      <c r="CK8" s="620"/>
      <c r="CL8" s="620"/>
      <c r="CM8" s="620"/>
      <c r="CN8" s="620"/>
      <c r="CO8" s="620"/>
      <c r="CP8" s="620"/>
      <c r="CQ8" s="620"/>
      <c r="CR8" s="620"/>
      <c r="CS8" s="620"/>
      <c r="CT8" s="620"/>
      <c r="CU8" s="620"/>
      <c r="CV8" s="620"/>
      <c r="CW8" s="620"/>
      <c r="CX8" s="620"/>
      <c r="CY8" s="620"/>
      <c r="CZ8" s="620"/>
      <c r="DA8" s="620"/>
      <c r="DB8" s="620"/>
      <c r="DC8" s="620"/>
      <c r="DD8" s="620"/>
      <c r="DE8" s="620"/>
      <c r="DF8" s="620"/>
      <c r="DG8" s="620"/>
      <c r="DH8" s="620"/>
      <c r="DI8" s="620"/>
      <c r="DJ8" s="620"/>
      <c r="DK8" s="620"/>
      <c r="DL8" s="620"/>
      <c r="DM8" s="620"/>
      <c r="DN8" s="620"/>
      <c r="DO8" s="620"/>
      <c r="DP8" s="620"/>
      <c r="DQ8" s="620"/>
      <c r="DR8" s="620"/>
      <c r="DS8" s="620"/>
      <c r="DT8" s="620"/>
      <c r="DU8" s="620"/>
      <c r="DV8" s="620"/>
      <c r="DW8" s="620"/>
      <c r="DX8" s="620"/>
      <c r="DY8" s="620"/>
      <c r="DZ8" s="620"/>
      <c r="EA8" s="620"/>
      <c r="EB8" s="620"/>
      <c r="EC8" s="620"/>
      <c r="ED8" s="620"/>
      <c r="EE8" s="620"/>
      <c r="EF8" s="620"/>
      <c r="EG8" s="620"/>
      <c r="EH8" s="620"/>
      <c r="EI8" s="620"/>
      <c r="EJ8" s="620"/>
      <c r="EK8" s="620"/>
      <c r="EL8" s="620"/>
      <c r="EM8" s="620"/>
      <c r="EN8" s="620"/>
      <c r="EO8" s="620"/>
      <c r="EP8" s="620"/>
      <c r="EQ8" s="620"/>
      <c r="ER8" s="620"/>
      <c r="ES8" s="620"/>
      <c r="ET8" s="620"/>
      <c r="EU8" s="620"/>
      <c r="EV8" s="620"/>
      <c r="EW8" s="620"/>
      <c r="EX8" s="620"/>
      <c r="EY8" s="620"/>
      <c r="EZ8" s="620"/>
      <c r="FA8" s="620"/>
      <c r="FB8" s="620"/>
      <c r="FC8" s="620"/>
      <c r="FD8" s="620"/>
      <c r="FE8" s="620"/>
      <c r="FF8" s="620"/>
      <c r="FG8" s="620"/>
      <c r="FH8" s="620"/>
      <c r="FI8" s="620"/>
      <c r="FJ8" s="620"/>
      <c r="FK8" s="620"/>
      <c r="FL8" s="620"/>
      <c r="FM8" s="620"/>
      <c r="FN8" s="620"/>
      <c r="FO8" s="620"/>
      <c r="FP8" s="620"/>
      <c r="FQ8" s="620"/>
      <c r="FR8" s="620"/>
      <c r="FS8" s="620"/>
      <c r="FT8" s="620"/>
      <c r="FU8" s="620"/>
      <c r="FV8" s="620"/>
      <c r="FW8" s="620"/>
      <c r="FX8" s="620"/>
      <c r="FY8" s="620"/>
      <c r="FZ8" s="620"/>
      <c r="GA8" s="620"/>
      <c r="GB8" s="620"/>
      <c r="GC8" s="620"/>
      <c r="GD8" s="620"/>
      <c r="GE8" s="620"/>
      <c r="GF8" s="620"/>
      <c r="GG8" s="620"/>
      <c r="GH8" s="620"/>
      <c r="GI8" s="620"/>
      <c r="GJ8" s="620"/>
      <c r="GK8" s="620"/>
      <c r="GL8" s="620"/>
      <c r="GM8" s="620"/>
      <c r="GN8" s="620"/>
      <c r="GO8" s="620"/>
      <c r="GP8" s="620"/>
      <c r="GQ8" s="620"/>
      <c r="GR8" s="620"/>
      <c r="GS8" s="620"/>
      <c r="GT8" s="620"/>
      <c r="GU8" s="620"/>
      <c r="GV8" s="620"/>
      <c r="GW8" s="620"/>
      <c r="GX8" s="620"/>
      <c r="GY8" s="620"/>
      <c r="GZ8" s="620"/>
      <c r="HA8" s="620"/>
      <c r="HB8" s="620"/>
      <c r="HC8" s="620"/>
      <c r="HD8" s="620"/>
      <c r="HE8" s="620"/>
      <c r="HF8" s="620"/>
      <c r="HG8" s="620"/>
      <c r="HH8" s="620"/>
      <c r="HI8" s="620"/>
      <c r="HJ8" s="620"/>
      <c r="HK8" s="620"/>
      <c r="HL8" s="620"/>
      <c r="HM8" s="620"/>
      <c r="HN8" s="620"/>
      <c r="HO8" s="620"/>
      <c r="HP8" s="620"/>
      <c r="HQ8" s="620"/>
      <c r="HR8" s="620"/>
      <c r="HS8" s="620"/>
      <c r="HT8" s="620"/>
      <c r="HU8" s="620"/>
      <c r="HV8" s="620"/>
      <c r="HW8" s="620"/>
      <c r="HX8" s="620"/>
      <c r="HY8" s="620"/>
      <c r="HZ8" s="620"/>
      <c r="IA8" s="620"/>
      <c r="IB8" s="620"/>
      <c r="IC8" s="620"/>
      <c r="ID8" s="620"/>
      <c r="IE8" s="620"/>
      <c r="IF8" s="620"/>
      <c r="IG8" s="620"/>
      <c r="IH8" s="620"/>
      <c r="II8" s="620"/>
      <c r="IJ8" s="620"/>
      <c r="IK8" s="620"/>
      <c r="IL8" s="620"/>
      <c r="IM8" s="620"/>
      <c r="IN8" s="620"/>
      <c r="IO8" s="620"/>
      <c r="IP8" s="620"/>
      <c r="IQ8" s="620"/>
      <c r="IR8" s="620"/>
      <c r="IS8" s="620"/>
      <c r="IT8" s="620"/>
      <c r="IU8" s="620"/>
      <c r="IV8" s="620"/>
      <c r="IW8" s="620"/>
    </row>
    <row r="9" customFormat="false" ht="12.6" hidden="false" customHeight="true" outlineLevel="0" collapsed="false">
      <c r="A9" s="620"/>
      <c r="B9" s="649" t="s">
        <v>489</v>
      </c>
      <c r="C9" s="650"/>
      <c r="D9" s="484"/>
      <c r="E9" s="484"/>
      <c r="F9" s="651"/>
      <c r="G9" s="651"/>
      <c r="H9" s="651"/>
      <c r="I9" s="651"/>
      <c r="J9" s="651"/>
      <c r="K9" s="651"/>
      <c r="L9" s="651"/>
      <c r="M9" s="651"/>
      <c r="N9" s="651"/>
      <c r="O9" s="651"/>
      <c r="P9" s="651"/>
      <c r="Q9" s="651"/>
      <c r="R9" s="651"/>
      <c r="S9" s="651"/>
      <c r="T9" s="651"/>
      <c r="U9" s="651"/>
      <c r="V9" s="651"/>
      <c r="W9" s="651"/>
      <c r="X9" s="651"/>
      <c r="Y9" s="651"/>
      <c r="Z9" s="651"/>
      <c r="AA9" s="651"/>
      <c r="AB9" s="652"/>
      <c r="AC9" s="620"/>
      <c r="AD9" s="643"/>
      <c r="AF9" s="620"/>
      <c r="AG9" s="620"/>
      <c r="AH9" s="620"/>
      <c r="AI9" s="620"/>
      <c r="AJ9" s="620"/>
      <c r="AK9" s="620"/>
      <c r="AL9" s="620"/>
      <c r="AM9" s="620"/>
      <c r="AN9" s="620"/>
      <c r="AO9" s="620"/>
      <c r="AP9" s="620"/>
      <c r="AQ9" s="620"/>
      <c r="AR9" s="620"/>
      <c r="AS9" s="620"/>
      <c r="AT9" s="620"/>
      <c r="AU9" s="620"/>
      <c r="AV9" s="620"/>
      <c r="AW9" s="620"/>
      <c r="AX9" s="620"/>
      <c r="AY9" s="620"/>
      <c r="AZ9" s="620"/>
      <c r="BA9" s="620"/>
      <c r="BB9" s="620"/>
      <c r="BC9" s="620"/>
      <c r="BD9" s="620"/>
      <c r="BE9" s="620"/>
      <c r="BF9" s="620"/>
      <c r="BG9" s="620"/>
      <c r="BH9" s="620"/>
      <c r="BI9" s="620"/>
      <c r="BJ9" s="620"/>
      <c r="BK9" s="620"/>
      <c r="BL9" s="620"/>
      <c r="BM9" s="620"/>
      <c r="BN9" s="620"/>
      <c r="BO9" s="620"/>
      <c r="BP9" s="620"/>
      <c r="BQ9" s="620"/>
      <c r="BR9" s="620"/>
      <c r="BS9" s="620"/>
      <c r="BT9" s="620"/>
      <c r="BU9" s="620"/>
      <c r="BV9" s="620"/>
      <c r="BW9" s="620"/>
      <c r="BX9" s="620"/>
      <c r="BY9" s="620"/>
      <c r="BZ9" s="620"/>
      <c r="CA9" s="620"/>
      <c r="CB9" s="620"/>
      <c r="CC9" s="620"/>
      <c r="CD9" s="620"/>
      <c r="CE9" s="620"/>
      <c r="CF9" s="620"/>
      <c r="CG9" s="620"/>
      <c r="CH9" s="620"/>
      <c r="CI9" s="620"/>
      <c r="CJ9" s="620"/>
      <c r="CK9" s="620"/>
      <c r="CL9" s="620"/>
      <c r="CM9" s="620"/>
      <c r="CN9" s="620"/>
      <c r="CO9" s="620"/>
      <c r="CP9" s="620"/>
      <c r="CQ9" s="620"/>
      <c r="CR9" s="620"/>
      <c r="CS9" s="620"/>
      <c r="CT9" s="620"/>
      <c r="CU9" s="620"/>
      <c r="CV9" s="620"/>
      <c r="CW9" s="620"/>
      <c r="CX9" s="620"/>
      <c r="CY9" s="620"/>
      <c r="CZ9" s="620"/>
      <c r="DA9" s="620"/>
      <c r="DB9" s="620"/>
      <c r="DC9" s="620"/>
      <c r="DD9" s="620"/>
      <c r="DE9" s="620"/>
      <c r="DF9" s="620"/>
      <c r="DG9" s="620"/>
      <c r="DH9" s="620"/>
      <c r="DI9" s="620"/>
      <c r="DJ9" s="620"/>
      <c r="DK9" s="620"/>
      <c r="DL9" s="620"/>
      <c r="DM9" s="620"/>
      <c r="DN9" s="620"/>
      <c r="DO9" s="620"/>
      <c r="DP9" s="620"/>
      <c r="DQ9" s="620"/>
      <c r="DR9" s="620"/>
      <c r="DS9" s="620"/>
      <c r="DT9" s="620"/>
      <c r="DU9" s="620"/>
      <c r="DV9" s="620"/>
      <c r="DW9" s="620"/>
      <c r="DX9" s="620"/>
      <c r="DY9" s="620"/>
      <c r="DZ9" s="620"/>
      <c r="EA9" s="620"/>
      <c r="EB9" s="620"/>
      <c r="EC9" s="620"/>
      <c r="ED9" s="620"/>
      <c r="EE9" s="620"/>
      <c r="EF9" s="620"/>
      <c r="EG9" s="620"/>
      <c r="EH9" s="620"/>
      <c r="EI9" s="620"/>
      <c r="EJ9" s="620"/>
      <c r="EK9" s="620"/>
      <c r="EL9" s="620"/>
      <c r="EM9" s="620"/>
      <c r="EN9" s="620"/>
      <c r="EO9" s="620"/>
      <c r="EP9" s="620"/>
      <c r="EQ9" s="620"/>
      <c r="ER9" s="620"/>
      <c r="ES9" s="620"/>
      <c r="ET9" s="620"/>
      <c r="EU9" s="620"/>
      <c r="EV9" s="620"/>
      <c r="EW9" s="620"/>
      <c r="EX9" s="620"/>
      <c r="EY9" s="620"/>
      <c r="EZ9" s="620"/>
      <c r="FA9" s="620"/>
      <c r="FB9" s="620"/>
      <c r="FC9" s="620"/>
      <c r="FD9" s="620"/>
      <c r="FE9" s="620"/>
      <c r="FF9" s="620"/>
      <c r="FG9" s="620"/>
      <c r="FH9" s="620"/>
      <c r="FI9" s="620"/>
      <c r="FJ9" s="620"/>
      <c r="FK9" s="620"/>
      <c r="FL9" s="620"/>
      <c r="FM9" s="620"/>
      <c r="FN9" s="620"/>
      <c r="FO9" s="620"/>
      <c r="FP9" s="620"/>
      <c r="FQ9" s="620"/>
      <c r="FR9" s="620"/>
      <c r="FS9" s="620"/>
      <c r="FT9" s="620"/>
      <c r="FU9" s="620"/>
      <c r="FV9" s="620"/>
      <c r="FW9" s="620"/>
      <c r="FX9" s="620"/>
      <c r="FY9" s="620"/>
      <c r="FZ9" s="620"/>
      <c r="GA9" s="620"/>
      <c r="GB9" s="620"/>
      <c r="GC9" s="620"/>
      <c r="GD9" s="620"/>
      <c r="GE9" s="620"/>
      <c r="GF9" s="620"/>
      <c r="GG9" s="620"/>
      <c r="GH9" s="620"/>
      <c r="GI9" s="620"/>
      <c r="GJ9" s="620"/>
      <c r="GK9" s="620"/>
      <c r="GL9" s="620"/>
      <c r="GM9" s="620"/>
      <c r="GN9" s="620"/>
      <c r="GO9" s="620"/>
      <c r="GP9" s="620"/>
      <c r="GQ9" s="620"/>
      <c r="GR9" s="620"/>
      <c r="GS9" s="620"/>
      <c r="GT9" s="620"/>
      <c r="GU9" s="620"/>
      <c r="GV9" s="620"/>
      <c r="GW9" s="620"/>
      <c r="GX9" s="620"/>
      <c r="GY9" s="620"/>
      <c r="GZ9" s="620"/>
      <c r="HA9" s="620"/>
      <c r="HB9" s="620"/>
      <c r="HC9" s="620"/>
      <c r="HD9" s="620"/>
      <c r="HE9" s="620"/>
      <c r="HF9" s="620"/>
      <c r="HG9" s="620"/>
      <c r="HH9" s="620"/>
      <c r="HI9" s="620"/>
      <c r="HJ9" s="620"/>
      <c r="HK9" s="620"/>
      <c r="HL9" s="620"/>
      <c r="HM9" s="620"/>
      <c r="HN9" s="620"/>
      <c r="HO9" s="620"/>
      <c r="HP9" s="620"/>
      <c r="HQ9" s="620"/>
      <c r="HR9" s="620"/>
      <c r="HS9" s="620"/>
      <c r="HT9" s="620"/>
      <c r="HU9" s="620"/>
      <c r="HV9" s="620"/>
      <c r="HW9" s="620"/>
      <c r="HX9" s="620"/>
      <c r="HY9" s="620"/>
      <c r="HZ9" s="620"/>
      <c r="IA9" s="620"/>
      <c r="IB9" s="620"/>
      <c r="IC9" s="620"/>
      <c r="ID9" s="620"/>
      <c r="IE9" s="620"/>
      <c r="IF9" s="620"/>
      <c r="IG9" s="620"/>
      <c r="IH9" s="620"/>
      <c r="II9" s="620"/>
      <c r="IJ9" s="620"/>
      <c r="IK9" s="620"/>
      <c r="IL9" s="620"/>
      <c r="IM9" s="620"/>
      <c r="IN9" s="620"/>
      <c r="IO9" s="620"/>
      <c r="IP9" s="620"/>
      <c r="IQ9" s="620"/>
      <c r="IR9" s="620"/>
      <c r="IS9" s="620"/>
      <c r="IT9" s="620"/>
      <c r="IU9" s="620"/>
      <c r="IV9" s="620"/>
      <c r="IW9" s="620"/>
    </row>
    <row r="10" customFormat="false" ht="12.6" hidden="false" customHeight="true" outlineLevel="0" collapsed="false">
      <c r="A10" s="620"/>
      <c r="B10" s="416" t="s">
        <v>490</v>
      </c>
      <c r="D10" s="30" t="n">
        <f aca="false">(Operations!C25+Operations!C27)*'PPA Assumptions &amp;Summary'!C11/1000+'Tax Calculations'!D66</f>
        <v>16697.3543769463</v>
      </c>
      <c r="E10" s="30" t="n">
        <f aca="false">(Operations!D25+Operations!D27)*'PPA Assumptions &amp;Summary'!D11/1000+'Tax Calculations'!E66</f>
        <v>16703.3711475274</v>
      </c>
      <c r="F10" s="30" t="n">
        <f aca="false">(Operations!E25+Operations!E27)*'PPA Assumptions &amp;Summary'!E11/1000+'Tax Calculations'!F66</f>
        <v>16703.664842324</v>
      </c>
      <c r="G10" s="30" t="n">
        <f aca="false">(Operations!F25+Operations!F27)*'PPA Assumptions &amp;Summary'!F11/1000+'Tax Calculations'!G66</f>
        <v>17066.3646636839</v>
      </c>
      <c r="H10" s="30" t="n">
        <f aca="false">(Operations!G25+Operations!G27)*'PPA Assumptions &amp;Summary'!G11/1000+'Tax Calculations'!H66</f>
        <v>17182.5393045206</v>
      </c>
      <c r="I10" s="30" t="n">
        <f aca="false">(Operations!H25+Operations!H27)*'PPA Assumptions &amp;Summary'!H11/1000+'Tax Calculations'!I66</f>
        <v>17182.4575524969</v>
      </c>
      <c r="J10" s="30" t="n">
        <f aca="false">(Operations!I25+Operations!I27)*'PPA Assumptions &amp;Summary'!I11/1000+'Tax Calculations'!J66</f>
        <v>17182.5086389633</v>
      </c>
      <c r="K10" s="30" t="n">
        <f aca="false">(Operations!J25+Operations!J27)*'PPA Assumptions &amp;Summary'!J11/1000+'Tax Calculations'!K66</f>
        <v>17182.8765290241</v>
      </c>
      <c r="L10" s="30" t="n">
        <f aca="false">(Operations!K25+Operations!K27)*'PPA Assumptions &amp;Summary'!K11/1000+'Tax Calculations'!L66</f>
        <v>17183.2554557868</v>
      </c>
      <c r="M10" s="30" t="n">
        <f aca="false">(Operations!L25+Operations!L27)*'PPA Assumptions &amp;Summary'!L11/1000+'Tax Calculations'!M66</f>
        <v>17183.6457503523</v>
      </c>
      <c r="N10" s="30" t="n">
        <f aca="false">(Operations!M25+Operations!M27)*'PPA Assumptions &amp;Summary'!M11/1000+'Tax Calculations'!N66</f>
        <v>17184.0477537548</v>
      </c>
      <c r="O10" s="30" t="n">
        <f aca="false">(Operations!N25+Operations!N27)*'PPA Assumptions &amp;Summary'!N11/1000+'Tax Calculations'!O66</f>
        <v>17184.4618172594</v>
      </c>
      <c r="P10" s="30" t="n">
        <f aca="false">(Operations!O25+Operations!O27)*'PPA Assumptions &amp;Summary'!O11/1000+'Tax Calculations'!P66</f>
        <v>17184.8883026691</v>
      </c>
      <c r="Q10" s="30" t="n">
        <f aca="false">(Operations!P25+Operations!P27)*'PPA Assumptions &amp;Summary'!P11/1000+'Tax Calculations'!Q66</f>
        <v>17185.3275826411</v>
      </c>
      <c r="R10" s="30" t="n">
        <f aca="false">(Operations!Q25+Operations!Q27)*'PPA Assumptions &amp;Summary'!Q11/1000+'Tax Calculations'!R66</f>
        <v>17185.7800410122</v>
      </c>
      <c r="S10" s="30" t="n">
        <f aca="false">(Operations!R25+Operations!R27)*'PPA Assumptions &amp;Summary'!R11/1000+'Tax Calculations'!S66</f>
        <v>17186.2460731345</v>
      </c>
      <c r="T10" s="30" t="n">
        <f aca="false">(Operations!S25+Operations!S27)*'PPA Assumptions &amp;Summary'!S11/1000+'Tax Calculations'!T66</f>
        <v>17186.7260862205</v>
      </c>
      <c r="U10" s="30" t="n">
        <f aca="false">(Operations!T25+Operations!T27)*'PPA Assumptions &amp;Summary'!T11/1000+'Tax Calculations'!U66</f>
        <v>17187.220499699</v>
      </c>
      <c r="V10" s="30" t="n">
        <f aca="false">(Operations!U25+Operations!U27)*'PPA Assumptions &amp;Summary'!U11/1000+'Tax Calculations'!V66</f>
        <v>17187.729745582</v>
      </c>
      <c r="W10" s="30" t="n">
        <f aca="false">(Operations!V25+Operations!V27)*'PPA Assumptions &amp;Summary'!V11/1000+'Tax Calculations'!W66</f>
        <v>17188.2542688413</v>
      </c>
      <c r="X10" s="30" t="n">
        <f aca="false">(Operations!W25+Operations!W27)*'PPA Assumptions &amp;Summary'!W11/1000+'Tax Calculations'!X66</f>
        <v>17184.0929311294</v>
      </c>
      <c r="Y10" s="30" t="n">
        <f aca="false">(Operations!X25+Operations!X27)*'PPA Assumptions &amp;Summary'!X11/1000+'Tax Calculations'!Y66</f>
        <v>0</v>
      </c>
      <c r="Z10" s="30" t="n">
        <f aca="false">(Operations!Y25+Operations!Y27)*'PPA Assumptions &amp;Summary'!Y11/1000+'Tax Calculations'!Z66</f>
        <v>0</v>
      </c>
      <c r="AA10" s="30" t="n">
        <f aca="false">(Operations!Z25+Operations!Z27)*'PPA Assumptions &amp;Summary'!Z11/1000+'Tax Calculations'!AA66</f>
        <v>0</v>
      </c>
      <c r="AB10" s="30" t="n">
        <f aca="false">(Operations!AA25+Operations!AA27)*'PPA Assumptions &amp;Summary'!AA11/1000+'Tax Calculations'!AB66</f>
        <v>0</v>
      </c>
      <c r="AC10" s="620"/>
      <c r="AD10" s="643"/>
      <c r="AF10" s="620"/>
      <c r="AG10" s="620"/>
      <c r="AH10" s="620"/>
      <c r="AI10" s="620"/>
      <c r="AJ10" s="620"/>
      <c r="AK10" s="620"/>
      <c r="AL10" s="620"/>
      <c r="AM10" s="620"/>
      <c r="AN10" s="620"/>
      <c r="AO10" s="620"/>
      <c r="AP10" s="620"/>
      <c r="AQ10" s="620"/>
      <c r="AR10" s="620"/>
      <c r="AS10" s="620"/>
      <c r="AT10" s="620"/>
      <c r="AU10" s="620"/>
      <c r="AV10" s="620"/>
      <c r="AW10" s="620"/>
      <c r="AX10" s="620"/>
      <c r="AY10" s="620"/>
      <c r="AZ10" s="620"/>
      <c r="BA10" s="620"/>
      <c r="BB10" s="620"/>
      <c r="BC10" s="620"/>
      <c r="BD10" s="620"/>
      <c r="BE10" s="620"/>
      <c r="BF10" s="620"/>
      <c r="BG10" s="620"/>
      <c r="BH10" s="620"/>
      <c r="BI10" s="620"/>
      <c r="BJ10" s="620"/>
      <c r="BK10" s="620"/>
      <c r="BL10" s="620"/>
      <c r="BM10" s="620"/>
      <c r="BN10" s="620"/>
      <c r="BO10" s="620"/>
      <c r="BP10" s="620"/>
      <c r="BQ10" s="620"/>
      <c r="BR10" s="620"/>
      <c r="BS10" s="620"/>
      <c r="BT10" s="620"/>
      <c r="BU10" s="620"/>
      <c r="BV10" s="620"/>
      <c r="BW10" s="620"/>
      <c r="BX10" s="620"/>
      <c r="BY10" s="620"/>
      <c r="BZ10" s="620"/>
      <c r="CA10" s="620"/>
      <c r="CB10" s="620"/>
      <c r="CC10" s="620"/>
      <c r="CD10" s="620"/>
      <c r="CE10" s="620"/>
      <c r="CF10" s="620"/>
      <c r="CG10" s="620"/>
      <c r="CH10" s="620"/>
      <c r="CI10" s="620"/>
      <c r="CJ10" s="620"/>
      <c r="CK10" s="620"/>
      <c r="CL10" s="620"/>
      <c r="CM10" s="620"/>
      <c r="CN10" s="620"/>
      <c r="CO10" s="620"/>
      <c r="CP10" s="620"/>
      <c r="CQ10" s="620"/>
      <c r="CR10" s="620"/>
      <c r="CS10" s="620"/>
      <c r="CT10" s="620"/>
      <c r="CU10" s="620"/>
      <c r="CV10" s="620"/>
      <c r="CW10" s="620"/>
      <c r="CX10" s="620"/>
      <c r="CY10" s="620"/>
      <c r="CZ10" s="620"/>
      <c r="DA10" s="620"/>
      <c r="DB10" s="620"/>
      <c r="DC10" s="620"/>
      <c r="DD10" s="620"/>
      <c r="DE10" s="620"/>
      <c r="DF10" s="620"/>
      <c r="DG10" s="620"/>
      <c r="DH10" s="620"/>
      <c r="DI10" s="620"/>
      <c r="DJ10" s="620"/>
      <c r="DK10" s="620"/>
      <c r="DL10" s="620"/>
      <c r="DM10" s="620"/>
      <c r="DN10" s="620"/>
      <c r="DO10" s="620"/>
      <c r="DP10" s="620"/>
      <c r="DQ10" s="620"/>
      <c r="DR10" s="620"/>
      <c r="DS10" s="620"/>
      <c r="DT10" s="620"/>
      <c r="DU10" s="620"/>
      <c r="DV10" s="620"/>
      <c r="DW10" s="620"/>
      <c r="DX10" s="620"/>
      <c r="DY10" s="620"/>
      <c r="DZ10" s="620"/>
      <c r="EA10" s="620"/>
      <c r="EB10" s="620"/>
      <c r="EC10" s="620"/>
      <c r="ED10" s="620"/>
      <c r="EE10" s="620"/>
      <c r="EF10" s="620"/>
      <c r="EG10" s="620"/>
      <c r="EH10" s="620"/>
      <c r="EI10" s="620"/>
      <c r="EJ10" s="620"/>
      <c r="EK10" s="620"/>
      <c r="EL10" s="620"/>
      <c r="EM10" s="620"/>
      <c r="EN10" s="620"/>
      <c r="EO10" s="620"/>
      <c r="EP10" s="620"/>
      <c r="EQ10" s="620"/>
      <c r="ER10" s="620"/>
      <c r="ES10" s="620"/>
      <c r="ET10" s="620"/>
      <c r="EU10" s="620"/>
      <c r="EV10" s="620"/>
      <c r="EW10" s="620"/>
      <c r="EX10" s="620"/>
      <c r="EY10" s="620"/>
      <c r="EZ10" s="620"/>
      <c r="FA10" s="620"/>
      <c r="FB10" s="620"/>
      <c r="FC10" s="620"/>
      <c r="FD10" s="620"/>
      <c r="FE10" s="620"/>
      <c r="FF10" s="620"/>
      <c r="FG10" s="620"/>
      <c r="FH10" s="620"/>
      <c r="FI10" s="620"/>
      <c r="FJ10" s="620"/>
      <c r="FK10" s="620"/>
      <c r="FL10" s="620"/>
      <c r="FM10" s="620"/>
      <c r="FN10" s="620"/>
      <c r="FO10" s="620"/>
      <c r="FP10" s="620"/>
      <c r="FQ10" s="620"/>
      <c r="FR10" s="620"/>
      <c r="FS10" s="620"/>
      <c r="FT10" s="620"/>
      <c r="FU10" s="620"/>
      <c r="FV10" s="620"/>
      <c r="FW10" s="620"/>
      <c r="FX10" s="620"/>
      <c r="FY10" s="620"/>
      <c r="FZ10" s="620"/>
      <c r="GA10" s="620"/>
      <c r="GB10" s="620"/>
      <c r="GC10" s="620"/>
      <c r="GD10" s="620"/>
      <c r="GE10" s="620"/>
      <c r="GF10" s="620"/>
      <c r="GG10" s="620"/>
      <c r="GH10" s="620"/>
      <c r="GI10" s="620"/>
      <c r="GJ10" s="620"/>
      <c r="GK10" s="620"/>
      <c r="GL10" s="620"/>
      <c r="GM10" s="620"/>
      <c r="GN10" s="620"/>
      <c r="GO10" s="620"/>
      <c r="GP10" s="620"/>
      <c r="GQ10" s="620"/>
      <c r="GR10" s="620"/>
      <c r="GS10" s="620"/>
      <c r="GT10" s="620"/>
      <c r="GU10" s="620"/>
      <c r="GV10" s="620"/>
      <c r="GW10" s="620"/>
      <c r="GX10" s="620"/>
      <c r="GY10" s="620"/>
      <c r="GZ10" s="620"/>
      <c r="HA10" s="620"/>
      <c r="HB10" s="620"/>
      <c r="HC10" s="620"/>
      <c r="HD10" s="620"/>
      <c r="HE10" s="620"/>
      <c r="HF10" s="620"/>
      <c r="HG10" s="620"/>
      <c r="HH10" s="620"/>
      <c r="HI10" s="620"/>
      <c r="HJ10" s="620"/>
      <c r="HK10" s="620"/>
      <c r="HL10" s="620"/>
      <c r="HM10" s="620"/>
      <c r="HN10" s="620"/>
      <c r="HO10" s="620"/>
      <c r="HP10" s="620"/>
      <c r="HQ10" s="620"/>
      <c r="HR10" s="620"/>
      <c r="HS10" s="620"/>
      <c r="HT10" s="620"/>
      <c r="HU10" s="620"/>
      <c r="HV10" s="620"/>
      <c r="HW10" s="620"/>
      <c r="HX10" s="620"/>
      <c r="HY10" s="620"/>
      <c r="HZ10" s="620"/>
      <c r="IA10" s="620"/>
      <c r="IB10" s="620"/>
      <c r="IC10" s="620"/>
      <c r="ID10" s="620"/>
      <c r="IE10" s="620"/>
      <c r="IF10" s="620"/>
      <c r="IG10" s="620"/>
      <c r="IH10" s="620"/>
      <c r="II10" s="620"/>
      <c r="IJ10" s="620"/>
      <c r="IK10" s="620"/>
      <c r="IL10" s="620"/>
      <c r="IM10" s="620"/>
      <c r="IN10" s="620"/>
      <c r="IO10" s="620"/>
      <c r="IP10" s="620"/>
      <c r="IQ10" s="620"/>
      <c r="IR10" s="620"/>
      <c r="IS10" s="620"/>
      <c r="IT10" s="620"/>
      <c r="IU10" s="620"/>
      <c r="IV10" s="620"/>
      <c r="IW10" s="620"/>
    </row>
    <row r="11" customFormat="false" ht="12.6" hidden="false" customHeight="true" outlineLevel="0" collapsed="false">
      <c r="A11" s="642" t="n">
        <v>1</v>
      </c>
      <c r="B11" s="653" t="s">
        <v>491</v>
      </c>
      <c r="C11" s="417"/>
      <c r="D11" s="30" t="n">
        <f aca="false">(PPACAPACITY*'Project Assumptions'!$I$29*D6)+((Operations!C17*(1-Cap_Factor_Energy))*'PPA Assumptions &amp;Summary'!C64*D7)</f>
        <v>14280</v>
      </c>
      <c r="E11" s="30" t="n">
        <f aca="false">(PPACAPACITY*'Project Assumptions'!$I$29*E6)+((Operations!D17*(1-Cap_Factor_Energy))*'PPA Assumptions &amp;Summary'!D64*E7)</f>
        <v>24480</v>
      </c>
      <c r="F11" s="30" t="n">
        <f aca="false">(PPACAPACITY*'Project Assumptions'!$I$29*F6)+((Operations!E17*(1-Cap_Factor_Energy))*'PPA Assumptions &amp;Summary'!E64*F7)</f>
        <v>24480</v>
      </c>
      <c r="G11" s="30" t="n">
        <f aca="false">(PPACAPACITY*'Project Assumptions'!$I$29*G6)+((Operations!F17*(1-Cap_Factor_Energy))*'PPA Assumptions &amp;Summary'!F64*G7)</f>
        <v>30711.8260061525</v>
      </c>
      <c r="H11" s="30" t="n">
        <f aca="false">(PPACAPACITY*'Project Assumptions'!$I$29*H6)+((Operations!G17*(1-Cap_Factor_Energy))*'PPA Assumptions &amp;Summary'!G64*H7)</f>
        <v>35604.1593881128</v>
      </c>
      <c r="I11" s="30" t="n">
        <f aca="false">(PPACAPACITY*'Project Assumptions'!$I$29*I6)+((Operations!H17*(1-Cap_Factor_Energy))*'PPA Assumptions &amp;Summary'!H64*I7)</f>
        <v>36040.0034082087</v>
      </c>
      <c r="J11" s="30" t="n">
        <f aca="false">(PPACAPACITY*'Project Assumptions'!$I$29*J6)+((Operations!I17*(1-Cap_Factor_Energy))*'PPA Assumptions &amp;Summary'!I64*J7)</f>
        <v>36469.954326061</v>
      </c>
      <c r="K11" s="30" t="n">
        <f aca="false">(PPACAPACITY*'Project Assumptions'!$I$29*K6)+((Operations!J17*(1-Cap_Factor_Energy))*'PPA Assumptions &amp;Summary'!J64*K7)</f>
        <v>37564.0529558428</v>
      </c>
      <c r="L11" s="30" t="n">
        <f aca="false">(PPACAPACITY*'Project Assumptions'!$I$29*L6)+((Operations!K17*(1-Cap_Factor_Energy))*'PPA Assumptions &amp;Summary'!K64*L7)</f>
        <v>38000.0642847946</v>
      </c>
      <c r="M11" s="30" t="n">
        <f aca="false">(PPACAPACITY*'Project Assumptions'!$I$29*M6)+((Operations!L17*(1-Cap_Factor_Energy))*'PPA Assumptions &amp;Summary'!L64*M7)</f>
        <v>39140.0662133384</v>
      </c>
      <c r="N11" s="30" t="n">
        <f aca="false">(PPACAPACITY*'Project Assumptions'!$I$29*N6)+((Operations!M17*(1-Cap_Factor_Energy))*'PPA Assumptions &amp;Summary'!M64*N7)</f>
        <v>39581.2815051979</v>
      </c>
      <c r="O11" s="30" t="n">
        <f aca="false">(PPACAPACITY*'Project Assumptions'!$I$29*O6)+((Operations!N17*(1-Cap_Factor_Energy))*'PPA Assumptions &amp;Summary'!N64*O7)</f>
        <v>40768.7199503538</v>
      </c>
      <c r="P11" s="30" t="n">
        <f aca="false">(PPACAPACITY*'Project Assumptions'!$I$29*P6)+((Operations!O17*(1-Cap_Factor_Energy))*'PPA Assumptions &amp;Summary'!O64*P7)</f>
        <v>41214.1559646262</v>
      </c>
      <c r="Q11" s="30" t="n">
        <f aca="false">(PPACAPACITY*'Project Assumptions'!$I$29*Q6)+((Operations!P17*(1-Cap_Factor_Energy))*'PPA Assumptions &amp;Summary'!P64*Q7)</f>
        <v>41649.6262917996</v>
      </c>
      <c r="R11" s="30" t="n">
        <f aca="false">(PPACAPACITY*'Project Assumptions'!$I$29*R6)+((Operations!Q17*(1-Cap_Factor_Energy))*'PPA Assumptions &amp;Summary'!Q64*R7)</f>
        <v>42074.1320982352</v>
      </c>
      <c r="S11" s="30" t="n">
        <f aca="false">(PPACAPACITY*'Project Assumptions'!$I$29*S6)+((Operations!R17*(1-Cap_Factor_Energy))*'PPA Assumptions &amp;Summary'!R64*S7)</f>
        <v>42486.6235893944</v>
      </c>
      <c r="T11" s="30" t="n">
        <f aca="false">(PPACAPACITY*'Project Assumptions'!$I$29*T6)+((Operations!S17*(1-Cap_Factor_Energy))*'PPA Assumptions &amp;Summary'!S64*T7)</f>
        <v>42885.9978511347</v>
      </c>
      <c r="U11" s="30" t="n">
        <f aca="false">(PPACAPACITY*'Project Assumptions'!$I$29*U6)+((Operations!T17*(1-Cap_Factor_Energy))*'PPA Assumptions &amp;Summary'!T64*U7)</f>
        <v>43271.096607349</v>
      </c>
      <c r="V11" s="30" t="n">
        <f aca="false">(PPACAPACITY*'Project Assumptions'!$I$29*V6)+((Operations!U17*(1-Cap_Factor_Energy))*'PPA Assumptions &amp;Summary'!U64*V7)</f>
        <v>43640.7038908701</v>
      </c>
      <c r="W11" s="30" t="n">
        <f aca="false">(PPACAPACITY*'Project Assumptions'!$I$29*W6)+((Operations!V17*(1-Cap_Factor_Energy))*'PPA Assumptions &amp;Summary'!V64*W7)</f>
        <v>43993.5436244558</v>
      </c>
      <c r="X11" s="30" t="n">
        <f aca="false">(PPACAPACITY*'Project Assumptions'!$I$29*X6)+((Operations!W17*(1-Cap_Factor_Energy))*'PPA Assumptions &amp;Summary'!W64*X7)</f>
        <v>18470.1154618979</v>
      </c>
      <c r="Y11" s="30" t="n">
        <f aca="false">(PPACAPACITY*'Project Assumptions'!$I$29*Y6)+((Operations!X17*(1-Cap_Factor_Energy))*'PPA Assumptions &amp;Summary'!X64*Y7)</f>
        <v>0</v>
      </c>
      <c r="Z11" s="30" t="n">
        <f aca="false">(PPACAPACITY*'Project Assumptions'!$I$29*Z6)+((Operations!Y17*(1-Cap_Factor_Energy))*'PPA Assumptions &amp;Summary'!Y64*Z7)</f>
        <v>0</v>
      </c>
      <c r="AA11" s="30" t="n">
        <f aca="false">(PPACAPACITY*'Project Assumptions'!$I$29*AA6)+((Operations!Z17*(1-Cap_Factor_Energy))*'PPA Assumptions &amp;Summary'!Z64*AA7)</f>
        <v>0</v>
      </c>
      <c r="AB11" s="30" t="n">
        <f aca="false">(PPACAPACITY*'Project Assumptions'!$I$29*AB6)+((Operations!AA17*(1-Cap_Factor_Energy))*'PPA Assumptions &amp;Summary'!AA64*AB7)</f>
        <v>0</v>
      </c>
    </row>
    <row r="12" customFormat="false" ht="12.6" hidden="false" customHeight="true" outlineLevel="0" collapsed="false">
      <c r="B12" s="653" t="s">
        <v>492</v>
      </c>
      <c r="C12" s="417"/>
      <c r="D12" s="30" t="n">
        <f aca="false">(Operations!C25+Operations!C27)*'PPA Assumptions &amp;Summary'!C24/1000</f>
        <v>767.01319</v>
      </c>
      <c r="E12" s="30" t="n">
        <f aca="false">(Operations!D25+Operations!D27)*'PPA Assumptions &amp;Summary'!D24/1000</f>
        <v>790.0235857</v>
      </c>
      <c r="F12" s="30" t="n">
        <f aca="false">(Operations!E25+Operations!E27)*'PPA Assumptions &amp;Summary'!E24/1000</f>
        <v>813.724293271</v>
      </c>
      <c r="G12" s="30" t="n">
        <f aca="false">(Operations!F25+Operations!F27)*'PPA Assumptions &amp;Summary'!F24/1000</f>
        <v>856.317454350767</v>
      </c>
      <c r="H12" s="30" t="n">
        <f aca="false">(Operations!G25+Operations!G27)*'PPA Assumptions &amp;Summary'!G24/1000</f>
        <v>887.983455317987</v>
      </c>
      <c r="I12" s="30" t="n">
        <f aca="false">(Operations!H25+Operations!H27)*'PPA Assumptions &amp;Summary'!H24/1000</f>
        <v>914.622958977526</v>
      </c>
      <c r="J12" s="30" t="n">
        <f aca="false">(Operations!I25+Operations!I27)*'PPA Assumptions &amp;Summary'!I24/1000</f>
        <v>942.061647746852</v>
      </c>
      <c r="K12" s="30" t="n">
        <f aca="false">(Operations!J25+Operations!J27)*'PPA Assumptions &amp;Summary'!J24/1000</f>
        <v>970.323497179258</v>
      </c>
      <c r="L12" s="30" t="n">
        <f aca="false">(Operations!K25+Operations!K27)*'PPA Assumptions &amp;Summary'!K24/1000</f>
        <v>999.433202094635</v>
      </c>
      <c r="M12" s="30" t="n">
        <f aca="false">(Operations!L25+Operations!L27)*'PPA Assumptions &amp;Summary'!L24/1000</f>
        <v>1029.41619815747</v>
      </c>
      <c r="N12" s="30" t="n">
        <f aca="false">(Operations!M25+Operations!M27)*'PPA Assumptions &amp;Summary'!M24/1000</f>
        <v>1060.2986841022</v>
      </c>
      <c r="O12" s="30" t="n">
        <f aca="false">(Operations!N25+Operations!N27)*'PPA Assumptions &amp;Summary'!N24/1000</f>
        <v>1092.10764462526</v>
      </c>
      <c r="P12" s="30" t="n">
        <f aca="false">(Operations!O25+Operations!O27)*'PPA Assumptions &amp;Summary'!O24/1000</f>
        <v>1124.87087396402</v>
      </c>
      <c r="Q12" s="30" t="n">
        <f aca="false">(Operations!P25+Operations!P27)*'PPA Assumptions &amp;Summary'!P24/1000</f>
        <v>1158.61700018294</v>
      </c>
      <c r="R12" s="30" t="n">
        <f aca="false">(Operations!Q25+Operations!Q27)*'PPA Assumptions &amp;Summary'!Q24/1000</f>
        <v>1193.37551018843</v>
      </c>
      <c r="S12" s="30" t="n">
        <f aca="false">(Operations!R25+Operations!R27)*'PPA Assumptions &amp;Summary'!R24/1000</f>
        <v>1229.17677549409</v>
      </c>
      <c r="T12" s="30" t="n">
        <f aca="false">(Operations!S25+Operations!S27)*'PPA Assumptions &amp;Summary'!S24/1000</f>
        <v>1266.05207875891</v>
      </c>
      <c r="U12" s="30" t="n">
        <f aca="false">(Operations!T25+Operations!T27)*'PPA Assumptions &amp;Summary'!T24/1000</f>
        <v>1304.03364112167</v>
      </c>
      <c r="V12" s="30" t="n">
        <f aca="false">(Operations!U25+Operations!U27)*'PPA Assumptions &amp;Summary'!U24/1000</f>
        <v>1343.15465035532</v>
      </c>
      <c r="W12" s="30" t="n">
        <f aca="false">(Operations!V25+Operations!V27)*'PPA Assumptions &amp;Summary'!V24/1000</f>
        <v>1383.44928986598</v>
      </c>
      <c r="X12" s="30" t="n">
        <f aca="false">(Operations!W25+Operations!W27)*'PPA Assumptions &amp;Summary'!W24/1000</f>
        <v>1424.95276856196</v>
      </c>
      <c r="Y12" s="30" t="n">
        <f aca="false">(Operations!X25+Operations!X27)*'PPA Assumptions &amp;Summary'!X24/1000</f>
        <v>0</v>
      </c>
      <c r="Z12" s="30" t="n">
        <f aca="false">(Operations!Y25+Operations!Y27)*'PPA Assumptions &amp;Summary'!Y24/1000</f>
        <v>0</v>
      </c>
      <c r="AA12" s="30" t="n">
        <f aca="false">(Operations!Z25+Operations!Z27)*'PPA Assumptions &amp;Summary'!Z24/1000</f>
        <v>0</v>
      </c>
      <c r="AB12" s="30" t="n">
        <f aca="false">(Operations!AA25+Operations!AA27)*'PPA Assumptions &amp;Summary'!AA24/1000</f>
        <v>0</v>
      </c>
    </row>
    <row r="13" customFormat="false" ht="12.6" hidden="false" customHeight="true" outlineLevel="0" collapsed="false">
      <c r="B13" s="416" t="s">
        <v>493</v>
      </c>
      <c r="D13" s="30" t="n">
        <f aca="false">IF(D3&gt;ProjectLife+1,0,(Main_Start*'Project Assumptions'!$L$15*((1+Main_Escal)^(D4-'Project Assumptions'!$N$6))+Fuel_Start*'Project Assumptions'!$L$16)/1000)+((Main_Start*1/3)*'Project Assumptions'!$L$15*((1+Main_Escal)^(D4-'Project Assumptions'!$N$6))+Fuel_Start*'Project Assumptions'!$L$16)/1000*D7/12</f>
        <v>2365.3332</v>
      </c>
      <c r="E13" s="30" t="n">
        <f aca="false">IF(E3&gt;ProjectLife+1,0,(Main_Start*'Project Assumptions'!$L$15*((1+Main_Escal)^(E4-'Project Assumptions'!$N$6))+Fuel_Start*'Project Assumptions'!$L$16)/1000)*E6/12+((Main_Start*1/3)*'Project Assumptions'!$L$15*((1+Main_Escal)^(E4-'Project Assumptions'!$N$6))+Fuel_Start*'Project Assumptions'!$L$16)/1000*E7/12</f>
        <v>2436.293196</v>
      </c>
      <c r="F13" s="30" t="n">
        <f aca="false">IF(F3&gt;ProjectLife+1,0,(Main_Start*'Project Assumptions'!$L$15*((1+Main_Escal)^(F4-'Project Assumptions'!$N$6))+Fuel_Start*'Project Assumptions'!$L$16)/1000)*F6/12+((Main_Start*1/3)*'Project Assumptions'!$L$15*((1+Main_Escal)^(F4-'Project Assumptions'!$N$6))+Fuel_Start*'Project Assumptions'!$L$16)/1000*F7/12</f>
        <v>2509.38199188</v>
      </c>
      <c r="G13" s="30" t="n">
        <f aca="false">IF(G3&gt;ProjectLife+1,0,(Main_Start*'Project Assumptions'!$L$15*((1+Main_Escal)^(G4-'Project Assumptions'!$N$6))+Fuel_Start*'Project Assumptions'!$L$16)/1000)*G6/12+((Main_Start*1/3)*'Project Assumptions'!$L$15*((1+Main_Escal)^(G4-'Project Assumptions'!$N$6))+Fuel_Start*'Project Assumptions'!$L$16)/1000*G7/12</f>
        <v>1579.5165537778</v>
      </c>
      <c r="H13" s="30" t="n">
        <f aca="false">IF(H3&gt;ProjectLife+1,0,(Main_Start*'Project Assumptions'!$L$15*((1+Main_Escal)^(H4-'Project Assumptions'!$N$6))+Fuel_Start*'Project Assumptions'!$L$16)/1000)*H6/12+((Main_Start*1/3)*'Project Assumptions'!$L$15*((1+Main_Escal)^(H4-'Project Assumptions'!$N$6))+Fuel_Start*'Project Assumptions'!$L$16)/1000*H7/12</f>
        <v>887.401118395164</v>
      </c>
      <c r="I13" s="30" t="n">
        <f aca="false">IF(I3&gt;ProjectLife+1,0,(Main_Start*'Project Assumptions'!$L$15*((1+Main_Escal)^(I4-'Project Assumptions'!$N$6))+Fuel_Start*'Project Assumptions'!$L$16)/1000)*I6/12+((Main_Start*1/3)*'Project Assumptions'!$L$15*((1+Main_Escal)^(I4-'Project Assumptions'!$N$6))+Fuel_Start*'Project Assumptions'!$L$16)/1000*I7/12</f>
        <v>914.023151947019</v>
      </c>
      <c r="J13" s="30" t="n">
        <f aca="false">IF(J3&gt;ProjectLife+1,0,(Main_Start*'Project Assumptions'!$L$15*((1+Main_Escal)^(J4-'Project Assumptions'!$N$6))+Fuel_Start*'Project Assumptions'!$L$16)/1000)*J6/12+((Main_Start*1/3)*'Project Assumptions'!$L$15*((1+Main_Escal)^(J4-'Project Assumptions'!$N$6))+Fuel_Start*'Project Assumptions'!$L$16)/1000*J7/12</f>
        <v>941.44384650543</v>
      </c>
      <c r="K13" s="30" t="n">
        <f aca="false">IF(K3&gt;ProjectLife+1,0,(Main_Start*'Project Assumptions'!$L$15*((1+Main_Escal)^(K4-'Project Assumptions'!$N$6))+Fuel_Start*'Project Assumptions'!$L$16)/1000)*K6/12+((Main_Start*1/3)*'Project Assumptions'!$L$15*((1+Main_Escal)^(K4-'Project Assumptions'!$N$6))+Fuel_Start*'Project Assumptions'!$L$16)/1000*K7/12</f>
        <v>969.687161900593</v>
      </c>
      <c r="L13" s="30" t="n">
        <f aca="false">IF(L3&gt;ProjectLife+1,0,(Main_Start*'Project Assumptions'!$L$15*((1+Main_Escal)^(L4-'Project Assumptions'!$N$6))+Fuel_Start*'Project Assumptions'!$L$16)/1000)*L6/12+((Main_Start*1/3)*'Project Assumptions'!$L$15*((1+Main_Escal)^(L4-'Project Assumptions'!$N$6))+Fuel_Start*'Project Assumptions'!$L$16)/1000*L7/12</f>
        <v>998.77777675761</v>
      </c>
      <c r="M13" s="30" t="n">
        <f aca="false">IF(M3&gt;ProjectLife+1,0,(Main_Start*'Project Assumptions'!$L$15*((1+Main_Escal)^(M4-'Project Assumptions'!$N$6))+Fuel_Start*'Project Assumptions'!$L$16)/1000)*M6/12+((Main_Start*1/3)*'Project Assumptions'!$L$15*((1+Main_Escal)^(M4-'Project Assumptions'!$N$6))+Fuel_Start*'Project Assumptions'!$L$16)/1000*M7/12</f>
        <v>1028.74111006034</v>
      </c>
      <c r="N13" s="30" t="n">
        <f aca="false">IF(N3&gt;ProjectLife+1,0,(Main_Start*'Project Assumptions'!$L$15*((1+Main_Escal)^(N4-'Project Assumptions'!$N$6))+Fuel_Start*'Project Assumptions'!$L$16)/1000)*N6/12+((Main_Start*1/3)*'Project Assumptions'!$L$15*((1+Main_Escal)^(N4-'Project Assumptions'!$N$6))+Fuel_Start*'Project Assumptions'!$L$16)/1000*N7/12</f>
        <v>1059.60334336215</v>
      </c>
      <c r="O13" s="30" t="n">
        <f aca="false">IF(O3&gt;ProjectLife+1,0,(Main_Start*'Project Assumptions'!$L$15*((1+Main_Escal)^(O4-'Project Assumptions'!$N$6))+Fuel_Start*'Project Assumptions'!$L$16)/1000)*O6/12+((Main_Start*1/3)*'Project Assumptions'!$L$15*((1+Main_Escal)^(O4-'Project Assumptions'!$N$6))+Fuel_Start*'Project Assumptions'!$L$16)/1000*O7/12</f>
        <v>1091.39144366301</v>
      </c>
      <c r="P13" s="30" t="n">
        <f aca="false">IF(P3&gt;ProjectLife+1,0,(Main_Start*'Project Assumptions'!$L$15*((1+Main_Escal)^(P4-'Project Assumptions'!$N$6))+Fuel_Start*'Project Assumptions'!$L$16)/1000)*P6/12+((Main_Start*1/3)*'Project Assumptions'!$L$15*((1+Main_Escal)^(P4-'Project Assumptions'!$N$6))+Fuel_Start*'Project Assumptions'!$L$16)/1000*P7/12</f>
        <v>1124.1331869729</v>
      </c>
      <c r="Q13" s="30" t="n">
        <f aca="false">IF(Q3&gt;ProjectLife+1,0,(Main_Start*'Project Assumptions'!$L$15*((1+Main_Escal)^(Q4-'Project Assumptions'!$N$6))+Fuel_Start*'Project Assumptions'!$L$16)/1000)*Q6/12+((Main_Start*1/3)*'Project Assumptions'!$L$15*((1+Main_Escal)^(Q4-'Project Assumptions'!$N$6))+Fuel_Start*'Project Assumptions'!$L$16)/1000*Q7/12</f>
        <v>1157.85718258209</v>
      </c>
      <c r="R13" s="30" t="n">
        <f aca="false">IF(R3&gt;ProjectLife+1,0,(Main_Start*'Project Assumptions'!$L$15*((1+Main_Escal)^(R4-'Project Assumptions'!$N$6))+Fuel_Start*'Project Assumptions'!$L$16)/1000)*R6/12+((Main_Start*1/3)*'Project Assumptions'!$L$15*((1+Main_Escal)^(R4-'Project Assumptions'!$N$6))+Fuel_Start*'Project Assumptions'!$L$16)/1000*R7/12</f>
        <v>1192.59289805955</v>
      </c>
      <c r="S13" s="30" t="n">
        <f aca="false">IF(S3&gt;ProjectLife+1,0,(Main_Start*'Project Assumptions'!$L$15*((1+Main_Escal)^(S4-'Project Assumptions'!$N$6))+Fuel_Start*'Project Assumptions'!$L$16)/1000)*S6/12+((Main_Start*1/3)*'Project Assumptions'!$L$15*((1+Main_Escal)^(S4-'Project Assumptions'!$N$6))+Fuel_Start*'Project Assumptions'!$L$16)/1000*S7/12</f>
        <v>1228.37068500134</v>
      </c>
      <c r="T13" s="30" t="n">
        <f aca="false">IF(T3&gt;ProjectLife+1,0,(Main_Start*'Project Assumptions'!$L$15*((1+Main_Escal)^(T4-'Project Assumptions'!$N$6))+Fuel_Start*'Project Assumptions'!$L$16)/1000)*T6/12+((Main_Start*1/3)*'Project Assumptions'!$L$15*((1+Main_Escal)^(T4-'Project Assumptions'!$N$6))+Fuel_Start*'Project Assumptions'!$L$16)/1000*T7/12</f>
        <v>1265.22180555138</v>
      </c>
      <c r="U13" s="30" t="n">
        <f aca="false">IF(U3&gt;ProjectLife+1,0,(Main_Start*'Project Assumptions'!$L$15*((1+Main_Escal)^(U4-'Project Assumptions'!$N$6))+Fuel_Start*'Project Assumptions'!$L$16)/1000)*U6/12+((Main_Start*1/3)*'Project Assumptions'!$L$15*((1+Main_Escal)^(U4-'Project Assumptions'!$N$6))+Fuel_Start*'Project Assumptions'!$L$16)/1000*U7/12</f>
        <v>1303.17845971792</v>
      </c>
      <c r="V13" s="30" t="n">
        <f aca="false">IF(V3&gt;ProjectLife+1,0,(Main_Start*'Project Assumptions'!$L$15*((1+Main_Escal)^(V4-'Project Assumptions'!$N$6))+Fuel_Start*'Project Assumptions'!$L$16)/1000)*V6/12+((Main_Start*1/3)*'Project Assumptions'!$L$15*((1+Main_Escal)^(V4-'Project Assumptions'!$N$6))+Fuel_Start*'Project Assumptions'!$L$16)/1000*V7/12</f>
        <v>1342.27381350946</v>
      </c>
      <c r="W13" s="30" t="n">
        <f aca="false">IF(W3&gt;ProjectLife+1,0,(Main_Start*'Project Assumptions'!$L$15*((1+Main_Escal)^(W4-'Project Assumptions'!$N$6))+Fuel_Start*'Project Assumptions'!$L$16)/1000)*W6/12+((Main_Start*1/3)*'Project Assumptions'!$L$15*((1+Main_Escal)^(W4-'Project Assumptions'!$N$6))+Fuel_Start*'Project Assumptions'!$L$16)/1000*W7/12</f>
        <v>1382.54202791474</v>
      </c>
      <c r="X13" s="30" t="n">
        <f aca="false">IF(X3&gt;ProjectLife+1,0,(Main_Start*'Project Assumptions'!$L$15*((1+Main_Escal)^(X4-'Project Assumptions'!$N$6))+Fuel_Start*'Project Assumptions'!$L$16)/1000)*X6/12+((Main_Start*1/3)*'Project Assumptions'!$L$15*((1+Main_Escal)^(X4-'Project Assumptions'!$N$6))+Fuel_Start*'Project Assumptions'!$L$16)/1000</f>
        <v>1424.01828875219</v>
      </c>
      <c r="Y13" s="30" t="n">
        <f aca="false">IF(Y3&gt;ProjectLife+1,0,(Main_Start*'Project Assumptions'!$L$15*((1+Main_Escal)^(Y4-'Project Assumptions'!$N$6))+Fuel_Start*'Project Assumptions'!$L$16)/1000)*Y6/12+((Main_Start*1/3)*'Project Assumptions'!$L$15*((1+Main_Escal)^(Y4-'Project Assumptions'!$N$6))+Fuel_Start*'Project Assumptions'!$L$16)/1000*Y7/12</f>
        <v>0</v>
      </c>
      <c r="Z13" s="30" t="n">
        <f aca="false">IF(Z3&gt;ProjectLife+1,0,(Main_Start*'Project Assumptions'!$L$15*((1+Main_Escal)^(Z4-'Project Assumptions'!$N$6))+Fuel_Start*'Project Assumptions'!$L$16)/1000)*Z6/12+((Main_Start*1/3)*'Project Assumptions'!$L$15*((1+Main_Escal)^(Z4-'Project Assumptions'!$N$6))+Fuel_Start*'Project Assumptions'!$L$16)/1000*Z7/12</f>
        <v>0</v>
      </c>
      <c r="AA13" s="30" t="n">
        <f aca="false">IF(AA3&gt;ProjectLife+1,0,(Main_Start*'Project Assumptions'!$L$15*((1+Main_Escal)^(AA4-'Project Assumptions'!$N$6))+Fuel_Start*'Project Assumptions'!$L$16)/1000)*AA6/12+((Main_Start*1/3)*'Project Assumptions'!$L$15*((1+Main_Escal)^(AA4-'Project Assumptions'!$N$6))+Fuel_Start*'Project Assumptions'!$L$16)/1000*AA7/12</f>
        <v>0</v>
      </c>
      <c r="AB13" s="437" t="n">
        <f aca="false">IF(AB3&gt;ProjectLife+1,0,(Main_Start*'Project Assumptions'!$L$15*((1+Main_Escal)^(AB4-'Project Assumptions'!$N$6))+Fuel_Start*'Project Assumptions'!$L$16)/1000)*AB6/12+((Main_Start*1/3)*'Project Assumptions'!$L$15*((1+Main_Escal)^(AB4-'Project Assumptions'!$N$6))+Fuel_Start*'Project Assumptions'!$L$16)/1000*AB7/12</f>
        <v>0</v>
      </c>
    </row>
    <row r="14" customFormat="false" ht="12.6" hidden="false" customHeight="true" outlineLevel="0" collapsed="false">
      <c r="B14" s="416" t="s">
        <v>494</v>
      </c>
      <c r="D14" s="442" t="n">
        <f aca="false">Operations!C20*AnnualHours*(Energy_Margin)/1000*D7/12</f>
        <v>0</v>
      </c>
      <c r="E14" s="442" t="n">
        <f aca="false">Operations!D20*AnnualHours*(Energy_Margin)/1000*E7/12</f>
        <v>0</v>
      </c>
      <c r="F14" s="442" t="n">
        <f aca="false">Operations!E20*AnnualHours*(Energy_Margin)/1000*F7/12</f>
        <v>0</v>
      </c>
      <c r="G14" s="442" t="n">
        <f aca="false">Operations!F20*AnnualHours*(Energy_Margin)/1000*G7/12</f>
        <v>4.28418433333333</v>
      </c>
      <c r="H14" s="442" t="n">
        <f aca="false">Operations!G20*AnnualHours*(Energy_Margin)/1000*H7/12</f>
        <v>12.590256</v>
      </c>
      <c r="I14" s="442" t="n">
        <f aca="false">Operations!H20*AnnualHours*(Energy_Margin)/1000*I7/12</f>
        <v>12.590256</v>
      </c>
      <c r="J14" s="442" t="n">
        <f aca="false">Operations!I20*AnnualHours*(Energy_Margin)/1000*J7/12</f>
        <v>12.590256</v>
      </c>
      <c r="K14" s="442" t="n">
        <f aca="false">Operations!J20*AnnualHours*(Energy_Margin)/1000*K7/12</f>
        <v>12.590256</v>
      </c>
      <c r="L14" s="442" t="n">
        <f aca="false">Operations!K20*AnnualHours*(Energy_Margin)/1000*L7/12</f>
        <v>12.590256</v>
      </c>
      <c r="M14" s="442" t="n">
        <f aca="false">Operations!L20*AnnualHours*(Energy_Margin)/1000*M7/12</f>
        <v>12.590256</v>
      </c>
      <c r="N14" s="442" t="n">
        <f aca="false">Operations!M20*AnnualHours*(Energy_Margin)/1000*N7/12</f>
        <v>12.590256</v>
      </c>
      <c r="O14" s="442" t="n">
        <f aca="false">Operations!N20*AnnualHours*(Energy_Margin)/1000*O7/12</f>
        <v>12.590256</v>
      </c>
      <c r="P14" s="442" t="n">
        <f aca="false">Operations!O20*AnnualHours*(Energy_Margin)/1000*P7/12</f>
        <v>12.590256</v>
      </c>
      <c r="Q14" s="442" t="n">
        <f aca="false">Operations!P20*AnnualHours*(Energy_Margin)/1000*Q7/12</f>
        <v>12.590256</v>
      </c>
      <c r="R14" s="442" t="n">
        <f aca="false">Operations!Q20*AnnualHours*(Energy_Margin)/1000*R7/12</f>
        <v>12.590256</v>
      </c>
      <c r="S14" s="442" t="n">
        <f aca="false">Operations!R20*AnnualHours*(Energy_Margin)/1000*S7/12</f>
        <v>12.590256</v>
      </c>
      <c r="T14" s="442" t="n">
        <f aca="false">Operations!S20*AnnualHours*(Energy_Margin)/1000*T7/12</f>
        <v>12.590256</v>
      </c>
      <c r="U14" s="442" t="n">
        <f aca="false">Operations!T20*AnnualHours*(Energy_Margin)/1000*U7/12</f>
        <v>12.590256</v>
      </c>
      <c r="V14" s="442" t="n">
        <f aca="false">Operations!U20*AnnualHours*(Energy_Margin)/1000*V7/12</f>
        <v>12.590256</v>
      </c>
      <c r="W14" s="442" t="n">
        <f aca="false">Operations!V20*AnnualHours*(Energy_Margin)/1000*W7/12</f>
        <v>12.590256</v>
      </c>
      <c r="X14" s="442" t="n">
        <f aca="false">Operations!W20*AnnualHours*(Energy_Margin)/1000*X7/12</f>
        <v>5.24594</v>
      </c>
      <c r="Y14" s="442" t="n">
        <f aca="false">Operations!X20*AnnualHours*(Energy_Margin)/1000*Y7/12</f>
        <v>0</v>
      </c>
      <c r="Z14" s="442" t="n">
        <f aca="false">Operations!Y20*AnnualHours*(Energy_Margin)/1000*Z7/12</f>
        <v>0</v>
      </c>
      <c r="AA14" s="442" t="n">
        <f aca="false">Operations!Z20*AnnualHours*(Energy_Margin)/1000*AA7/12</f>
        <v>0</v>
      </c>
      <c r="AB14" s="442" t="n">
        <f aca="false">Operations!AA20*AnnualHours*(Energy_Margin)/1000*AB7/12</f>
        <v>0</v>
      </c>
    </row>
    <row r="15" customFormat="false" ht="12.6" hidden="false" customHeight="true" outlineLevel="0" collapsed="false">
      <c r="B15" s="416" t="s">
        <v>354</v>
      </c>
      <c r="D15" s="654" t="n">
        <f aca="false">'PPA Assumptions &amp;Summary'!C14</f>
        <v>0</v>
      </c>
      <c r="E15" s="654" t="n">
        <f aca="false">'PPA Assumptions &amp;Summary'!D14</f>
        <v>0</v>
      </c>
      <c r="F15" s="654" t="n">
        <f aca="false">'PPA Assumptions &amp;Summary'!E14</f>
        <v>0</v>
      </c>
      <c r="G15" s="654" t="n">
        <f aca="false">'PPA Assumptions &amp;Summary'!F14</f>
        <v>0</v>
      </c>
      <c r="H15" s="654" t="n">
        <f aca="false">'PPA Assumptions &amp;Summary'!G14</f>
        <v>0</v>
      </c>
      <c r="I15" s="654" t="n">
        <f aca="false">'PPA Assumptions &amp;Summary'!H14</f>
        <v>0</v>
      </c>
      <c r="J15" s="654" t="n">
        <f aca="false">'PPA Assumptions &amp;Summary'!I14</f>
        <v>0</v>
      </c>
      <c r="K15" s="654" t="n">
        <f aca="false">'PPA Assumptions &amp;Summary'!J14</f>
        <v>0</v>
      </c>
      <c r="L15" s="654" t="n">
        <f aca="false">'PPA Assumptions &amp;Summary'!K14</f>
        <v>0</v>
      </c>
      <c r="M15" s="654" t="n">
        <f aca="false">'PPA Assumptions &amp;Summary'!L14</f>
        <v>0</v>
      </c>
      <c r="N15" s="654" t="n">
        <f aca="false">'PPA Assumptions &amp;Summary'!M14</f>
        <v>0</v>
      </c>
      <c r="O15" s="654" t="n">
        <f aca="false">'PPA Assumptions &amp;Summary'!N14</f>
        <v>0</v>
      </c>
      <c r="P15" s="654" t="n">
        <f aca="false">'PPA Assumptions &amp;Summary'!O14</f>
        <v>0</v>
      </c>
      <c r="Q15" s="654" t="n">
        <f aca="false">'PPA Assumptions &amp;Summary'!P14</f>
        <v>0</v>
      </c>
      <c r="R15" s="654" t="n">
        <f aca="false">'PPA Assumptions &amp;Summary'!Q14</f>
        <v>0</v>
      </c>
      <c r="S15" s="654" t="n">
        <f aca="false">'PPA Assumptions &amp;Summary'!R14</f>
        <v>0</v>
      </c>
      <c r="T15" s="654" t="n">
        <f aca="false">'PPA Assumptions &amp;Summary'!S14</f>
        <v>0</v>
      </c>
      <c r="U15" s="654" t="n">
        <f aca="false">'PPA Assumptions &amp;Summary'!T14</f>
        <v>0</v>
      </c>
      <c r="V15" s="654" t="n">
        <f aca="false">'PPA Assumptions &amp;Summary'!U14</f>
        <v>0</v>
      </c>
      <c r="W15" s="654" t="n">
        <f aca="false">'PPA Assumptions &amp;Summary'!V14</f>
        <v>0</v>
      </c>
      <c r="X15" s="654" t="n">
        <f aca="false">'PPA Assumptions &amp;Summary'!W14</f>
        <v>0</v>
      </c>
      <c r="Y15" s="654" t="n">
        <f aca="false">'PPA Assumptions &amp;Summary'!X14</f>
        <v>0</v>
      </c>
      <c r="Z15" s="654" t="n">
        <f aca="false">'PPA Assumptions &amp;Summary'!Y14</f>
        <v>0</v>
      </c>
      <c r="AA15" s="654" t="n">
        <f aca="false">'PPA Assumptions &amp;Summary'!Z14</f>
        <v>0</v>
      </c>
      <c r="AB15" s="655" t="n">
        <f aca="false">'PPA Assumptions &amp;Summary'!AA14</f>
        <v>0</v>
      </c>
    </row>
    <row r="16" customFormat="false" ht="12.6" hidden="false" customHeight="true" outlineLevel="0" collapsed="false">
      <c r="B16" s="416" t="s">
        <v>355</v>
      </c>
      <c r="D16" s="656" t="n">
        <f aca="false">'PPA Assumptions &amp;Summary'!C15</f>
        <v>0</v>
      </c>
      <c r="E16" s="656" t="n">
        <f aca="false">'PPA Assumptions &amp;Summary'!D15</f>
        <v>0</v>
      </c>
      <c r="F16" s="656" t="n">
        <f aca="false">'PPA Assumptions &amp;Summary'!E15</f>
        <v>0</v>
      </c>
      <c r="G16" s="656" t="n">
        <f aca="false">'PPA Assumptions &amp;Summary'!F15</f>
        <v>0</v>
      </c>
      <c r="H16" s="656" t="n">
        <f aca="false">'PPA Assumptions &amp;Summary'!G15</f>
        <v>0</v>
      </c>
      <c r="I16" s="656" t="n">
        <f aca="false">'PPA Assumptions &amp;Summary'!H15</f>
        <v>0</v>
      </c>
      <c r="J16" s="656" t="n">
        <f aca="false">'PPA Assumptions &amp;Summary'!I15</f>
        <v>0</v>
      </c>
      <c r="K16" s="656" t="n">
        <f aca="false">'PPA Assumptions &amp;Summary'!J15</f>
        <v>0</v>
      </c>
      <c r="L16" s="656" t="n">
        <f aca="false">'PPA Assumptions &amp;Summary'!K15</f>
        <v>0</v>
      </c>
      <c r="M16" s="656" t="n">
        <f aca="false">'PPA Assumptions &amp;Summary'!L15</f>
        <v>0</v>
      </c>
      <c r="N16" s="656" t="n">
        <f aca="false">'PPA Assumptions &amp;Summary'!M15</f>
        <v>0</v>
      </c>
      <c r="O16" s="656" t="n">
        <f aca="false">'PPA Assumptions &amp;Summary'!N15</f>
        <v>0</v>
      </c>
      <c r="P16" s="656" t="n">
        <f aca="false">'PPA Assumptions &amp;Summary'!O15</f>
        <v>0</v>
      </c>
      <c r="Q16" s="656" t="n">
        <f aca="false">'PPA Assumptions &amp;Summary'!P15</f>
        <v>0</v>
      </c>
      <c r="R16" s="656" t="n">
        <f aca="false">'PPA Assumptions &amp;Summary'!Q15</f>
        <v>0</v>
      </c>
      <c r="S16" s="656" t="n">
        <f aca="false">'PPA Assumptions &amp;Summary'!R15</f>
        <v>0</v>
      </c>
      <c r="T16" s="656" t="n">
        <f aca="false">'PPA Assumptions &amp;Summary'!S15</f>
        <v>0</v>
      </c>
      <c r="U16" s="656" t="n">
        <f aca="false">'PPA Assumptions &amp;Summary'!T15</f>
        <v>0</v>
      </c>
      <c r="V16" s="656" t="n">
        <f aca="false">'PPA Assumptions &amp;Summary'!U15</f>
        <v>0</v>
      </c>
      <c r="W16" s="656" t="n">
        <f aca="false">'PPA Assumptions &amp;Summary'!V15</f>
        <v>0</v>
      </c>
      <c r="X16" s="656" t="n">
        <f aca="false">'PPA Assumptions &amp;Summary'!W15</f>
        <v>0</v>
      </c>
      <c r="Y16" s="656" t="n">
        <f aca="false">'PPA Assumptions &amp;Summary'!X15</f>
        <v>0</v>
      </c>
      <c r="Z16" s="656" t="n">
        <f aca="false">'PPA Assumptions &amp;Summary'!Y15</f>
        <v>0</v>
      </c>
      <c r="AA16" s="656" t="n">
        <f aca="false">'PPA Assumptions &amp;Summary'!Z15</f>
        <v>0</v>
      </c>
      <c r="AB16" s="657" t="n">
        <f aca="false">'PPA Assumptions &amp;Summary'!AA15</f>
        <v>0</v>
      </c>
    </row>
    <row r="17" customFormat="false" ht="12.6" hidden="false" customHeight="true" outlineLevel="0" collapsed="false">
      <c r="B17" s="658" t="s">
        <v>495</v>
      </c>
      <c r="C17" s="492"/>
      <c r="D17" s="659" t="n">
        <f aca="false">SUM(D10:D16)</f>
        <v>34109.7007669463</v>
      </c>
      <c r="E17" s="659" t="n">
        <f aca="false">SUM(E10:E16)</f>
        <v>44409.6879292274</v>
      </c>
      <c r="F17" s="659" t="n">
        <f aca="false">SUM(F10:F16)</f>
        <v>44506.771127475</v>
      </c>
      <c r="G17" s="659" t="n">
        <f aca="false">SUM(G10:G16)</f>
        <v>50218.3088622982</v>
      </c>
      <c r="H17" s="659" t="n">
        <f aca="false">SUM(H10:H16)</f>
        <v>54574.6735223465</v>
      </c>
      <c r="I17" s="659" t="n">
        <f aca="false">SUM(I10:I16)</f>
        <v>55063.6973276302</v>
      </c>
      <c r="J17" s="659" t="n">
        <f aca="false">SUM(J10:J16)</f>
        <v>55548.5587152765</v>
      </c>
      <c r="K17" s="659" t="n">
        <f aca="false">SUM(K10:K16)</f>
        <v>56699.5303999468</v>
      </c>
      <c r="L17" s="659" t="n">
        <f aca="false">SUM(L10:L16)</f>
        <v>57194.1209754336</v>
      </c>
      <c r="M17" s="659" t="n">
        <f aca="false">SUM(M10:M16)</f>
        <v>58394.4595279085</v>
      </c>
      <c r="N17" s="659" t="n">
        <f aca="false">SUM(N10:N16)</f>
        <v>58897.821542417</v>
      </c>
      <c r="O17" s="659" t="n">
        <f aca="false">SUM(O10:O16)</f>
        <v>60149.2711119014</v>
      </c>
      <c r="P17" s="659" t="n">
        <f aca="false">SUM(P10:P16)</f>
        <v>60660.6385842322</v>
      </c>
      <c r="Q17" s="659" t="n">
        <f aca="false">SUM(Q10:Q16)</f>
        <v>61164.0183132057</v>
      </c>
      <c r="R17" s="659" t="n">
        <f aca="false">SUM(R10:R16)</f>
        <v>61658.4708034955</v>
      </c>
      <c r="S17" s="659" t="n">
        <f aca="false">SUM(S10:S16)</f>
        <v>62143.0073790244</v>
      </c>
      <c r="T17" s="659" t="n">
        <f aca="false">SUM(T10:T16)</f>
        <v>62616.5880776655</v>
      </c>
      <c r="U17" s="659" t="n">
        <f aca="false">SUM(U10:U16)</f>
        <v>63078.1194638876</v>
      </c>
      <c r="V17" s="659" t="n">
        <f aca="false">SUM(V10:V16)</f>
        <v>63526.4523563168</v>
      </c>
      <c r="W17" s="659" t="n">
        <f aca="false">SUM(W10:W16)</f>
        <v>63960.3794670779</v>
      </c>
      <c r="X17" s="659" t="n">
        <f aca="false">SUM(X10:X16)</f>
        <v>38508.4253903415</v>
      </c>
      <c r="Y17" s="659" t="n">
        <f aca="false">SUM(Y10:Y16)</f>
        <v>0</v>
      </c>
      <c r="Z17" s="659" t="n">
        <f aca="false">SUM(Z10:Z16)</f>
        <v>0</v>
      </c>
      <c r="AA17" s="659" t="n">
        <f aca="false">SUM(AA10:AA16)</f>
        <v>0</v>
      </c>
      <c r="AB17" s="660" t="n">
        <f aca="false">SUM(AB10:AB16)</f>
        <v>0</v>
      </c>
    </row>
    <row r="18" customFormat="false" ht="12.6" hidden="false" customHeight="true" outlineLevel="0" collapsed="false">
      <c r="B18" s="661"/>
      <c r="C18" s="662" t="s">
        <v>268</v>
      </c>
      <c r="D18" s="663"/>
      <c r="E18" s="663"/>
      <c r="F18" s="663"/>
      <c r="G18" s="663"/>
      <c r="H18" s="663"/>
      <c r="I18" s="663"/>
      <c r="J18" s="663"/>
      <c r="K18" s="663"/>
      <c r="L18" s="663"/>
      <c r="M18" s="663"/>
      <c r="N18" s="663"/>
      <c r="O18" s="663"/>
      <c r="P18" s="663"/>
      <c r="Q18" s="663"/>
      <c r="R18" s="663"/>
      <c r="S18" s="663"/>
      <c r="T18" s="663"/>
      <c r="U18" s="663"/>
      <c r="V18" s="663"/>
      <c r="W18" s="663"/>
      <c r="X18" s="663"/>
      <c r="Y18" s="663"/>
      <c r="Z18" s="663"/>
      <c r="AA18" s="663"/>
      <c r="AB18" s="663"/>
    </row>
    <row r="19" customFormat="false" ht="12.6" hidden="false" customHeight="true" outlineLevel="0" collapsed="false">
      <c r="B19" s="428"/>
      <c r="D19" s="627"/>
      <c r="E19" s="627"/>
      <c r="F19" s="627"/>
      <c r="G19" s="627"/>
      <c r="H19" s="627"/>
      <c r="I19" s="627"/>
      <c r="J19" s="627"/>
      <c r="K19" s="627"/>
      <c r="L19" s="627"/>
      <c r="M19" s="627"/>
      <c r="N19" s="627"/>
      <c r="O19" s="627"/>
      <c r="P19" s="627"/>
      <c r="Q19" s="627"/>
      <c r="R19" s="627"/>
      <c r="S19" s="627"/>
      <c r="T19" s="627"/>
      <c r="U19" s="627"/>
      <c r="V19" s="627"/>
      <c r="W19" s="627"/>
      <c r="X19" s="627"/>
      <c r="Y19" s="627"/>
      <c r="Z19" s="627"/>
      <c r="AA19" s="627"/>
      <c r="AB19" s="627"/>
    </row>
    <row r="20" customFormat="false" ht="12.6" hidden="false" customHeight="true" outlineLevel="0" collapsed="false">
      <c r="B20" s="649" t="s">
        <v>496</v>
      </c>
      <c r="C20" s="484"/>
      <c r="D20" s="664"/>
      <c r="E20" s="664"/>
      <c r="F20" s="664"/>
      <c r="G20" s="664"/>
      <c r="H20" s="664"/>
      <c r="I20" s="664"/>
      <c r="J20" s="664"/>
      <c r="K20" s="664"/>
      <c r="L20" s="664"/>
      <c r="M20" s="664"/>
      <c r="N20" s="664"/>
      <c r="O20" s="664"/>
      <c r="P20" s="664"/>
      <c r="Q20" s="664"/>
      <c r="R20" s="664"/>
      <c r="S20" s="664"/>
      <c r="T20" s="664"/>
      <c r="U20" s="664"/>
      <c r="V20" s="664"/>
      <c r="W20" s="664"/>
      <c r="X20" s="664"/>
      <c r="Y20" s="664"/>
      <c r="Z20" s="664"/>
      <c r="AA20" s="664"/>
      <c r="AB20" s="665"/>
    </row>
    <row r="21" customFormat="false" ht="12.6" hidden="false" customHeight="true" outlineLevel="0" collapsed="false">
      <c r="B21" s="666"/>
      <c r="D21" s="442"/>
      <c r="E21" s="442"/>
      <c r="F21" s="442"/>
      <c r="G21" s="442"/>
      <c r="H21" s="442"/>
      <c r="I21" s="442"/>
      <c r="J21" s="442"/>
      <c r="K21" s="442"/>
      <c r="L21" s="442"/>
      <c r="M21" s="442"/>
      <c r="N21" s="442"/>
      <c r="O21" s="442"/>
      <c r="P21" s="442"/>
      <c r="Q21" s="442"/>
      <c r="R21" s="442"/>
      <c r="S21" s="442"/>
      <c r="T21" s="442"/>
      <c r="U21" s="442"/>
      <c r="V21" s="442"/>
      <c r="W21" s="442"/>
      <c r="X21" s="442"/>
      <c r="Y21" s="442"/>
      <c r="Z21" s="442"/>
      <c r="AA21" s="442"/>
      <c r="AB21" s="508"/>
    </row>
    <row r="22" customFormat="false" ht="12.6" hidden="false" customHeight="true" outlineLevel="0" collapsed="false">
      <c r="B22" s="666" t="s">
        <v>497</v>
      </c>
      <c r="D22" s="442"/>
      <c r="E22" s="442"/>
      <c r="F22" s="442"/>
      <c r="G22" s="442"/>
      <c r="H22" s="442"/>
      <c r="I22" s="442"/>
      <c r="J22" s="442"/>
      <c r="K22" s="442"/>
      <c r="L22" s="442"/>
      <c r="M22" s="442"/>
      <c r="N22" s="442"/>
      <c r="O22" s="442"/>
      <c r="P22" s="442"/>
      <c r="Q22" s="442"/>
      <c r="R22" s="442"/>
      <c r="S22" s="442"/>
      <c r="T22" s="442"/>
      <c r="U22" s="442"/>
      <c r="V22" s="442"/>
      <c r="W22" s="442"/>
      <c r="X22" s="442"/>
      <c r="Y22" s="442"/>
      <c r="Z22" s="442"/>
      <c r="AA22" s="442"/>
      <c r="AB22" s="508"/>
    </row>
    <row r="23" customFormat="false" ht="12.6" hidden="false" customHeight="true" outlineLevel="0" collapsed="false">
      <c r="B23" s="416" t="s">
        <v>498</v>
      </c>
      <c r="D23" s="30" t="n">
        <f aca="false">IF(D3&gt;'Project Assumptions'!$I$15+1,0,Operations!C35+Operations!C36)</f>
        <v>16697.3543769463</v>
      </c>
      <c r="E23" s="30" t="n">
        <f aca="false">IF(E3&gt;'Project Assumptions'!$I$15+1,0,Operations!D35+Operations!D36)</f>
        <v>16703.3711475274</v>
      </c>
      <c r="F23" s="30" t="n">
        <f aca="false">IF(F3&gt;'Project Assumptions'!$I$15+1,0,Operations!E35+Operations!E36)</f>
        <v>16703.664842324</v>
      </c>
      <c r="G23" s="30" t="n">
        <f aca="false">IF(G3&gt;'Project Assumptions'!$I$15+1,0,Operations!F35+Operations!F36)</f>
        <v>17066.3646636839</v>
      </c>
      <c r="H23" s="30" t="n">
        <f aca="false">IF(H3&gt;'Project Assumptions'!$I$15+1,0,Operations!G35+Operations!G36)</f>
        <v>17182.5393045206</v>
      </c>
      <c r="I23" s="30" t="n">
        <f aca="false">IF(I3&gt;'Project Assumptions'!$I$15+1,0,Operations!H35+Operations!H36)</f>
        <v>17182.4575524969</v>
      </c>
      <c r="J23" s="30" t="n">
        <f aca="false">IF(J3&gt;'Project Assumptions'!$I$15+1,0,Operations!I35+Operations!I36)</f>
        <v>17182.5086389633</v>
      </c>
      <c r="K23" s="30" t="n">
        <f aca="false">IF(K3&gt;'Project Assumptions'!$I$15+1,0,Operations!J35+Operations!J36)</f>
        <v>17182.8765290241</v>
      </c>
      <c r="L23" s="30" t="n">
        <f aca="false">IF(L3&gt;'Project Assumptions'!$I$15+1,0,Operations!K35+Operations!K36)</f>
        <v>17183.2554557868</v>
      </c>
      <c r="M23" s="30" t="n">
        <f aca="false">IF(M3&gt;'Project Assumptions'!$I$15+1,0,Operations!L35+Operations!L36)</f>
        <v>17183.6457503523</v>
      </c>
      <c r="N23" s="30" t="n">
        <f aca="false">IF(N3&gt;'Project Assumptions'!$I$15+1,0,Operations!M35+Operations!M36)</f>
        <v>17184.0477537548</v>
      </c>
      <c r="O23" s="30" t="n">
        <f aca="false">IF(O3&gt;'Project Assumptions'!$I$15+1,0,Operations!N35+Operations!N36)</f>
        <v>17184.4618172594</v>
      </c>
      <c r="P23" s="30" t="n">
        <f aca="false">IF(P3&gt;'Project Assumptions'!$I$15+1,0,Operations!O35+Operations!O36)</f>
        <v>17184.8883026691</v>
      </c>
      <c r="Q23" s="30" t="n">
        <f aca="false">IF(Q3&gt;'Project Assumptions'!$I$15+1,0,Operations!P35+Operations!P36)</f>
        <v>17185.3275826411</v>
      </c>
      <c r="R23" s="30" t="n">
        <f aca="false">IF(R3&gt;'Project Assumptions'!$I$15+1,0,Operations!Q35+Operations!Q36)</f>
        <v>17185.7800410122</v>
      </c>
      <c r="S23" s="30" t="n">
        <f aca="false">IF(S3&gt;'Project Assumptions'!$I$15+1,0,Operations!R35+Operations!R36)</f>
        <v>17186.2460731345</v>
      </c>
      <c r="T23" s="30" t="n">
        <f aca="false">IF(T3&gt;'Project Assumptions'!$I$15+1,0,Operations!S35+Operations!S36)</f>
        <v>17186.7260862205</v>
      </c>
      <c r="U23" s="30" t="n">
        <f aca="false">IF(U3&gt;'Project Assumptions'!$I$15+1,0,Operations!T35+Operations!T36)</f>
        <v>17187.220499699</v>
      </c>
      <c r="V23" s="30" t="n">
        <f aca="false">IF(V3&gt;'Project Assumptions'!$I$15+1,0,Operations!U35+Operations!U36)</f>
        <v>17187.729745582</v>
      </c>
      <c r="W23" s="30" t="n">
        <f aca="false">IF(W3&gt;'Project Assumptions'!$I$15+1,0,Operations!V35+Operations!V36)</f>
        <v>17188.2542688413</v>
      </c>
      <c r="X23" s="30" t="n">
        <f aca="false">IF(X3&gt;'Project Assumptions'!$I$15+1,0,Operations!W35+Operations!W36)</f>
        <v>17184.0929311294</v>
      </c>
      <c r="Y23" s="30" t="n">
        <f aca="false">IF(Y3&gt;'Project Assumptions'!$I$15+1,0,Operations!X35+Operations!X36)</f>
        <v>0</v>
      </c>
      <c r="Z23" s="30" t="n">
        <f aca="false">IF(Z3&gt;'Project Assumptions'!$I$15+1,0,Operations!Y35+Operations!Y36)</f>
        <v>0</v>
      </c>
      <c r="AA23" s="30" t="n">
        <f aca="false">IF(AA3&gt;'Project Assumptions'!$I$15+1,0,Operations!Z35+Operations!Z36)</f>
        <v>0</v>
      </c>
      <c r="AB23" s="30" t="n">
        <f aca="false">IF(AB3&gt;'Project Assumptions'!$I$15+1,0,Operations!AA35+Operations!AA36)</f>
        <v>0</v>
      </c>
    </row>
    <row r="24" customFormat="false" ht="12.6" hidden="false" customHeight="true" outlineLevel="0" collapsed="false">
      <c r="B24" s="416"/>
      <c r="D24" s="30"/>
      <c r="E24" s="30"/>
      <c r="F24" s="30"/>
      <c r="G24" s="30"/>
      <c r="H24" s="30"/>
      <c r="I24" s="30"/>
      <c r="J24" s="30"/>
      <c r="K24" s="30"/>
      <c r="L24" s="30"/>
      <c r="M24" s="30"/>
      <c r="N24" s="30"/>
      <c r="O24" s="30"/>
      <c r="P24" s="30"/>
      <c r="Q24" s="30"/>
      <c r="R24" s="30"/>
      <c r="S24" s="30"/>
      <c r="T24" s="30"/>
      <c r="U24" s="30"/>
      <c r="V24" s="30"/>
      <c r="W24" s="30"/>
      <c r="X24" s="30"/>
      <c r="Y24" s="30"/>
      <c r="Z24" s="30"/>
      <c r="AA24" s="30"/>
      <c r="AB24" s="437"/>
    </row>
    <row r="25" customFormat="false" ht="12.6" hidden="false" customHeight="true" outlineLevel="0" collapsed="false">
      <c r="A25" s="642" t="n">
        <v>3</v>
      </c>
      <c r="B25" s="667" t="s">
        <v>499</v>
      </c>
      <c r="D25" s="668" t="n">
        <f aca="false">IF(D3&gt;'Project Assumptions'!$I$15+1,0,(WaterMWh*(Operations!C25+Operations!C27))*((1+OM_Escal)^(D4-'Project Assumptions'!$N$6))/1000)</f>
        <v>446.06519</v>
      </c>
      <c r="E25" s="668" t="n">
        <f aca="false">IF(E3&gt;'Project Assumptions'!$I$15+1,0,(WaterMWh*(Operations!D25+Operations!D27))*((1+OM_Escal)^(E4-'Project Assumptions'!$N$6))/1000)</f>
        <v>459.4471457</v>
      </c>
      <c r="F25" s="668" t="n">
        <f aca="false">IF(F3&gt;'Project Assumptions'!$I$15+1,0,(WaterMWh*(Operations!E25+Operations!E27))*((1+OM_Escal)^(F4-'Project Assumptions'!$N$6))/1000)</f>
        <v>473.230560071</v>
      </c>
      <c r="G25" s="668" t="n">
        <f aca="false">IF(G3&gt;'Project Assumptions'!$I$15+1,0,(WaterMWh*(Operations!F25+Operations!F27))*((1+OM_Escal)^(G4-'Project Assumptions'!$N$6))/1000)</f>
        <v>498.001094316632</v>
      </c>
      <c r="H25" s="668" t="n">
        <f aca="false">IF(H3&gt;'Project Assumptions'!$I$15+1,0,(WaterMWh*(Operations!G25+Operations!G27))*((1+OM_Escal)^(H4-'Project Assumptions'!$N$6))/1000)</f>
        <v>516.416815091895</v>
      </c>
      <c r="I25" s="668" t="n">
        <f aca="false">IF(I3&gt;'Project Assumptions'!$I$15+1,0,(WaterMWh*(Operations!H25+Operations!H27))*((1+OM_Escal)^(I4-'Project Assumptions'!$N$6))/1000)</f>
        <v>531.909319544652</v>
      </c>
      <c r="J25" s="668" t="n">
        <f aca="false">IF(J3&gt;'Project Assumptions'!$I$15+1,0,(WaterMWh*(Operations!I25+Operations!I27))*((1+OM_Escal)^(J4-'Project Assumptions'!$N$6))/1000)</f>
        <v>547.866599130991</v>
      </c>
      <c r="K25" s="668" t="n">
        <f aca="false">IF(K3&gt;'Project Assumptions'!$I$15+1,0,(WaterMWh*(Operations!J25+Operations!J27))*((1+OM_Escal)^(K4-'Project Assumptions'!$N$6))/1000)</f>
        <v>564.302597104921</v>
      </c>
      <c r="L25" s="668" t="n">
        <f aca="false">IF(L3&gt;'Project Assumptions'!$I$15+1,0,(WaterMWh*(Operations!K25+Operations!K27))*((1+OM_Escal)^(L4-'Project Assumptions'!$N$6))/1000)</f>
        <v>581.231675018068</v>
      </c>
      <c r="M25" s="668" t="n">
        <f aca="false">IF(M3&gt;'Project Assumptions'!$I$15+1,0,(WaterMWh*(Operations!L25+Operations!L27))*((1+OM_Escal)^(M4-'Project Assumptions'!$N$6))/1000)</f>
        <v>598.668625268611</v>
      </c>
      <c r="N25" s="668" t="n">
        <f aca="false">IF(N3&gt;'Project Assumptions'!$I$15+1,0,(WaterMWh*(Operations!M25+Operations!M27))*((1+OM_Escal)^(N4-'Project Assumptions'!$N$6))/1000)</f>
        <v>616.628684026669</v>
      </c>
      <c r="O25" s="668" t="n">
        <f aca="false">IF(O3&gt;'Project Assumptions'!$I$15+1,0,(WaterMWh*(Operations!N25+Operations!N27))*((1+OM_Escal)^(O4-'Project Assumptions'!$N$6))/1000)</f>
        <v>635.127544547469</v>
      </c>
      <c r="P25" s="668" t="n">
        <f aca="false">IF(P3&gt;'Project Assumptions'!$I$15+1,0,(WaterMWh*(Operations!O25+Operations!O27))*((1+OM_Escal)^(P4-'Project Assumptions'!$N$6))/1000)</f>
        <v>654.181370883893</v>
      </c>
      <c r="Q25" s="668" t="n">
        <f aca="false">IF(Q3&gt;'Project Assumptions'!$I$15+1,0,(WaterMWh*(Operations!P25+Operations!P27))*((1+OM_Escal)^(Q4-'Project Assumptions'!$N$6))/1000)</f>
        <v>673.80681201041</v>
      </c>
      <c r="R25" s="668" t="n">
        <f aca="false">IF(R3&gt;'Project Assumptions'!$I$15+1,0,(WaterMWh*(Operations!Q25+Operations!Q27))*((1+OM_Escal)^(R4-'Project Assumptions'!$N$6))/1000)</f>
        <v>694.021016370722</v>
      </c>
      <c r="S25" s="668" t="n">
        <f aca="false">IF(S3&gt;'Project Assumptions'!$I$15+1,0,(WaterMWh*(Operations!R25+Operations!R27))*((1+OM_Escal)^(S4-'Project Assumptions'!$N$6))/1000)</f>
        <v>714.841646861844</v>
      </c>
      <c r="T25" s="668" t="n">
        <f aca="false">IF(T3&gt;'Project Assumptions'!$I$15+1,0,(WaterMWh*(Operations!S25+Operations!S27))*((1+OM_Escal)^(T4-'Project Assumptions'!$N$6))/1000)</f>
        <v>736.286896267699</v>
      </c>
      <c r="U25" s="668" t="n">
        <f aca="false">IF(U3&gt;'Project Assumptions'!$I$15+1,0,(WaterMWh*(Operations!T25+Operations!T27))*((1+OM_Escal)^(U4-'Project Assumptions'!$N$6))/1000)</f>
        <v>758.37550315573</v>
      </c>
      <c r="V25" s="668" t="n">
        <f aca="false">IF(V3&gt;'Project Assumptions'!$I$15+1,0,(WaterMWh*(Operations!U25+Operations!U27))*((1+OM_Escal)^(V4-'Project Assumptions'!$N$6))/1000)</f>
        <v>781.126768250402</v>
      </c>
      <c r="W25" s="668" t="n">
        <f aca="false">IF(W3&gt;'Project Assumptions'!$I$15+1,0,(WaterMWh*(Operations!V25+Operations!V27))*((1+OM_Escal)^(W4-'Project Assumptions'!$N$6))/1000)</f>
        <v>804.560571297914</v>
      </c>
      <c r="X25" s="668" t="n">
        <f aca="false">IF(X3&gt;'Project Assumptions'!$I$15+1,0,(WaterMWh*(Operations!W25+Operations!W27))*((1+OM_Escal)^(X4-'Project Assumptions'!$N$6))/1000)</f>
        <v>828.697388436852</v>
      </c>
      <c r="Y25" s="668" t="n">
        <f aca="false">IF(Y3&gt;'Project Assumptions'!$I$15+1,0,(WaterMWh*(Operations!X25+Operations!X27))*((1+OM_Escal)^(Y4-'Project Assumptions'!$N$6))/1000)</f>
        <v>0</v>
      </c>
      <c r="Z25" s="668" t="n">
        <f aca="false">IF(Z3&gt;'Project Assumptions'!$I$15+1,0,(WaterMWh*(Operations!Y25+Operations!Y27))*((1+OM_Escal)^(Z4-'Project Assumptions'!$N$6))/1000)</f>
        <v>0</v>
      </c>
      <c r="AA25" s="668" t="n">
        <f aca="false">IF(AA3&gt;'Project Assumptions'!$I$15+1,0,(WaterMWh*(Operations!Z25+Operations!Z27))*((1+OM_Escal)^(AA4-'Project Assumptions'!$N$6))/1000)</f>
        <v>0</v>
      </c>
      <c r="AB25" s="668" t="n">
        <f aca="false">IF(AB3&gt;'Project Assumptions'!$I$15+1,0,(WaterMWh*(Operations!AA25+Operations!AA27))*((1+OM_Escal)^(AB4-'Project Assumptions'!$N$6))/1000)</f>
        <v>0</v>
      </c>
    </row>
    <row r="26" customFormat="false" ht="12.6" hidden="false" customHeight="true" outlineLevel="0" collapsed="false">
      <c r="A26" s="642" t="n">
        <v>3</v>
      </c>
      <c r="B26" s="667" t="s">
        <v>500</v>
      </c>
      <c r="D26" s="668" t="n">
        <f aca="false">IF(D3&gt;'Project Assumptions'!$I$15+1,0,(FercMWh*(Operations!C25+Operations!C27))*((1+OM_Escal)^(D4-'Project Assumptions'!$N$6))/1000)</f>
        <v>31.518</v>
      </c>
      <c r="E26" s="668" t="n">
        <f aca="false">IF(E3&gt;'Project Assumptions'!$I$15+1,0,(FercMWh*(Operations!D25+Operations!D27))*((1+OM_Escal)^(E4-'Project Assumptions'!$N$6))/1000)</f>
        <v>32.46354</v>
      </c>
      <c r="F26" s="668" t="n">
        <f aca="false">IF(F3&gt;'Project Assumptions'!$I$15+1,0,(FercMWh*(Operations!E25+Operations!E27))*((1+OM_Escal)^(F4-'Project Assumptions'!$N$6))/1000)</f>
        <v>33.4374462</v>
      </c>
      <c r="G26" s="668" t="n">
        <f aca="false">IF(G3&gt;'Project Assumptions'!$I$15+1,0,(FercMWh*(Operations!F25+Operations!F27))*((1+OM_Escal)^(G4-'Project Assumptions'!$N$6))/1000)</f>
        <v>35.1876784885896</v>
      </c>
      <c r="H26" s="668" t="n">
        <f aca="false">IF(H3&gt;'Project Assumptions'!$I$15+1,0,(FercMWh*(Operations!G25+Operations!G27))*((1+OM_Escal)^(H4-'Project Assumptions'!$N$6))/1000)</f>
        <v>36.4888934240001</v>
      </c>
      <c r="I26" s="668" t="n">
        <f aca="false">IF(I3&gt;'Project Assumptions'!$I$15+1,0,(FercMWh*(Operations!H25+Operations!H27))*((1+OM_Escal)^(I4-'Project Assumptions'!$N$6))/1000)</f>
        <v>37.5835602267201</v>
      </c>
      <c r="J26" s="668" t="n">
        <f aca="false">IF(J3&gt;'Project Assumptions'!$I$15+1,0,(FercMWh*(Operations!I25+Operations!I27))*((1+OM_Escal)^(J4-'Project Assumptions'!$N$6))/1000)</f>
        <v>38.7110670335217</v>
      </c>
      <c r="K26" s="668" t="n">
        <f aca="false">IF(K3&gt;'Project Assumptions'!$I$15+1,0,(FercMWh*(Operations!J25+Operations!J27))*((1+OM_Escal)^(K4-'Project Assumptions'!$N$6))/1000)</f>
        <v>39.8723990445273</v>
      </c>
      <c r="L26" s="668" t="n">
        <f aca="false">IF(L3&gt;'Project Assumptions'!$I$15+1,0,(FercMWh*(Operations!K25+Operations!K27))*((1+OM_Escal)^(L4-'Project Assumptions'!$N$6))/1000)</f>
        <v>41.0685710158631</v>
      </c>
      <c r="M26" s="668" t="n">
        <f aca="false">IF(M3&gt;'Project Assumptions'!$I$15+1,0,(FercMWh*(Operations!L25+Operations!L27))*((1+OM_Escal)^(M4-'Project Assumptions'!$N$6))/1000)</f>
        <v>42.300628146339</v>
      </c>
      <c r="N26" s="668" t="n">
        <f aca="false">IF(N3&gt;'Project Assumptions'!$I$15+1,0,(FercMWh*(Operations!M25+Operations!M27))*((1+OM_Escal)^(N4-'Project Assumptions'!$N$6))/1000)</f>
        <v>43.5696469907292</v>
      </c>
      <c r="O26" s="668" t="n">
        <f aca="false">IF(O3&gt;'Project Assumptions'!$I$15+1,0,(FercMWh*(Operations!N25+Operations!N27))*((1+OM_Escal)^(O4-'Project Assumptions'!$N$6))/1000)</f>
        <v>44.8767364004511</v>
      </c>
      <c r="P26" s="668" t="n">
        <f aca="false">IF(P3&gt;'Project Assumptions'!$I$15+1,0,(FercMWh*(Operations!O25+Operations!O27))*((1+OM_Escal)^(P4-'Project Assumptions'!$N$6))/1000)</f>
        <v>46.2230384924646</v>
      </c>
      <c r="Q26" s="668" t="n">
        <f aca="false">IF(Q3&gt;'Project Assumptions'!$I$15+1,0,(FercMWh*(Operations!P25+Operations!P27))*((1+OM_Escal)^(Q4-'Project Assumptions'!$N$6))/1000)</f>
        <v>47.6097296472386</v>
      </c>
      <c r="R26" s="668" t="n">
        <f aca="false">IF(R3&gt;'Project Assumptions'!$I$15+1,0,(FercMWh*(Operations!Q25+Operations!Q27))*((1+OM_Escal)^(R4-'Project Assumptions'!$N$6))/1000)</f>
        <v>49.0380215366557</v>
      </c>
      <c r="S26" s="668" t="n">
        <f aca="false">IF(S3&gt;'Project Assumptions'!$I$15+1,0,(FercMWh*(Operations!R25+Operations!R27))*((1+OM_Escal)^(S4-'Project Assumptions'!$N$6))/1000)</f>
        <v>50.5091621827554</v>
      </c>
      <c r="T26" s="668" t="n">
        <f aca="false">IF(T3&gt;'Project Assumptions'!$I$15+1,0,(FercMWh*(Operations!S25+Operations!S27))*((1+OM_Escal)^(T4-'Project Assumptions'!$N$6))/1000)</f>
        <v>52.024437048238</v>
      </c>
      <c r="U26" s="668" t="n">
        <f aca="false">IF(U3&gt;'Project Assumptions'!$I$15+1,0,(FercMWh*(Operations!T25+Operations!T27))*((1+OM_Escal)^(U4-'Project Assumptions'!$N$6))/1000)</f>
        <v>53.5851701596852</v>
      </c>
      <c r="V26" s="668" t="n">
        <f aca="false">IF(V3&gt;'Project Assumptions'!$I$15+1,0,(FercMWh*(Operations!U25+Operations!U27))*((1+OM_Escal)^(V4-'Project Assumptions'!$N$6))/1000)</f>
        <v>55.1927252644757</v>
      </c>
      <c r="W26" s="668" t="n">
        <f aca="false">IF(W3&gt;'Project Assumptions'!$I$15+1,0,(FercMWh*(Operations!V25+Operations!V27))*((1+OM_Escal)^(W4-'Project Assumptions'!$N$6))/1000)</f>
        <v>56.84850702241</v>
      </c>
      <c r="X26" s="668" t="n">
        <f aca="false">IF(X3&gt;'Project Assumptions'!$I$15+1,0,(FercMWh*(Operations!W25+Operations!W27))*((1+OM_Escal)^(X4-'Project Assumptions'!$N$6))/1000)</f>
        <v>58.5539622330823</v>
      </c>
      <c r="Y26" s="668" t="n">
        <f aca="false">IF(Y3&gt;'Project Assumptions'!$I$15+1,0,(FercMWh*(Operations!X25+Operations!X27))*((1+OM_Escal)^(Y4-'Project Assumptions'!$N$6))/1000)</f>
        <v>0</v>
      </c>
      <c r="Z26" s="668" t="n">
        <f aca="false">IF(Z3&gt;'Project Assumptions'!$I$15+1,0,(FercMWh*(Operations!Y25+Operations!Y27))*((1+OM_Escal)^(Z4-'Project Assumptions'!$N$6))/1000)</f>
        <v>0</v>
      </c>
      <c r="AA26" s="668" t="n">
        <f aca="false">IF(AA3&gt;'Project Assumptions'!$I$15+1,0,(FercMWh*(Operations!Z25+Operations!Z27))*((1+OM_Escal)^(AA4-'Project Assumptions'!$N$6))/1000)</f>
        <v>0</v>
      </c>
      <c r="AB26" s="668" t="n">
        <f aca="false">IF(AB3&gt;'Project Assumptions'!$I$15+1,0,(FercMWh*(Operations!AA25+Operations!AA27))*((1+OM_Escal)^(AB4-'Project Assumptions'!$N$6))/1000)</f>
        <v>0</v>
      </c>
    </row>
    <row r="27" customFormat="false" ht="12.6" hidden="false" customHeight="true" outlineLevel="0" collapsed="false">
      <c r="A27" s="642" t="n">
        <v>3</v>
      </c>
      <c r="B27" s="667" t="s">
        <v>501</v>
      </c>
      <c r="D27" s="669" t="n">
        <f aca="false">IF(D3&gt;'Project Assumptions'!$I$15+1,0,(MainMWh*(Operations!C25+Operations!C27))*((1+OM_Escal)^(D4-'Project Assumptions'!$N$6))/1000)</f>
        <v>289.43</v>
      </c>
      <c r="E27" s="669" t="n">
        <f aca="false">IF(E3&gt;'Project Assumptions'!$I$15+1,0,(MainMWh*(Operations!D25+Operations!D27))*((1+OM_Escal)^(E4-'Project Assumptions'!$N$6))/1000)</f>
        <v>298.1129</v>
      </c>
      <c r="F27" s="669" t="n">
        <f aca="false">IF(F3&gt;'Project Assumptions'!$I$15+1,0,(MainMWh*(Operations!E25+Operations!E27))*((1+OM_Escal)^(F4-'Project Assumptions'!$N$6))/1000)</f>
        <v>307.056287</v>
      </c>
      <c r="G27" s="669" t="n">
        <f aca="false">IF(G3&gt;'Project Assumptions'!$I$15+1,0,(MainMWh*(Operations!F25+Operations!F27))*((1+OM_Escal)^(G4-'Project Assumptions'!$N$6))/1000)</f>
        <v>323.128681545545</v>
      </c>
      <c r="H27" s="669" t="n">
        <f aca="false">IF(H3&gt;'Project Assumptions'!$I$15+1,0,(MainMWh*(Operations!G25+Operations!G27))*((1+OM_Escal)^(H4-'Project Assumptions'!$N$6))/1000)</f>
        <v>335.077746802092</v>
      </c>
      <c r="I27" s="669" t="n">
        <f aca="false">IF(I3&gt;'Project Assumptions'!$I$15+1,0,(MainMWh*(Operations!H25+Operations!H27))*((1+OM_Escal)^(I4-'Project Assumptions'!$N$6))/1000)</f>
        <v>345.130079206155</v>
      </c>
      <c r="J27" s="669" t="n">
        <f aca="false">IF(J3&gt;'Project Assumptions'!$I$15+1,0,(MainMWh*(Operations!I25+Operations!I27))*((1+OM_Escal)^(J4-'Project Assumptions'!$N$6))/1000)</f>
        <v>355.483981582339</v>
      </c>
      <c r="K27" s="669" t="n">
        <f aca="false">IF(K3&gt;'Project Assumptions'!$I$15+1,0,(MainMWh*(Operations!J25+Operations!J27))*((1+OM_Escal)^(K4-'Project Assumptions'!$N$6))/1000)</f>
        <v>366.14850102981</v>
      </c>
      <c r="L27" s="669" t="n">
        <f aca="false">IF(L3&gt;'Project Assumptions'!$I$15+1,0,(MainMWh*(Operations!K25+Operations!K27))*((1+OM_Escal)^(L4-'Project Assumptions'!$N$6))/1000)</f>
        <v>377.132956060704</v>
      </c>
      <c r="M27" s="669" t="n">
        <f aca="false">IF(M3&gt;'Project Assumptions'!$I$15+1,0,(MainMWh*(Operations!L25+Operations!L27))*((1+OM_Escal)^(M4-'Project Assumptions'!$N$6))/1000)</f>
        <v>388.446944742525</v>
      </c>
      <c r="N27" s="669" t="n">
        <f aca="false">IF(N3&gt;'Project Assumptions'!$I$15+1,0,(MainMWh*(Operations!M25+Operations!M27))*((1+OM_Escal)^(N4-'Project Assumptions'!$N$6))/1000)</f>
        <v>400.100353084801</v>
      </c>
      <c r="O27" s="669" t="n">
        <f aca="false">IF(O3&gt;'Project Assumptions'!$I$15+1,0,(MainMWh*(Operations!N25+Operations!N27))*((1+OM_Escal)^(O4-'Project Assumptions'!$N$6))/1000)</f>
        <v>412.103363677345</v>
      </c>
      <c r="P27" s="669" t="n">
        <f aca="false">IF(P3&gt;'Project Assumptions'!$I$15+1,0,(MainMWh*(Operations!O25+Operations!O27))*((1+OM_Escal)^(P4-'Project Assumptions'!$N$6))/1000)</f>
        <v>424.466464587665</v>
      </c>
      <c r="Q27" s="669" t="n">
        <f aca="false">IF(Q3&gt;'Project Assumptions'!$I$15+1,0,(MainMWh*(Operations!P25+Operations!P27))*((1+OM_Escal)^(Q4-'Project Assumptions'!$N$6))/1000)</f>
        <v>437.200458525295</v>
      </c>
      <c r="R27" s="669" t="n">
        <f aca="false">IF(R3&gt;'Project Assumptions'!$I$15+1,0,(MainMWh*(Operations!Q25+Operations!Q27))*((1+OM_Escal)^(R4-'Project Assumptions'!$N$6))/1000)</f>
        <v>450.316472281054</v>
      </c>
      <c r="S27" s="669" t="n">
        <f aca="false">IF(S3&gt;'Project Assumptions'!$I$15+1,0,(MainMWh*(Operations!R25+Operations!R27))*((1+OM_Escal)^(S4-'Project Assumptions'!$N$6))/1000)</f>
        <v>463.825966449486</v>
      </c>
      <c r="T27" s="669" t="n">
        <f aca="false">IF(T3&gt;'Project Assumptions'!$I$15+1,0,(MainMWh*(Operations!S25+Operations!S27))*((1+OM_Escal)^(T4-'Project Assumptions'!$N$6))/1000)</f>
        <v>477.74074544297</v>
      </c>
      <c r="U27" s="669" t="n">
        <f aca="false">IF(U3&gt;'Project Assumptions'!$I$15+1,0,(MainMWh*(Operations!T25+Operations!T27))*((1+OM_Escal)^(U4-'Project Assumptions'!$N$6))/1000)</f>
        <v>492.072967806259</v>
      </c>
      <c r="V27" s="669" t="n">
        <f aca="false">IF(V3&gt;'Project Assumptions'!$I$15+1,0,(MainMWh*(Operations!U25+Operations!U27))*((1+OM_Escal)^(V4-'Project Assumptions'!$N$6))/1000)</f>
        <v>506.835156840447</v>
      </c>
      <c r="W27" s="669" t="n">
        <f aca="false">IF(W3&gt;'Project Assumptions'!$I$15+1,0,(MainMWh*(Operations!V25+Operations!V27))*((1+OM_Escal)^(W4-'Project Assumptions'!$N$6))/1000)</f>
        <v>522.040211545661</v>
      </c>
      <c r="X27" s="669" t="n">
        <f aca="false">IF(X3&gt;'Project Assumptions'!$I$15+1,0,(MainMWh*(Operations!W25+Operations!W27))*((1+OM_Escal)^(X4-'Project Assumptions'!$N$6))/1000)</f>
        <v>537.70141789203</v>
      </c>
      <c r="Y27" s="669" t="n">
        <f aca="false">IF(Y3&gt;'Project Assumptions'!$I$15+1,0,(MainMWh*(Operations!X25+Operations!X27))*((1+OM_Escal)^(Y4-'Project Assumptions'!$N$6))/1000)</f>
        <v>0</v>
      </c>
      <c r="Z27" s="669" t="n">
        <f aca="false">IF(Z3&gt;'Project Assumptions'!$I$15+1,0,(MainMWh*(Operations!Y25+Operations!Y27))*((1+OM_Escal)^(Z4-'Project Assumptions'!$N$6))/1000)</f>
        <v>0</v>
      </c>
      <c r="AA27" s="669" t="n">
        <f aca="false">IF(AA3&gt;'Project Assumptions'!$I$15+1,0,(MainMWh*(Operations!Z25+Operations!Z27))*((1+OM_Escal)^(AA4-'Project Assumptions'!$N$6))/1000)</f>
        <v>0</v>
      </c>
      <c r="AB27" s="669" t="n">
        <f aca="false">IF(AB3&gt;'Project Assumptions'!$I$15+1,0,(MainMWh*(Operations!AA25+Operations!AA27))*((1+OM_Escal)^(AB4-'Project Assumptions'!$N$6))/1000)</f>
        <v>0</v>
      </c>
    </row>
    <row r="28" customFormat="false" ht="12.6" hidden="false" customHeight="true" outlineLevel="0" collapsed="false">
      <c r="B28" s="666" t="s">
        <v>502</v>
      </c>
      <c r="C28" s="641" t="n">
        <f aca="false">AVERAGE(D28:W28)</f>
        <v>1056.30278157272</v>
      </c>
      <c r="D28" s="670" t="n">
        <f aca="false">SUM(D25:D27)</f>
        <v>767.01319</v>
      </c>
      <c r="E28" s="670" t="n">
        <f aca="false">SUM(E25:E27)</f>
        <v>790.0235857</v>
      </c>
      <c r="F28" s="670" t="n">
        <f aca="false">SUM(F25:F27)</f>
        <v>813.724293271</v>
      </c>
      <c r="G28" s="670" t="n">
        <f aca="false">SUM(G25:G27)</f>
        <v>856.317454350767</v>
      </c>
      <c r="H28" s="670" t="n">
        <f aca="false">SUM(H25:H27)</f>
        <v>887.983455317987</v>
      </c>
      <c r="I28" s="670" t="n">
        <f aca="false">SUM(I25:I27)</f>
        <v>914.622958977526</v>
      </c>
      <c r="J28" s="670" t="n">
        <f aca="false">SUM(J25:J27)</f>
        <v>942.061647746852</v>
      </c>
      <c r="K28" s="670" t="n">
        <f aca="false">SUM(K25:K27)</f>
        <v>970.323497179258</v>
      </c>
      <c r="L28" s="670" t="n">
        <f aca="false">SUM(L25:L27)</f>
        <v>999.433202094635</v>
      </c>
      <c r="M28" s="670" t="n">
        <f aca="false">SUM(M25:M27)</f>
        <v>1029.41619815747</v>
      </c>
      <c r="N28" s="670" t="n">
        <f aca="false">SUM(N25:N27)</f>
        <v>1060.2986841022</v>
      </c>
      <c r="O28" s="670" t="n">
        <f aca="false">SUM(O25:O27)</f>
        <v>1092.10764462526</v>
      </c>
      <c r="P28" s="670" t="n">
        <f aca="false">SUM(P25:P27)</f>
        <v>1124.87087396402</v>
      </c>
      <c r="Q28" s="670" t="n">
        <f aca="false">SUM(Q25:Q27)</f>
        <v>1158.61700018294</v>
      </c>
      <c r="R28" s="670" t="n">
        <f aca="false">SUM(R25:R27)</f>
        <v>1193.37551018843</v>
      </c>
      <c r="S28" s="670" t="n">
        <f aca="false">SUM(S25:S27)</f>
        <v>1229.17677549408</v>
      </c>
      <c r="T28" s="670" t="n">
        <f aca="false">SUM(T25:T27)</f>
        <v>1266.05207875891</v>
      </c>
      <c r="U28" s="670" t="n">
        <f aca="false">SUM(U25:U27)</f>
        <v>1304.03364112167</v>
      </c>
      <c r="V28" s="670" t="n">
        <f aca="false">SUM(V25:V27)</f>
        <v>1343.15465035532</v>
      </c>
      <c r="W28" s="670" t="n">
        <f aca="false">SUM(W25:W27)</f>
        <v>1383.44928986598</v>
      </c>
      <c r="X28" s="670" t="n">
        <f aca="false">SUM(X25:X27)</f>
        <v>1424.95276856196</v>
      </c>
      <c r="Y28" s="670" t="n">
        <f aca="false">SUM(Y25:Y27)</f>
        <v>0</v>
      </c>
      <c r="Z28" s="670" t="n">
        <f aca="false">SUM(Z25:Z27)</f>
        <v>0</v>
      </c>
      <c r="AA28" s="670" t="n">
        <f aca="false">SUM(AA25:AA27)</f>
        <v>0</v>
      </c>
      <c r="AB28" s="671" t="n">
        <f aca="false">SUM(AB25:AB27)</f>
        <v>0</v>
      </c>
    </row>
    <row r="29" customFormat="false" ht="12.6" hidden="false" customHeight="true" outlineLevel="0" collapsed="false">
      <c r="B29" s="666" t="s">
        <v>503</v>
      </c>
      <c r="D29" s="672" t="n">
        <f aca="false">D23+D28</f>
        <v>17464.3675669463</v>
      </c>
      <c r="E29" s="672" t="n">
        <f aca="false">E23+E28</f>
        <v>17493.3947332274</v>
      </c>
      <c r="F29" s="672" t="n">
        <f aca="false">F23+F28</f>
        <v>17517.389135595</v>
      </c>
      <c r="G29" s="672" t="n">
        <f aca="false">G23+G28</f>
        <v>17922.6821180346</v>
      </c>
      <c r="H29" s="672" t="n">
        <f aca="false">H23+H28</f>
        <v>18070.5227598386</v>
      </c>
      <c r="I29" s="672" t="n">
        <f aca="false">I23+I28</f>
        <v>18097.0805114745</v>
      </c>
      <c r="J29" s="672" t="n">
        <f aca="false">J23+J28</f>
        <v>18124.5702867101</v>
      </c>
      <c r="K29" s="672" t="n">
        <f aca="false">K23+K28</f>
        <v>18153.2000262034</v>
      </c>
      <c r="L29" s="672" t="n">
        <f aca="false">L23+L28</f>
        <v>18182.6886578814</v>
      </c>
      <c r="M29" s="672" t="n">
        <f aca="false">M23+M28</f>
        <v>18213.0619485098</v>
      </c>
      <c r="N29" s="672" t="n">
        <f aca="false">N23+N28</f>
        <v>18244.346437857</v>
      </c>
      <c r="O29" s="672" t="n">
        <f aca="false">O23+O28</f>
        <v>18276.5694618846</v>
      </c>
      <c r="P29" s="672" t="n">
        <f aca="false">P23+P28</f>
        <v>18309.7591766331</v>
      </c>
      <c r="Q29" s="672" t="n">
        <f aca="false">Q23+Q28</f>
        <v>18343.944582824</v>
      </c>
      <c r="R29" s="672" t="n">
        <f aca="false">R23+R28</f>
        <v>18379.1555512007</v>
      </c>
      <c r="S29" s="672" t="n">
        <f aca="false">S23+S28</f>
        <v>18415.4228486286</v>
      </c>
      <c r="T29" s="672" t="n">
        <f aca="false">T23+T28</f>
        <v>18452.7781649794</v>
      </c>
      <c r="U29" s="672" t="n">
        <f aca="false">U23+U28</f>
        <v>18491.2541408207</v>
      </c>
      <c r="V29" s="672" t="n">
        <f aca="false">V23+V28</f>
        <v>18530.8843959373</v>
      </c>
      <c r="W29" s="672" t="n">
        <f aca="false">W23+W28</f>
        <v>18571.7035587073</v>
      </c>
      <c r="X29" s="672" t="n">
        <f aca="false">X23+X28</f>
        <v>18609.0456996914</v>
      </c>
      <c r="Y29" s="672" t="n">
        <f aca="false">Y23+Y28</f>
        <v>0</v>
      </c>
      <c r="Z29" s="672" t="n">
        <f aca="false">Z23+Z28</f>
        <v>0</v>
      </c>
      <c r="AA29" s="672" t="n">
        <f aca="false">AA23+AA28</f>
        <v>0</v>
      </c>
      <c r="AB29" s="673" t="n">
        <f aca="false">AB23+AB28</f>
        <v>0</v>
      </c>
    </row>
    <row r="30" customFormat="false" ht="12.6" hidden="false" customHeight="true" outlineLevel="0" collapsed="false">
      <c r="B30" s="416"/>
      <c r="D30" s="30"/>
      <c r="E30" s="30"/>
      <c r="F30" s="30"/>
      <c r="G30" s="30"/>
      <c r="H30" s="30"/>
      <c r="I30" s="30"/>
      <c r="J30" s="30"/>
      <c r="K30" s="30"/>
      <c r="L30" s="30"/>
      <c r="M30" s="30"/>
      <c r="N30" s="30"/>
      <c r="O30" s="30"/>
      <c r="P30" s="30"/>
      <c r="Q30" s="30"/>
      <c r="R30" s="30"/>
      <c r="S30" s="30"/>
      <c r="T30" s="30"/>
      <c r="U30" s="30"/>
      <c r="V30" s="30"/>
      <c r="W30" s="30"/>
      <c r="X30" s="30"/>
      <c r="Y30" s="30"/>
      <c r="Z30" s="30"/>
      <c r="AA30" s="30"/>
      <c r="AB30" s="437"/>
    </row>
    <row r="31" customFormat="false" ht="12.6" hidden="false" customHeight="true" outlineLevel="0" collapsed="false">
      <c r="B31" s="666" t="s">
        <v>504</v>
      </c>
      <c r="D31" s="30"/>
      <c r="E31" s="30"/>
      <c r="F31" s="30"/>
      <c r="G31" s="30"/>
      <c r="H31" s="30"/>
      <c r="I31" s="30"/>
      <c r="J31" s="30"/>
      <c r="K31" s="30"/>
      <c r="L31" s="30"/>
      <c r="M31" s="30"/>
      <c r="N31" s="30"/>
      <c r="O31" s="30"/>
      <c r="P31" s="30"/>
      <c r="Q31" s="30"/>
      <c r="R31" s="30"/>
      <c r="S31" s="30"/>
      <c r="T31" s="30"/>
      <c r="U31" s="30"/>
      <c r="V31" s="30"/>
      <c r="W31" s="30"/>
      <c r="X31" s="30"/>
      <c r="Y31" s="30"/>
      <c r="Z31" s="30"/>
      <c r="AA31" s="30"/>
      <c r="AB31" s="437"/>
    </row>
    <row r="32" customFormat="false" ht="12.6" hidden="false" customHeight="true" outlineLevel="0" collapsed="false">
      <c r="A32" s="642" t="n">
        <v>4</v>
      </c>
      <c r="B32" s="667" t="s">
        <v>505</v>
      </c>
      <c r="C32" s="674" t="n">
        <f aca="false">AVERAGE(D32:W32)</f>
        <v>0</v>
      </c>
      <c r="D32" s="668" t="n">
        <f aca="false">IF(D3&gt;ProjectLife+1,0,Fuel_Start*'Project Assumptions'!$L$16/1000)</f>
        <v>0</v>
      </c>
      <c r="E32" s="668" t="n">
        <f aca="false">IF(E3&gt;ProjectLife+1,0,Fuel_Start*'Project Assumptions'!$L$16/1000)</f>
        <v>0</v>
      </c>
      <c r="F32" s="668" t="n">
        <f aca="false">IF(F3&gt;ProjectLife+1,0,Fuel_Start*'Project Assumptions'!$L$16/1000)</f>
        <v>0</v>
      </c>
      <c r="G32" s="668" t="n">
        <f aca="false">IF(G3&gt;ProjectLife+1,0,Fuel_Start*'Project Assumptions'!$L$16/1000)</f>
        <v>0</v>
      </c>
      <c r="H32" s="668" t="n">
        <f aca="false">IF(H3&gt;ProjectLife+1,0,Fuel_Start*'Project Assumptions'!$L$16/1000)</f>
        <v>0</v>
      </c>
      <c r="I32" s="668" t="n">
        <f aca="false">IF(I3&gt;ProjectLife+1,0,Fuel_Start*'Project Assumptions'!$L$16/1000)</f>
        <v>0</v>
      </c>
      <c r="J32" s="668" t="n">
        <f aca="false">IF(J3&gt;ProjectLife+1,0,Fuel_Start*'Project Assumptions'!$L$16/1000)</f>
        <v>0</v>
      </c>
      <c r="K32" s="668" t="n">
        <f aca="false">IF(K3&gt;ProjectLife+1,0,Fuel_Start*'Project Assumptions'!$L$16/1000)</f>
        <v>0</v>
      </c>
      <c r="L32" s="668" t="n">
        <f aca="false">IF(L3&gt;ProjectLife+1,0,Fuel_Start*'Project Assumptions'!$L$16/1000)</f>
        <v>0</v>
      </c>
      <c r="M32" s="668" t="n">
        <f aca="false">IF(M3&gt;ProjectLife+1,0,Fuel_Start*'Project Assumptions'!$L$16/1000)</f>
        <v>0</v>
      </c>
      <c r="N32" s="668" t="n">
        <f aca="false">IF(N3&gt;ProjectLife+1,0,Fuel_Start*'Project Assumptions'!$L$16/1000)</f>
        <v>0</v>
      </c>
      <c r="O32" s="668" t="n">
        <f aca="false">IF(O3&gt;ProjectLife+1,0,Fuel_Start*'Project Assumptions'!$L$16/1000)</f>
        <v>0</v>
      </c>
      <c r="P32" s="668" t="n">
        <f aca="false">IF(P3&gt;ProjectLife+1,0,Fuel_Start*'Project Assumptions'!$L$16/1000)</f>
        <v>0</v>
      </c>
      <c r="Q32" s="668" t="n">
        <f aca="false">IF(Q3&gt;ProjectLife+1,0,Fuel_Start*'Project Assumptions'!$L$16/1000)</f>
        <v>0</v>
      </c>
      <c r="R32" s="668" t="n">
        <f aca="false">IF(R3&gt;ProjectLife+1,0,Fuel_Start*'Project Assumptions'!$L$16/1000)</f>
        <v>0</v>
      </c>
      <c r="S32" s="668" t="n">
        <f aca="false">IF(S3&gt;ProjectLife+1,0,Fuel_Start*'Project Assumptions'!$L$16/1000)</f>
        <v>0</v>
      </c>
      <c r="T32" s="668" t="n">
        <f aca="false">IF(T3&gt;ProjectLife+1,0,Fuel_Start*'Project Assumptions'!$L$16/1000)</f>
        <v>0</v>
      </c>
      <c r="U32" s="668" t="n">
        <f aca="false">IF(U3&gt;ProjectLife+1,0,Fuel_Start*'Project Assumptions'!$L$16/1000)</f>
        <v>0</v>
      </c>
      <c r="V32" s="668" t="n">
        <f aca="false">IF(V3&gt;ProjectLife+1,0,Fuel_Start*'Project Assumptions'!$L$16/1000)</f>
        <v>0</v>
      </c>
      <c r="W32" s="668" t="n">
        <f aca="false">IF(W3&gt;ProjectLife+1,0,Fuel_Start*'Project Assumptions'!$L$16/1000)</f>
        <v>0</v>
      </c>
      <c r="X32" s="668" t="n">
        <f aca="false">IF(X3&gt;ProjectLife+1,0,Fuel_Start*'Project Assumptions'!$L$16/1000)</f>
        <v>0</v>
      </c>
      <c r="Y32" s="668" t="n">
        <f aca="false">IF(Y3&gt;ProjectLife+1,0,Fuel_Start*'Project Assumptions'!$L$16/1000)</f>
        <v>0</v>
      </c>
      <c r="Z32" s="668" t="n">
        <f aca="false">IF(Z3&gt;ProjectLife+1,0,Fuel_Start*'Project Assumptions'!$L$16/1000)</f>
        <v>0</v>
      </c>
      <c r="AA32" s="668" t="n">
        <f aca="false">IF(AA3&gt;ProjectLife+1,0,Fuel_Start*'Project Assumptions'!$L$16/1000)</f>
        <v>0</v>
      </c>
      <c r="AB32" s="675" t="n">
        <f aca="false">IF(AB3&gt;ProjectLife+1,0,Fuel_Start*'Project Assumptions'!$L$16/1000)</f>
        <v>0</v>
      </c>
    </row>
    <row r="33" customFormat="false" ht="12.6" hidden="false" customHeight="true" outlineLevel="0" collapsed="false">
      <c r="A33" s="642" t="n">
        <v>5</v>
      </c>
      <c r="B33" s="416" t="s">
        <v>506</v>
      </c>
      <c r="C33" s="676" t="n">
        <f aca="false">AVERAGE(D33:W33)</f>
        <v>3177.86944376093</v>
      </c>
      <c r="D33" s="669" t="n">
        <f aca="false">IF(D3&gt;ProjectLife+1,0,Main_Start*'Project Assumptions'!$L$15*((1+Main_Escal)^(D4-'Project Assumptions'!$N$6))/1000)</f>
        <v>2365.3332</v>
      </c>
      <c r="E33" s="669" t="n">
        <f aca="false">IF(E3&gt;ProjectLife+1,0,Main_Start*'Project Assumptions'!$L$15*((1+Main_Escal)^(E4-'Project Assumptions'!$N$6))/1000)</f>
        <v>2436.293196</v>
      </c>
      <c r="F33" s="669" t="n">
        <f aca="false">IF(F3&gt;ProjectLife+1,0,Main_Start*'Project Assumptions'!$L$15*((1+Main_Escal)^(F4-'Project Assumptions'!$N$6))/1000)</f>
        <v>2509.38199188</v>
      </c>
      <c r="G33" s="669" t="n">
        <f aca="false">IF(G3&gt;ProjectLife+1,0,Main_Start*'Project Assumptions'!$L$15*((1+Main_Escal)^(G4-'Project Assumptions'!$N$6))/1000)</f>
        <v>2584.6634516364</v>
      </c>
      <c r="H33" s="669" t="n">
        <f aca="false">IF(H3&gt;ProjectLife+1,0,Main_Start*'Project Assumptions'!$L$15*((1+Main_Escal)^(H4-'Project Assumptions'!$N$6))/1000)</f>
        <v>2662.20335518549</v>
      </c>
      <c r="I33" s="669" t="n">
        <f aca="false">IF(I3&gt;ProjectLife+1,0,Main_Start*'Project Assumptions'!$L$15*((1+Main_Escal)^(I4-'Project Assumptions'!$N$6))/1000)</f>
        <v>2742.06945584106</v>
      </c>
      <c r="J33" s="669" t="n">
        <f aca="false">IF(J3&gt;ProjectLife+1,0,Main_Start*'Project Assumptions'!$L$15*((1+Main_Escal)^(J4-'Project Assumptions'!$N$6))/1000)</f>
        <v>2824.33153951629</v>
      </c>
      <c r="K33" s="669" t="n">
        <f aca="false">IF(K3&gt;ProjectLife+1,0,Main_Start*'Project Assumptions'!$L$15*((1+Main_Escal)^(K4-'Project Assumptions'!$N$6))/1000)</f>
        <v>2909.06148570178</v>
      </c>
      <c r="L33" s="669" t="n">
        <f aca="false">IF(L3&gt;ProjectLife+1,0,Main_Start*'Project Assumptions'!$L$15*((1+Main_Escal)^(L4-'Project Assumptions'!$N$6))/1000)</f>
        <v>2996.33333027283</v>
      </c>
      <c r="M33" s="669" t="n">
        <f aca="false">IF(M3&gt;ProjectLife+1,0,Main_Start*'Project Assumptions'!$L$15*((1+Main_Escal)^(M4-'Project Assumptions'!$N$6))/1000)</f>
        <v>3086.22333018102</v>
      </c>
      <c r="N33" s="669" t="n">
        <f aca="false">IF(N3&gt;ProjectLife+1,0,Main_Start*'Project Assumptions'!$L$15*((1+Main_Escal)^(N4-'Project Assumptions'!$N$6))/1000)</f>
        <v>3178.81003008645</v>
      </c>
      <c r="O33" s="669" t="n">
        <f aca="false">IF(O3&gt;ProjectLife+1,0,Main_Start*'Project Assumptions'!$L$15*((1+Main_Escal)^(O4-'Project Assumptions'!$N$6))/1000)</f>
        <v>3274.17433098904</v>
      </c>
      <c r="P33" s="669" t="n">
        <f aca="false">IF(P3&gt;ProjectLife+1,0,Main_Start*'Project Assumptions'!$L$15*((1+Main_Escal)^(P4-'Project Assumptions'!$N$6))/1000)</f>
        <v>3372.39956091871</v>
      </c>
      <c r="Q33" s="669" t="n">
        <f aca="false">IF(Q3&gt;ProjectLife+1,0,Main_Start*'Project Assumptions'!$L$15*((1+Main_Escal)^(Q4-'Project Assumptions'!$N$6))/1000)</f>
        <v>3473.57154774627</v>
      </c>
      <c r="R33" s="669" t="n">
        <f aca="false">IF(R3&gt;ProjectLife+1,0,Main_Start*'Project Assumptions'!$L$15*((1+Main_Escal)^(R4-'Project Assumptions'!$N$6))/1000)</f>
        <v>3577.77869417866</v>
      </c>
      <c r="S33" s="669" t="n">
        <f aca="false">IF(S3&gt;ProjectLife+1,0,Main_Start*'Project Assumptions'!$L$15*((1+Main_Escal)^(S4-'Project Assumptions'!$N$6))/1000)</f>
        <v>3685.11205500402</v>
      </c>
      <c r="T33" s="669" t="n">
        <f aca="false">IF(T3&gt;ProjectLife+1,0,Main_Start*'Project Assumptions'!$L$15*((1+Main_Escal)^(T4-'Project Assumptions'!$N$6))/1000)</f>
        <v>3795.66541665414</v>
      </c>
      <c r="U33" s="669" t="n">
        <f aca="false">IF(U3&gt;ProjectLife+1,0,Main_Start*'Project Assumptions'!$L$15*((1+Main_Escal)^(U4-'Project Assumptions'!$N$6))/1000)</f>
        <v>3909.53537915377</v>
      </c>
      <c r="V33" s="669" t="n">
        <f aca="false">IF(V3&gt;ProjectLife+1,0,Main_Start*'Project Assumptions'!$L$15*((1+Main_Escal)^(V4-'Project Assumptions'!$N$6))/1000)</f>
        <v>4026.82144052838</v>
      </c>
      <c r="W33" s="669" t="n">
        <f aca="false">IF(W3&gt;ProjectLife+1,0,Main_Start*'Project Assumptions'!$L$15*((1+Main_Escal)^(W4-'Project Assumptions'!$N$6))/1000)</f>
        <v>4147.62608374423</v>
      </c>
      <c r="X33" s="669" t="n">
        <f aca="false">IF(X3&gt;ProjectLife+1,0,Main_Start*'Project Assumptions'!$L$15*((1+Main_Escal)^(X4-'Project Assumptions'!$N$6))/1000)</f>
        <v>4272.05486625656</v>
      </c>
      <c r="Y33" s="669" t="n">
        <f aca="false">IF(Y3&gt;ProjectLife+1,0,Main_Start*'Project Assumptions'!$L$15*((1+Main_Escal)^(Y4-'Project Assumptions'!$N$6))/1000)</f>
        <v>0</v>
      </c>
      <c r="Z33" s="669" t="n">
        <f aca="false">IF(Z3&gt;ProjectLife+1,0,Main_Start*'Project Assumptions'!$L$15*((1+Main_Escal)^(Z4-'Project Assumptions'!$N$6))/1000)</f>
        <v>0</v>
      </c>
      <c r="AA33" s="669" t="n">
        <f aca="false">IF(AA3&gt;ProjectLife+1,0,Main_Start*'Project Assumptions'!$L$15*((1+Main_Escal)^(AA4-'Project Assumptions'!$N$6))/1000)</f>
        <v>0</v>
      </c>
      <c r="AB33" s="677" t="n">
        <f aca="false">IF(AB3&gt;ProjectLife+1,0,Main_Start*'Project Assumptions'!$L$15*((1+Main_Escal)^(AB4-'Project Assumptions'!$N$6))/1000)</f>
        <v>0</v>
      </c>
    </row>
    <row r="34" customFormat="false" ht="12.6" hidden="false" customHeight="true" outlineLevel="0" collapsed="false">
      <c r="B34" s="666" t="s">
        <v>507</v>
      </c>
      <c r="D34" s="678" t="n">
        <f aca="false">SUM(D32:D33)</f>
        <v>2365.3332</v>
      </c>
      <c r="E34" s="678" t="n">
        <f aca="false">SUM(E32:E33)</f>
        <v>2436.293196</v>
      </c>
      <c r="F34" s="678" t="n">
        <f aca="false">SUM(F32:F33)</f>
        <v>2509.38199188</v>
      </c>
      <c r="G34" s="678" t="n">
        <f aca="false">SUM(G32:G33)</f>
        <v>2584.6634516364</v>
      </c>
      <c r="H34" s="678" t="n">
        <f aca="false">SUM(H32:H33)</f>
        <v>2662.20335518549</v>
      </c>
      <c r="I34" s="678" t="n">
        <f aca="false">SUM(I32:I33)</f>
        <v>2742.06945584106</v>
      </c>
      <c r="J34" s="678" t="n">
        <f aca="false">SUM(J32:J33)</f>
        <v>2824.33153951629</v>
      </c>
      <c r="K34" s="678" t="n">
        <f aca="false">SUM(K32:K33)</f>
        <v>2909.06148570178</v>
      </c>
      <c r="L34" s="678" t="n">
        <f aca="false">SUM(L32:L33)</f>
        <v>2996.33333027283</v>
      </c>
      <c r="M34" s="678" t="n">
        <f aca="false">SUM(M32:M33)</f>
        <v>3086.22333018102</v>
      </c>
      <c r="N34" s="678" t="n">
        <f aca="false">SUM(N32:N33)</f>
        <v>3178.81003008645</v>
      </c>
      <c r="O34" s="678" t="n">
        <f aca="false">SUM(O32:O33)</f>
        <v>3274.17433098904</v>
      </c>
      <c r="P34" s="678" t="n">
        <f aca="false">SUM(P32:P33)</f>
        <v>3372.39956091871</v>
      </c>
      <c r="Q34" s="678" t="n">
        <f aca="false">SUM(Q32:Q33)</f>
        <v>3473.57154774627</v>
      </c>
      <c r="R34" s="678" t="n">
        <f aca="false">SUM(R32:R33)</f>
        <v>3577.77869417866</v>
      </c>
      <c r="S34" s="678" t="n">
        <f aca="false">SUM(S32:S33)</f>
        <v>3685.11205500402</v>
      </c>
      <c r="T34" s="678" t="n">
        <f aca="false">SUM(T32:T33)</f>
        <v>3795.66541665414</v>
      </c>
      <c r="U34" s="678" t="n">
        <f aca="false">SUM(U32:U33)</f>
        <v>3909.53537915377</v>
      </c>
      <c r="V34" s="678" t="n">
        <f aca="false">SUM(V32:V33)</f>
        <v>4026.82144052838</v>
      </c>
      <c r="W34" s="678" t="n">
        <f aca="false">SUM(W32:W33)</f>
        <v>4147.62608374423</v>
      </c>
      <c r="X34" s="678" t="n">
        <f aca="false">SUM(X32:X33)</f>
        <v>4272.05486625656</v>
      </c>
      <c r="Y34" s="678" t="n">
        <f aca="false">SUM(Y32:Y33)</f>
        <v>0</v>
      </c>
      <c r="Z34" s="678" t="n">
        <f aca="false">SUM(Z32:Z33)</f>
        <v>0</v>
      </c>
      <c r="AA34" s="678" t="n">
        <f aca="false">SUM(AA32:AA33)</f>
        <v>0</v>
      </c>
      <c r="AB34" s="679" t="n">
        <f aca="false">SUM(AB32:AB33)</f>
        <v>0</v>
      </c>
    </row>
    <row r="35" customFormat="false" ht="12.6" hidden="false" customHeight="true" outlineLevel="0" collapsed="false">
      <c r="B35" s="416"/>
      <c r="D35" s="30"/>
      <c r="E35" s="30"/>
      <c r="F35" s="30"/>
      <c r="G35" s="30"/>
      <c r="H35" s="30"/>
      <c r="I35" s="30"/>
      <c r="J35" s="30"/>
      <c r="K35" s="30"/>
      <c r="L35" s="30"/>
      <c r="M35" s="30"/>
      <c r="N35" s="30"/>
      <c r="O35" s="30"/>
      <c r="P35" s="30"/>
      <c r="Q35" s="30"/>
      <c r="R35" s="30"/>
      <c r="S35" s="30"/>
      <c r="T35" s="30"/>
      <c r="U35" s="30"/>
      <c r="V35" s="30"/>
      <c r="W35" s="30"/>
      <c r="X35" s="30"/>
      <c r="Y35" s="30"/>
      <c r="Z35" s="30"/>
      <c r="AA35" s="30"/>
      <c r="AB35" s="437"/>
    </row>
    <row r="36" customFormat="false" ht="12.6" hidden="false" customHeight="true" outlineLevel="0" collapsed="false">
      <c r="B36" s="666" t="s">
        <v>508</v>
      </c>
      <c r="D36" s="30"/>
      <c r="E36" s="30"/>
      <c r="F36" s="30"/>
      <c r="G36" s="30"/>
      <c r="H36" s="30"/>
      <c r="I36" s="30"/>
      <c r="J36" s="30"/>
      <c r="K36" s="30"/>
      <c r="L36" s="30"/>
      <c r="M36" s="30"/>
      <c r="N36" s="30"/>
      <c r="O36" s="30"/>
      <c r="P36" s="30"/>
      <c r="Q36" s="30"/>
      <c r="R36" s="30"/>
      <c r="S36" s="30"/>
      <c r="T36" s="30"/>
      <c r="U36" s="30"/>
      <c r="V36" s="30"/>
      <c r="W36" s="30"/>
      <c r="X36" s="30"/>
      <c r="Y36" s="30"/>
      <c r="Z36" s="30"/>
      <c r="AA36" s="30"/>
      <c r="AB36" s="437"/>
    </row>
    <row r="37" customFormat="false" ht="12.6" hidden="false" customHeight="true" outlineLevel="0" collapsed="false">
      <c r="A37" s="642" t="n">
        <v>2</v>
      </c>
      <c r="B37" s="416" t="s">
        <v>509</v>
      </c>
      <c r="C37" s="674" t="n">
        <f aca="false">AVERAGE(D37:W37)</f>
        <v>990.44004772134</v>
      </c>
      <c r="D37" s="442" t="n">
        <f aca="false">Labor*(1+OM_Escal)*('Book Income Statement'!D6/12)</f>
        <v>436.805833333333</v>
      </c>
      <c r="E37" s="442" t="n">
        <f aca="false">IF(E3&gt;'Project Assumptions'!$I$15+1+1,0,Labor*((1+'Project Assumptions'!$N$40)^(E4-'Project Assumptions'!$N$6))*E5/12)</f>
        <v>771.2743</v>
      </c>
      <c r="F37" s="442" t="n">
        <f aca="false">IF(F3&gt;'Project Assumptions'!$I$15+1+1,0,Labor*((1+'Project Assumptions'!$N$40)^(F4-'Project Assumptions'!$N$6))*F5/12)</f>
        <v>794.412529</v>
      </c>
      <c r="G37" s="442" t="n">
        <f aca="false">IF(G3&gt;'Project Assumptions'!$I$15+1+1,0,Labor*((1+'Project Assumptions'!$N$40)^(G4-'Project Assumptions'!$N$6))*G5/12)</f>
        <v>818.24490487</v>
      </c>
      <c r="H37" s="442" t="n">
        <f aca="false">IF(H3&gt;'Project Assumptions'!$I$15+1+1,0,Labor*((1+'Project Assumptions'!$N$40)^(H4-'Project Assumptions'!$N$6))*H5/12)</f>
        <v>842.7922520161</v>
      </c>
      <c r="I37" s="442" t="n">
        <f aca="false">IF(I3&gt;'Project Assumptions'!$I$15+1+1,0,Labor*((1+'Project Assumptions'!$N$40)^(I4-'Project Assumptions'!$N$6))*I5/12)</f>
        <v>868.076019576583</v>
      </c>
      <c r="J37" s="442" t="n">
        <f aca="false">IF(J3&gt;'Project Assumptions'!$I$15+1+1,0,Labor*((1+'Project Assumptions'!$N$40)^(J4-'Project Assumptions'!$N$6))*J5/12)</f>
        <v>894.118300163881</v>
      </c>
      <c r="K37" s="442" t="n">
        <f aca="false">IF(K3&gt;'Project Assumptions'!$I$15+1+1,0,Labor*((1+'Project Assumptions'!$N$40)^(K4-'Project Assumptions'!$N$6))*K5/12)</f>
        <v>920.941849168797</v>
      </c>
      <c r="L37" s="442" t="n">
        <f aca="false">IF(L3&gt;'Project Assumptions'!$I$15+1+1,0,Labor*((1+'Project Assumptions'!$N$40)^(L4-'Project Assumptions'!$N$6))*L5/12)</f>
        <v>948.570104643861</v>
      </c>
      <c r="M37" s="442" t="n">
        <f aca="false">IF(M3&gt;'Project Assumptions'!$I$15+1+1,0,Labor*((1+'Project Assumptions'!$N$40)^(M4-'Project Assumptions'!$N$6))*M5/12)</f>
        <v>977.027207783177</v>
      </c>
      <c r="N37" s="442" t="n">
        <f aca="false">IF(N3&gt;'Project Assumptions'!$I$15+1+1,0,Labor*((1+'Project Assumptions'!$N$40)^(N4-'Project Assumptions'!$N$6))*N5/12)</f>
        <v>1006.33802401667</v>
      </c>
      <c r="O37" s="442" t="n">
        <f aca="false">IF(O3&gt;'Project Assumptions'!$I$15+1+1,0,Labor*((1+'Project Assumptions'!$N$40)^(O4-'Project Assumptions'!$N$6))*O5/12)</f>
        <v>1036.52816473717</v>
      </c>
      <c r="P37" s="442" t="n">
        <f aca="false">IF(P3&gt;'Project Assumptions'!$I$15+1+1,0,Labor*((1+'Project Assumptions'!$N$40)^(P4-'Project Assumptions'!$N$6))*P5/12)</f>
        <v>1067.62400967929</v>
      </c>
      <c r="Q37" s="442" t="n">
        <f aca="false">IF(Q3&gt;'Project Assumptions'!$I$15+1+1,0,Labor*((1+'Project Assumptions'!$N$40)^(Q4-'Project Assumptions'!$N$6))*Q5/12)</f>
        <v>1099.65272996967</v>
      </c>
      <c r="R37" s="442" t="n">
        <f aca="false">IF(R3&gt;'Project Assumptions'!$I$15+1+1,0,Labor*((1+'Project Assumptions'!$N$40)^(R4-'Project Assumptions'!$N$6))*R5/12)</f>
        <v>1132.64231186876</v>
      </c>
      <c r="S37" s="442" t="n">
        <f aca="false">IF(S3&gt;'Project Assumptions'!$I$15+1+1,0,Labor*((1+'Project Assumptions'!$N$40)^(S4-'Project Assumptions'!$N$6))*S5/12)</f>
        <v>1166.62158122482</v>
      </c>
      <c r="T37" s="442" t="n">
        <f aca="false">IF(T3&gt;'Project Assumptions'!$I$15+1+1,0,Labor*((1+'Project Assumptions'!$N$40)^(T4-'Project Assumptions'!$N$6))*T5/12)</f>
        <v>1201.62022866156</v>
      </c>
      <c r="U37" s="442" t="n">
        <f aca="false">IF(U3&gt;'Project Assumptions'!$I$15+1+1,0,Labor*((1+'Project Assumptions'!$N$40)^(U4-'Project Assumptions'!$N$6))*U5/12)</f>
        <v>1237.66883552141</v>
      </c>
      <c r="V37" s="442" t="n">
        <f aca="false">IF(V3&gt;'Project Assumptions'!$I$15+1+1,0,Labor*((1+'Project Assumptions'!$N$40)^(V4-'Project Assumptions'!$N$6))*V5/12)</f>
        <v>1274.79890058705</v>
      </c>
      <c r="W37" s="442" t="n">
        <f aca="false">IF(W3&gt;'Project Assumptions'!$I$15+1+1,0,Labor*((1+'Project Assumptions'!$N$40)^(W4-'Project Assumptions'!$N$6))*W5/12)</f>
        <v>1313.04286760466</v>
      </c>
      <c r="X37" s="442" t="n">
        <f aca="false">IF(X3&gt;'Project Assumptions'!$I$15+1+1,0,Labor*((1+'Project Assumptions'!$N$40)^(X4-'Project Assumptions'!$N$6))*X5/12)</f>
        <v>563.514230680335</v>
      </c>
      <c r="Y37" s="442" t="n">
        <f aca="false">IF(Y3&gt;'Project Assumptions'!$I$15+1+1,0,Labor*((1+'Project Assumptions'!$N$40)^(Y4-'Project Assumptions'!$N$6))*Y5/12)</f>
        <v>0</v>
      </c>
      <c r="Z37" s="442" t="n">
        <f aca="false">IF(Z3&gt;'Project Assumptions'!$I$15+1+1,0,Labor*((1+'Project Assumptions'!$N$40)^(Z4-'Project Assumptions'!$N$6))*Z5/12)</f>
        <v>0</v>
      </c>
      <c r="AA37" s="442" t="n">
        <f aca="false">IF(AA3&gt;'Project Assumptions'!$I$15+1+1,0,Labor*((1+'Project Assumptions'!$N$40)^(AA4-'Project Assumptions'!$N$6))*AA5/12)</f>
        <v>0</v>
      </c>
      <c r="AB37" s="508" t="n">
        <f aca="false">IF(AB3&gt;'Project Assumptions'!$I$15+1+1,0,Labor*((1+'Project Assumptions'!$N$40)^(AB4-'Project Assumptions'!$N$6))*AB5/12)</f>
        <v>0</v>
      </c>
    </row>
    <row r="38" customFormat="false" ht="12.6" hidden="false" customHeight="true" outlineLevel="0" collapsed="false">
      <c r="A38" s="642" t="n">
        <v>2</v>
      </c>
      <c r="B38" s="416" t="s">
        <v>510</v>
      </c>
      <c r="C38" s="680" t="n">
        <f aca="false">AVERAGE(D38:W38)</f>
        <v>367.838807269273</v>
      </c>
      <c r="D38" s="442" t="n">
        <f aca="false">Fixed*(1+OM_Escal)*('Book Income Statement'!D6/12)</f>
        <v>162.225</v>
      </c>
      <c r="E38" s="442" t="n">
        <f aca="false">IF(E3&gt;'Project Assumptions'!$I$15+1+1,0,Fixed*((1+'Project Assumptions'!$N$40)^(E4-'Project Assumptions'!$N$6))*E5/12)</f>
        <v>286.443</v>
      </c>
      <c r="F38" s="442" t="n">
        <f aca="false">IF(F3&gt;'Project Assumptions'!$I$15+1+1,0,Fixed*((1+'Project Assumptions'!$N$40)^(F4-'Project Assumptions'!$N$6))*F5/12)</f>
        <v>295.03629</v>
      </c>
      <c r="G38" s="442" t="n">
        <f aca="false">IF(G3&gt;'Project Assumptions'!$I$15+1+1,0,Fixed*((1+'Project Assumptions'!$N$40)^(G4-'Project Assumptions'!$N$6))*G5/12)</f>
        <v>303.8873787</v>
      </c>
      <c r="H38" s="442" t="n">
        <f aca="false">IF(H3&gt;'Project Assumptions'!$I$15+1+1,0,Fixed*((1+'Project Assumptions'!$N$40)^(H4-'Project Assumptions'!$N$6))*H5/12)</f>
        <v>313.004000061</v>
      </c>
      <c r="I38" s="442" t="n">
        <f aca="false">IF(I3&gt;'Project Assumptions'!$I$15+1+1,0,Fixed*((1+'Project Assumptions'!$N$40)^(I4-'Project Assumptions'!$N$6))*I5/12)</f>
        <v>322.39412006283</v>
      </c>
      <c r="J38" s="442" t="n">
        <f aca="false">IF(J3&gt;'Project Assumptions'!$I$15+1+1,0,Fixed*((1+'Project Assumptions'!$N$40)^(J4-'Project Assumptions'!$N$6))*J5/12)</f>
        <v>332.065943664715</v>
      </c>
      <c r="K38" s="442" t="n">
        <f aca="false">IF(K3&gt;'Project Assumptions'!$I$15+1+1,0,Fixed*((1+'Project Assumptions'!$N$40)^(K4-'Project Assumptions'!$N$6))*K5/12)</f>
        <v>342.027921974656</v>
      </c>
      <c r="L38" s="442" t="n">
        <f aca="false">IF(L3&gt;'Project Assumptions'!$I$15+1+1,0,Fixed*((1+'Project Assumptions'!$N$40)^(L4-'Project Assumptions'!$N$6))*L5/12)</f>
        <v>352.288759633896</v>
      </c>
      <c r="M38" s="442" t="n">
        <f aca="false">IF(M3&gt;'Project Assumptions'!$I$15+1+1,0,Fixed*((1+'Project Assumptions'!$N$40)^(M4-'Project Assumptions'!$N$6))*M5/12)</f>
        <v>362.857422422913</v>
      </c>
      <c r="N38" s="442" t="n">
        <f aca="false">IF(N3&gt;'Project Assumptions'!$I$15+1+1,0,Fixed*((1+'Project Assumptions'!$N$40)^(N4-'Project Assumptions'!$N$6))*N5/12)</f>
        <v>373.7431450956</v>
      </c>
      <c r="O38" s="442" t="n">
        <f aca="false">IF(O3&gt;'Project Assumptions'!$I$15+1+1,0,Fixed*((1+'Project Assumptions'!$N$40)^(O4-'Project Assumptions'!$N$6))*O5/12)</f>
        <v>384.955439448468</v>
      </c>
      <c r="P38" s="442" t="n">
        <f aca="false">IF(P3&gt;'Project Assumptions'!$I$15+1+1,0,Fixed*((1+'Project Assumptions'!$N$40)^(P4-'Project Assumptions'!$N$6))*P5/12)</f>
        <v>396.504102631923</v>
      </c>
      <c r="Q38" s="442" t="n">
        <f aca="false">IF(Q3&gt;'Project Assumptions'!$I$15+1+1,0,Fixed*((1+'Project Assumptions'!$N$40)^(Q4-'Project Assumptions'!$N$6))*Q5/12)</f>
        <v>408.39922571088</v>
      </c>
      <c r="R38" s="442" t="n">
        <f aca="false">IF(R3&gt;'Project Assumptions'!$I$15+1+1,0,Fixed*((1+'Project Assumptions'!$N$40)^(R4-'Project Assumptions'!$N$6))*R5/12)</f>
        <v>420.651202482207</v>
      </c>
      <c r="S38" s="442" t="n">
        <f aca="false">IF(S3&gt;'Project Assumptions'!$I$15+1+1,0,Fixed*((1+'Project Assumptions'!$N$40)^(S4-'Project Assumptions'!$N$6))*S5/12)</f>
        <v>433.270738556673</v>
      </c>
      <c r="T38" s="442" t="n">
        <f aca="false">IF(T3&gt;'Project Assumptions'!$I$15+1+1,0,Fixed*((1+'Project Assumptions'!$N$40)^(T4-'Project Assumptions'!$N$6))*T5/12)</f>
        <v>446.268860713373</v>
      </c>
      <c r="U38" s="442" t="n">
        <f aca="false">IF(U3&gt;'Project Assumptions'!$I$15+1+1,0,Fixed*((1+'Project Assumptions'!$N$40)^(U4-'Project Assumptions'!$N$6))*U5/12)</f>
        <v>459.656926534774</v>
      </c>
      <c r="V38" s="442" t="n">
        <f aca="false">IF(V3&gt;'Project Assumptions'!$I$15+1+1,0,Fixed*((1+'Project Assumptions'!$N$40)^(V4-'Project Assumptions'!$N$6))*V5/12)</f>
        <v>473.446634330817</v>
      </c>
      <c r="W38" s="442" t="n">
        <f aca="false">IF(W3&gt;'Project Assumptions'!$I$15+1+1,0,Fixed*((1+'Project Assumptions'!$N$40)^(W4-'Project Assumptions'!$N$6))*W5/12)</f>
        <v>487.650033360742</v>
      </c>
      <c r="X38" s="442" t="n">
        <f aca="false">IF(X3&gt;'Project Assumptions'!$I$15+1+1,0,Fixed*((1+'Project Assumptions'!$N$40)^(X4-'Project Assumptions'!$N$6))*X5/12)</f>
        <v>209.283139317318</v>
      </c>
      <c r="Y38" s="442" t="n">
        <f aca="false">IF(Y3&gt;'Project Assumptions'!$I$15+1+1,0,Fixed*((1+'Project Assumptions'!$N$40)^(Y4-'Project Assumptions'!$N$6))*Y5/12)</f>
        <v>0</v>
      </c>
      <c r="Z38" s="442" t="n">
        <f aca="false">IF(Z3&gt;'Project Assumptions'!$I$15+1+1,0,Fixed*((1+'Project Assumptions'!$N$40)^(Z4-'Project Assumptions'!$N$6))*Z5/12)</f>
        <v>0</v>
      </c>
      <c r="AA38" s="442" t="n">
        <f aca="false">IF(AA3&gt;'Project Assumptions'!$I$15+1+1,0,Fixed*((1+'Project Assumptions'!$N$40)^(AA4-'Project Assumptions'!$N$6))*AA5/12)</f>
        <v>0</v>
      </c>
      <c r="AB38" s="508" t="n">
        <f aca="false">IF(AB3&gt;'Project Assumptions'!$I$15+1+1,0,Fixed*((1+'Project Assumptions'!$N$40)^(AB4-'Project Assumptions'!$N$6))*AB5/12)</f>
        <v>0</v>
      </c>
    </row>
    <row r="39" customFormat="false" ht="12.6" hidden="false" customHeight="true" outlineLevel="0" collapsed="false">
      <c r="A39" s="642" t="n">
        <v>12</v>
      </c>
      <c r="B39" s="416" t="s">
        <v>511</v>
      </c>
      <c r="C39" s="680" t="n">
        <f aca="false">AVERAGE(D39:W39)</f>
        <v>240.417521091028</v>
      </c>
      <c r="D39" s="442" t="n">
        <f aca="false">IF(D3&gt;'Project Assumptions'!$I$15+1+1,0,'Project Assumptions'!$N$22*(D5)/12)*((1+'Project Assumptions'!$N$40)^(D4-'Project Assumptions'!$N$6))</f>
        <v>106.029411764706</v>
      </c>
      <c r="E39" s="442" t="n">
        <f aca="false">IF(E3&gt;'Project Assumptions'!$I$15+1+1,0,'Project Assumptions'!$N$22*(E5)/12)*((1+'Project Assumptions'!$N$40)^(E4-'Project Assumptions'!$N$6))</f>
        <v>187.217647058824</v>
      </c>
      <c r="F39" s="442" t="n">
        <f aca="false">IF(F3&gt;'Project Assumptions'!$I$15+1+1,0,'Project Assumptions'!$N$22*(F5)/12)*((1+'Project Assumptions'!$N$40)^(F4-'Project Assumptions'!$N$6))</f>
        <v>192.834176470588</v>
      </c>
      <c r="G39" s="442" t="n">
        <f aca="false">IF(G3&gt;'Project Assumptions'!$I$15+1+1,0,'Project Assumptions'!$N$22*(G5)/12)*((1+'Project Assumptions'!$N$40)^(G4-'Project Assumptions'!$N$6))</f>
        <v>198.619201764706</v>
      </c>
      <c r="H39" s="442" t="n">
        <f aca="false">IF(H3&gt;'Project Assumptions'!$I$15+1+1,0,'Project Assumptions'!$N$22*(H5)/12)*((1+'Project Assumptions'!$N$40)^(H4-'Project Assumptions'!$N$6))</f>
        <v>204.577777817647</v>
      </c>
      <c r="I39" s="442" t="n">
        <f aca="false">IF(I3&gt;'Project Assumptions'!$I$15+1+1,0,'Project Assumptions'!$N$22*(I5)/12)*((1+'Project Assumptions'!$N$40)^(I4-'Project Assumptions'!$N$6))</f>
        <v>210.715111152177</v>
      </c>
      <c r="J39" s="442" t="n">
        <f aca="false">IF(J3&gt;'Project Assumptions'!$I$15+1+1,0,'Project Assumptions'!$N$22*(J5)/12)*((1+'Project Assumptions'!$N$40)^(J4-'Project Assumptions'!$N$6))</f>
        <v>217.036564486742</v>
      </c>
      <c r="K39" s="442" t="n">
        <f aca="false">IF(K3&gt;'Project Assumptions'!$I$15+1+1,0,'Project Assumptions'!$N$22*(K5)/12)*((1+'Project Assumptions'!$N$40)^(K4-'Project Assumptions'!$N$6))</f>
        <v>223.547661421344</v>
      </c>
      <c r="L39" s="442" t="n">
        <f aca="false">IF(L3&gt;'Project Assumptions'!$I$15+1+1,0,'Project Assumptions'!$N$22*(L5)/12)*((1+'Project Assumptions'!$N$40)^(L4-'Project Assumptions'!$N$6))</f>
        <v>230.254091263984</v>
      </c>
      <c r="M39" s="442" t="n">
        <f aca="false">IF(M3&gt;'Project Assumptions'!$I$15+1+1,0,'Project Assumptions'!$N$22*(M5)/12)*((1+'Project Assumptions'!$N$40)^(M4-'Project Assumptions'!$N$6))</f>
        <v>237.161714001904</v>
      </c>
      <c r="N39" s="442" t="n">
        <f aca="false">IF(N3&gt;'Project Assumptions'!$I$15+1+1,0,'Project Assumptions'!$N$22*(N5)/12)*((1+'Project Assumptions'!$N$40)^(N4-'Project Assumptions'!$N$6))</f>
        <v>244.276565421961</v>
      </c>
      <c r="O39" s="442" t="n">
        <f aca="false">IF(O3&gt;'Project Assumptions'!$I$15+1+1,0,'Project Assumptions'!$N$22*(O5)/12)*((1+'Project Assumptions'!$N$40)^(O4-'Project Assumptions'!$N$6))</f>
        <v>251.60486238462</v>
      </c>
      <c r="P39" s="442" t="n">
        <f aca="false">IF(P3&gt;'Project Assumptions'!$I$15+1+1,0,'Project Assumptions'!$N$22*(P5)/12)*((1+'Project Assumptions'!$N$40)^(P4-'Project Assumptions'!$N$6))</f>
        <v>259.153008256159</v>
      </c>
      <c r="Q39" s="442" t="n">
        <f aca="false">IF(Q3&gt;'Project Assumptions'!$I$15+1+1,0,'Project Assumptions'!$N$22*(Q5)/12)*((1+'Project Assumptions'!$N$40)^(Q4-'Project Assumptions'!$N$6))</f>
        <v>266.927598503843</v>
      </c>
      <c r="R39" s="442" t="n">
        <f aca="false">IF(R3&gt;'Project Assumptions'!$I$15+1+1,0,'Project Assumptions'!$N$22*(R5)/12)*((1+'Project Assumptions'!$N$40)^(R4-'Project Assumptions'!$N$6))</f>
        <v>274.935426458959</v>
      </c>
      <c r="S39" s="442" t="n">
        <f aca="false">IF(S3&gt;'Project Assumptions'!$I$15+1+1,0,'Project Assumptions'!$N$22*(S5)/12)*((1+'Project Assumptions'!$N$40)^(S4-'Project Assumptions'!$N$6))</f>
        <v>283.183489252727</v>
      </c>
      <c r="T39" s="442" t="n">
        <f aca="false">IF(T3&gt;'Project Assumptions'!$I$15+1+1,0,'Project Assumptions'!$N$22*(T5)/12)*((1+'Project Assumptions'!$N$40)^(T4-'Project Assumptions'!$N$6))</f>
        <v>291.678993930309</v>
      </c>
      <c r="U39" s="442" t="n">
        <f aca="false">IF(U3&gt;'Project Assumptions'!$I$15+1+1,0,'Project Assumptions'!$N$22*(U5)/12)*((1+'Project Assumptions'!$N$40)^(U4-'Project Assumptions'!$N$6))</f>
        <v>300.429363748218</v>
      </c>
      <c r="V39" s="442" t="n">
        <f aca="false">IF(V3&gt;'Project Assumptions'!$I$15+1+1,0,'Project Assumptions'!$N$22*(V5)/12)*((1+'Project Assumptions'!$N$40)^(V4-'Project Assumptions'!$N$6))</f>
        <v>309.442244660665</v>
      </c>
      <c r="W39" s="442" t="n">
        <f aca="false">IF(W3&gt;'Project Assumptions'!$I$15+1+1,0,'Project Assumptions'!$N$22*(W5)/12)*((1+'Project Assumptions'!$N$40)^(W4-'Project Assumptions'!$N$6))</f>
        <v>318.725512000485</v>
      </c>
      <c r="X39" s="442" t="n">
        <f aca="false">IF(X3&gt;'Project Assumptions'!$I$15+1+1,0,'Project Assumptions'!$N$22*(X5)/12)*((1+'Project Assumptions'!$N$40)^(X4-'Project Assumptions'!$N$6))</f>
        <v>136.786365566875</v>
      </c>
      <c r="Y39" s="442" t="n">
        <f aca="false">IF(Y3&gt;'Project Assumptions'!$I$15+1+1,0,'Project Assumptions'!$N$22*(Y5)/12)*((1+'Project Assumptions'!$N$40)^(Y4-'Project Assumptions'!$N$6))</f>
        <v>0</v>
      </c>
      <c r="Z39" s="442" t="n">
        <f aca="false">IF(Z3&gt;'Project Assumptions'!$I$15+1+1,0,'Project Assumptions'!$N$22*(Z5)/12)*((1+'Project Assumptions'!$N$40)^(Z4-'Project Assumptions'!$N$6))</f>
        <v>0</v>
      </c>
      <c r="AA39" s="442" t="n">
        <f aca="false">IF(AA3&gt;'Project Assumptions'!$I$15+1+1,0,'Project Assumptions'!$N$22*(AA5)/12)*((1+'Project Assumptions'!$N$40)^(AA4-'Project Assumptions'!$N$6))</f>
        <v>0</v>
      </c>
      <c r="AB39" s="508" t="n">
        <f aca="false">IF(AB3&gt;'Project Assumptions'!$I$15+1+1,0,'Project Assumptions'!$N$22*(AB5)/12)*((1+'Project Assumptions'!$N$40)^(AB4-'Project Assumptions'!$N$6))</f>
        <v>0</v>
      </c>
    </row>
    <row r="40" customFormat="false" ht="12.6" hidden="false" customHeight="true" outlineLevel="0" collapsed="false">
      <c r="B40" s="416" t="s">
        <v>512</v>
      </c>
      <c r="C40" s="680" t="n">
        <f aca="false">AVERAGE(D40:W40)</f>
        <v>470.291536125554</v>
      </c>
      <c r="D40" s="442" t="n">
        <f aca="false">IF(D3&gt;ProjectLife+1,0,'Project Assumptions'!$N$23*((1+OM_Escal)^(D4-2003))*D7/12)</f>
        <v>0</v>
      </c>
      <c r="E40" s="442" t="n">
        <f aca="false">IF(E3&gt;ProjectLife+1,0,'Project Assumptions'!$N$23*((1+OM_Escal)^(E4-2003))*E7/12)</f>
        <v>0</v>
      </c>
      <c r="F40" s="442" t="n">
        <f aca="false">IF(F3&gt;ProjectLife+1,0,'Project Assumptions'!$N$23*((1+OM_Escal)^(F4-2003))*F7/12)</f>
        <v>0</v>
      </c>
      <c r="G40" s="442" t="n">
        <f aca="false">IF(G3&gt;ProjectLife+1,0,'Project Assumptions'!$N$23*((1+OM_Escal)^(G4-2003))*G7/12)</f>
        <v>257.05106</v>
      </c>
      <c r="H40" s="442" t="n">
        <f aca="false">IF(H3&gt;ProjectLife+1,0,'Project Assumptions'!$N$23*((1+OM_Escal)^(H4-2003))*H7/12)</f>
        <v>453.8787288</v>
      </c>
      <c r="I40" s="442" t="n">
        <f aca="false">IF(I3&gt;ProjectLife+1,0,'Project Assumptions'!$N$23*((1+OM_Escal)^(I4-2003))*I7/12)</f>
        <v>467.495090664</v>
      </c>
      <c r="J40" s="442" t="n">
        <f aca="false">IF(J3&gt;ProjectLife+1,0,'Project Assumptions'!$N$23*((1+OM_Escal)^(J4-2003))*J7/12)</f>
        <v>481.51994338392</v>
      </c>
      <c r="K40" s="442" t="n">
        <f aca="false">IF(K3&gt;ProjectLife+1,0,'Project Assumptions'!$N$23*((1+OM_Escal)^(K4-2003))*K7/12)</f>
        <v>495.965541685438</v>
      </c>
      <c r="L40" s="442" t="n">
        <f aca="false">IF(L3&gt;ProjectLife+1,0,'Project Assumptions'!$N$23*((1+OM_Escal)^(L4-2003))*L7/12)</f>
        <v>510.844507936001</v>
      </c>
      <c r="M40" s="442" t="n">
        <f aca="false">IF(M3&gt;ProjectLife+1,0,'Project Assumptions'!$N$23*((1+OM_Escal)^(M4-2003))*M7/12)</f>
        <v>526.169843174081</v>
      </c>
      <c r="N40" s="442" t="n">
        <f aca="false">IF(N3&gt;ProjectLife+1,0,'Project Assumptions'!$N$23*((1+OM_Escal)^(N4-2003))*N7/12)</f>
        <v>541.954938469303</v>
      </c>
      <c r="O40" s="442" t="n">
        <f aca="false">IF(O3&gt;ProjectLife+1,0,'Project Assumptions'!$N$23*((1+OM_Escal)^(O4-2003))*O7/12)</f>
        <v>558.213586623382</v>
      </c>
      <c r="P40" s="442" t="n">
        <f aca="false">IF(P3&gt;ProjectLife+1,0,'Project Assumptions'!$N$23*((1+OM_Escal)^(P4-2003))*P7/12)</f>
        <v>574.959994222084</v>
      </c>
      <c r="Q40" s="442" t="n">
        <f aca="false">IF(Q3&gt;ProjectLife+1,0,'Project Assumptions'!$N$23*((1+OM_Escal)^(Q4-2003))*Q7/12)</f>
        <v>592.208794048746</v>
      </c>
      <c r="R40" s="442" t="n">
        <f aca="false">IF(R3&gt;ProjectLife+1,0,'Project Assumptions'!$N$23*((1+OM_Escal)^(R4-2003))*R7/12)</f>
        <v>609.975057870209</v>
      </c>
      <c r="S40" s="442" t="n">
        <f aca="false">IF(S3&gt;ProjectLife+1,0,'Project Assumptions'!$N$23*((1+OM_Escal)^(S4-2003))*S7/12)</f>
        <v>628.274309606315</v>
      </c>
      <c r="T40" s="442" t="n">
        <f aca="false">IF(T3&gt;ProjectLife+1,0,'Project Assumptions'!$N$23*((1+OM_Escal)^(T4-2003))*T7/12)</f>
        <v>647.122538894505</v>
      </c>
      <c r="U40" s="442" t="n">
        <f aca="false">IF(U3&gt;ProjectLife+1,0,'Project Assumptions'!$N$23*((1+OM_Escal)^(U4-2003))*U7/12)</f>
        <v>666.53621506134</v>
      </c>
      <c r="V40" s="442" t="n">
        <f aca="false">IF(V3&gt;ProjectLife+1,0,'Project Assumptions'!$N$23*((1+OM_Escal)^(V4-2003))*V7/12)</f>
        <v>686.53230151318</v>
      </c>
      <c r="W40" s="442" t="n">
        <f aca="false">IF(W3&gt;ProjectLife+1,0,'Project Assumptions'!$N$23*((1+OM_Escal)^(W4-2003))*W7/12)</f>
        <v>707.128270558575</v>
      </c>
      <c r="X40" s="442" t="n">
        <f aca="false">IF(X3&gt;ProjectLife+1,0,'Project Assumptions'!$N$23*((1+OM_Escal)^(X4-2003))*X7/12)</f>
        <v>303.475882781389</v>
      </c>
      <c r="Y40" s="442" t="n">
        <f aca="false">IF(Y3&gt;ProjectLife+1,0,'Project Assumptions'!$N$23*((1+OM_Escal)^(Y4-2003))*Y7/12)</f>
        <v>0</v>
      </c>
      <c r="Z40" s="442" t="n">
        <f aca="false">IF(Z3&gt;ProjectLife+1,0,'Project Assumptions'!$N$23*((1+OM_Escal)^(Z4-2003))*Z7/12)</f>
        <v>0</v>
      </c>
      <c r="AA40" s="442" t="n">
        <f aca="false">IF(AA3&gt;ProjectLife+1,0,'Project Assumptions'!$N$23*((1+OM_Escal)^(AA4-2003))*AA7/12)</f>
        <v>0</v>
      </c>
      <c r="AB40" s="508" t="n">
        <f aca="false">IF(AB3&gt;ProjectLife+1,0,'Project Assumptions'!$N$23*((1+OM_Escal)^(AB4-'Project Assumptions'!$N$6))*AB7/12)</f>
        <v>0</v>
      </c>
    </row>
    <row r="41" customFormat="false" ht="12.6" hidden="false" customHeight="true" outlineLevel="0" collapsed="false">
      <c r="A41" s="642" t="n">
        <v>9</v>
      </c>
      <c r="B41" s="416" t="s">
        <v>513</v>
      </c>
      <c r="C41" s="681" t="n">
        <f aca="false">AVERAGE(D41:W41)</f>
        <v>340.59148821229</v>
      </c>
      <c r="D41" s="682" t="n">
        <f aca="false">'Project Assumptions'!$N$24*(1+OM_Escal)*D5/12</f>
        <v>150.208333333333</v>
      </c>
      <c r="E41" s="490" t="n">
        <f aca="false">IF(E3&gt;'Project Assumptions'!$I$15+1+1,0,'Project Assumptions'!$N$24*((1+OM_Escal)^(E4-'Project Assumptions'!$N$6))*E5/12)</f>
        <v>265.225</v>
      </c>
      <c r="F41" s="490" t="n">
        <f aca="false">IF(F3&gt;'Project Assumptions'!$I$15+1+1,0,'Project Assumptions'!$N$24*((1+OM_Escal)^(F4-'Project Assumptions'!$N$6))*F5/12)</f>
        <v>273.18175</v>
      </c>
      <c r="G41" s="490" t="n">
        <f aca="false">IF(G3&gt;'Project Assumptions'!$I$15+1+1,0,'Project Assumptions'!$N$24*((1+OM_Escal)^(G4-'Project Assumptions'!$N$6))*G5/12)</f>
        <v>281.3772025</v>
      </c>
      <c r="H41" s="490" t="n">
        <f aca="false">IF(H3&gt;'Project Assumptions'!$I$15+1+1,0,'Project Assumptions'!$N$24*((1+OM_Escal)^(H4-'Project Assumptions'!$N$6))*H5/12)</f>
        <v>289.818518575</v>
      </c>
      <c r="I41" s="490" t="n">
        <f aca="false">IF(I3&gt;'Project Assumptions'!$I$15+1+1,0,'Project Assumptions'!$N$24*((1+OM_Escal)^(I4-'Project Assumptions'!$N$6))*I5/12)</f>
        <v>298.51307413225</v>
      </c>
      <c r="J41" s="490" t="n">
        <f aca="false">IF(J3&gt;'Project Assumptions'!$I$15+1+1,0,'Project Assumptions'!$N$24*((1+OM_Escal)^(J4-'Project Assumptions'!$N$6))*J5/12)</f>
        <v>307.468466356218</v>
      </c>
      <c r="K41" s="490" t="n">
        <f aca="false">IF(K3&gt;'Project Assumptions'!$I$15+1+1,0,'Project Assumptions'!$N$24*((1+OM_Escal)^(K4-'Project Assumptions'!$N$6))*K5/12)</f>
        <v>316.692520346904</v>
      </c>
      <c r="L41" s="490" t="n">
        <f aca="false">IF(L3&gt;'Project Assumptions'!$I$15+1+1,0,'Project Assumptions'!$N$24*((1+OM_Escal)^(L4-'Project Assumptions'!$N$6))*L5/12)</f>
        <v>326.193295957311</v>
      </c>
      <c r="M41" s="490" t="n">
        <f aca="false">IF(M3&gt;'Project Assumptions'!$I$15+1+1,0,'Project Assumptions'!$N$24*((1+OM_Escal)^(M4-'Project Assumptions'!$N$6))*M5/12)</f>
        <v>335.979094836031</v>
      </c>
      <c r="N41" s="490" t="n">
        <f aca="false">IF(N3&gt;'Project Assumptions'!$I$15+1+1,0,'Project Assumptions'!$N$24*((1+OM_Escal)^(N4-'Project Assumptions'!$N$6))*N5/12)</f>
        <v>346.058467681112</v>
      </c>
      <c r="O41" s="490" t="n">
        <f aca="false">IF(O3&gt;'Project Assumptions'!$I$15+1+1,0,'Project Assumptions'!$N$24*((1+OM_Escal)^(O4-'Project Assumptions'!$N$6))*O5/12)</f>
        <v>356.440221711545</v>
      </c>
      <c r="P41" s="490" t="n">
        <f aca="false">IF(P3&gt;'Project Assumptions'!$I$15+1+1,0,'Project Assumptions'!$N$24*((1+OM_Escal)^(P4-'Project Assumptions'!$N$6))*P5/12)</f>
        <v>367.133428362891</v>
      </c>
      <c r="Q41" s="490" t="n">
        <f aca="false">IF(Q3&gt;'Project Assumptions'!$I$15+1+1,0,'Project Assumptions'!$N$24*((1+OM_Escal)^(Q4-'Project Assumptions'!$N$6))*Q5/12)</f>
        <v>378.147431213778</v>
      </c>
      <c r="R41" s="490" t="n">
        <f aca="false">IF(R3&gt;'Project Assumptions'!$I$15+1+1,0,'Project Assumptions'!$N$24*((1+OM_Escal)^(R4-'Project Assumptions'!$N$6))*R5/12)</f>
        <v>389.491854150191</v>
      </c>
      <c r="S41" s="490" t="n">
        <f aca="false">IF(S3&gt;'Project Assumptions'!$I$15+1+1,0,'Project Assumptions'!$N$24*((1+OM_Escal)^(S4-'Project Assumptions'!$N$6))*S5/12)</f>
        <v>401.176609774697</v>
      </c>
      <c r="T41" s="490" t="n">
        <f aca="false">IF(T3&gt;'Project Assumptions'!$I$15+1+1,0,'Project Assumptions'!$N$24*((1+OM_Escal)^(T4-'Project Assumptions'!$N$6))*T5/12)</f>
        <v>413.211908067938</v>
      </c>
      <c r="U41" s="490" t="n">
        <f aca="false">IF(U3&gt;'Project Assumptions'!$I$15+1+1,0,'Project Assumptions'!$N$24*((1+OM_Escal)^(U4-'Project Assumptions'!$N$6))*U5/12)</f>
        <v>425.608265309976</v>
      </c>
      <c r="V41" s="490" t="n">
        <f aca="false">IF(V3&gt;'Project Assumptions'!$I$15+1+1,0,'Project Assumptions'!$N$24*((1+OM_Escal)^(V4-'Project Assumptions'!$N$6))*V5/12)</f>
        <v>438.376513269275</v>
      </c>
      <c r="W41" s="490" t="n">
        <f aca="false">IF(W3&gt;'Project Assumptions'!$I$15+1+1,0,'Project Assumptions'!$N$24*((1+OM_Escal)^(W4-'Project Assumptions'!$N$6))*W5/12)</f>
        <v>451.527808667354</v>
      </c>
      <c r="X41" s="490" t="n">
        <f aca="false">IF(X3&gt;'Project Assumptions'!$I$15+1+1,0,'Project Assumptions'!$N$24*((1+OM_Escal)^(X4-'Project Assumptions'!$N$6))*X5/12)</f>
        <v>193.780684553073</v>
      </c>
      <c r="Y41" s="490" t="n">
        <f aca="false">IF(Y3&gt;'Project Assumptions'!$I$15+1+1,0,'Project Assumptions'!$N$24*((1+OM_Escal)^(Y4-'Project Assumptions'!$N$6))*Y5/12)</f>
        <v>0</v>
      </c>
      <c r="Z41" s="490" t="n">
        <f aca="false">IF(Z3&gt;'Project Assumptions'!$I$15+1+1,0,'Project Assumptions'!$N$24*((1+OM_Escal)^(Z4-'Project Assumptions'!$N$6))*Z5/12)</f>
        <v>0</v>
      </c>
      <c r="AA41" s="490" t="n">
        <f aca="false">IF(AA3&gt;'Project Assumptions'!$I$15+1+1,0,'Project Assumptions'!$N$24*((1+OM_Escal)^(AA4-'Project Assumptions'!$N$6))*AA5/12)</f>
        <v>0</v>
      </c>
      <c r="AB41" s="491" t="n">
        <f aca="false">IF(AB3&gt;'Project Assumptions'!$I$15+1+1,0,'Project Assumptions'!$N$24*((1+OM_Escal)^(AB4-'Project Assumptions'!$N$6))*AB5/12)</f>
        <v>0</v>
      </c>
    </row>
    <row r="42" customFormat="false" ht="12.6" hidden="false" customHeight="true" outlineLevel="0" collapsed="false">
      <c r="B42" s="666" t="s">
        <v>514</v>
      </c>
      <c r="C42" s="676" t="n">
        <f aca="false">AVERAGE(D42:W42)</f>
        <v>2409.57940041949</v>
      </c>
      <c r="D42" s="678" t="n">
        <f aca="false">SUM(D37:D41)</f>
        <v>855.268578431373</v>
      </c>
      <c r="E42" s="678" t="n">
        <f aca="false">SUM(E37:E41)</f>
        <v>1510.15994705882</v>
      </c>
      <c r="F42" s="678" t="n">
        <f aca="false">SUM(F37:F41)</f>
        <v>1555.46474547059</v>
      </c>
      <c r="G42" s="678" t="n">
        <f aca="false">SUM(G37:G41)</f>
        <v>1859.17974783471</v>
      </c>
      <c r="H42" s="678" t="n">
        <f aca="false">SUM(H37:H41)</f>
        <v>2104.07127726975</v>
      </c>
      <c r="I42" s="678" t="n">
        <f aca="false">SUM(I37:I41)</f>
        <v>2167.19341558784</v>
      </c>
      <c r="J42" s="678" t="n">
        <f aca="false">SUM(J37:J41)</f>
        <v>2232.20921805548</v>
      </c>
      <c r="K42" s="678" t="n">
        <f aca="false">SUM(K37:K41)</f>
        <v>2299.17549459714</v>
      </c>
      <c r="L42" s="678" t="n">
        <f aca="false">SUM(L37:L41)</f>
        <v>2368.15075943505</v>
      </c>
      <c r="M42" s="678" t="n">
        <f aca="false">SUM(M37:M41)</f>
        <v>2439.19528221811</v>
      </c>
      <c r="N42" s="678" t="n">
        <f aca="false">SUM(N37:N41)</f>
        <v>2512.37114068465</v>
      </c>
      <c r="O42" s="678" t="n">
        <f aca="false">SUM(O37:O41)</f>
        <v>2587.74227490519</v>
      </c>
      <c r="P42" s="678" t="n">
        <f aca="false">SUM(P37:P41)</f>
        <v>2665.37454315234</v>
      </c>
      <c r="Q42" s="678" t="n">
        <f aca="false">SUM(Q37:Q41)</f>
        <v>2745.33577944691</v>
      </c>
      <c r="R42" s="678" t="n">
        <f aca="false">SUM(R37:R41)</f>
        <v>2827.69585283032</v>
      </c>
      <c r="S42" s="678" t="n">
        <f aca="false">SUM(S37:S41)</f>
        <v>2912.52672841523</v>
      </c>
      <c r="T42" s="678" t="n">
        <f aca="false">SUM(T37:T41)</f>
        <v>2999.90253026769</v>
      </c>
      <c r="U42" s="678" t="n">
        <f aca="false">SUM(U37:U41)</f>
        <v>3089.89960617572</v>
      </c>
      <c r="V42" s="678" t="n">
        <f aca="false">SUM(V37:V41)</f>
        <v>3182.59659436099</v>
      </c>
      <c r="W42" s="678" t="n">
        <f aca="false">SUM(W37:W41)</f>
        <v>3278.07449219182</v>
      </c>
      <c r="X42" s="678" t="n">
        <f aca="false">SUM(X37:X41)</f>
        <v>1406.84030289899</v>
      </c>
      <c r="Y42" s="678" t="n">
        <f aca="false">SUM(Y37:Y41)</f>
        <v>0</v>
      </c>
      <c r="Z42" s="678" t="n">
        <f aca="false">SUM(Z37:Z41)</f>
        <v>0</v>
      </c>
      <c r="AA42" s="678" t="n">
        <f aca="false">SUM(AA37:AA41)</f>
        <v>0</v>
      </c>
      <c r="AB42" s="679" t="n">
        <f aca="false">SUM(AB37:AB41)</f>
        <v>0</v>
      </c>
    </row>
    <row r="43" customFormat="false" ht="12.6" hidden="false" customHeight="true" outlineLevel="0" collapsed="false">
      <c r="B43" s="416"/>
      <c r="D43" s="683"/>
      <c r="E43" s="683"/>
      <c r="F43" s="683"/>
      <c r="G43" s="683"/>
      <c r="H43" s="683"/>
      <c r="I43" s="683"/>
      <c r="J43" s="683"/>
      <c r="K43" s="683"/>
      <c r="L43" s="683"/>
      <c r="M43" s="683"/>
      <c r="N43" s="683"/>
      <c r="O43" s="683"/>
      <c r="P43" s="683"/>
      <c r="Q43" s="683"/>
      <c r="R43" s="683"/>
      <c r="S43" s="683"/>
      <c r="T43" s="683"/>
      <c r="U43" s="683"/>
      <c r="V43" s="683"/>
      <c r="W43" s="683"/>
      <c r="X43" s="683"/>
      <c r="Y43" s="683"/>
      <c r="Z43" s="683"/>
      <c r="AA43" s="683"/>
      <c r="AB43" s="684"/>
    </row>
    <row r="44" customFormat="false" ht="12.6" hidden="false" customHeight="true" outlineLevel="0" collapsed="false">
      <c r="B44" s="666" t="s">
        <v>515</v>
      </c>
      <c r="D44" s="683"/>
      <c r="E44" s="683"/>
      <c r="F44" s="683"/>
      <c r="G44" s="683"/>
      <c r="H44" s="683"/>
      <c r="I44" s="683"/>
      <c r="J44" s="683"/>
      <c r="K44" s="683"/>
      <c r="L44" s="683"/>
      <c r="M44" s="683"/>
      <c r="N44" s="683"/>
      <c r="O44" s="683"/>
      <c r="P44" s="683"/>
      <c r="Q44" s="683"/>
      <c r="R44" s="683"/>
      <c r="S44" s="683"/>
      <c r="T44" s="683"/>
      <c r="U44" s="683"/>
      <c r="V44" s="683"/>
      <c r="W44" s="683"/>
      <c r="X44" s="683"/>
      <c r="Y44" s="683"/>
      <c r="Z44" s="683"/>
      <c r="AA44" s="683"/>
      <c r="AB44" s="684"/>
    </row>
    <row r="45" customFormat="false" ht="12.6" hidden="false" customHeight="true" outlineLevel="0" collapsed="false">
      <c r="A45" s="642" t="n">
        <v>6</v>
      </c>
      <c r="B45" s="416" t="s">
        <v>516</v>
      </c>
      <c r="C45" s="674" t="n">
        <f aca="false">AVERAGE(D45:W45)</f>
        <v>363.751709410726</v>
      </c>
      <c r="D45" s="442" t="n">
        <f aca="false">'Project Assumptions'!$N$32*(1+OM_Escal)^(D4-'Project Assumptions'!$N$28)*D5/12</f>
        <v>160.4225</v>
      </c>
      <c r="E45" s="442" t="n">
        <f aca="false">'Project Assumptions'!$N$32*(1+OM_Escal)^(E4-'Project Assumptions'!$N$28)*E5/12</f>
        <v>283.2603</v>
      </c>
      <c r="F45" s="442" t="n">
        <f aca="false">'Project Assumptions'!$N$32*(1+OM_Escal)^(F4-'Project Assumptions'!$N$28)*F5/12</f>
        <v>291.758109</v>
      </c>
      <c r="G45" s="442" t="n">
        <f aca="false">'Project Assumptions'!$N$32*(1+OM_Escal)^(G4-'Project Assumptions'!$N$28)*G5/12</f>
        <v>300.51085227</v>
      </c>
      <c r="H45" s="442" t="n">
        <f aca="false">'Project Assumptions'!$N$32*(1+OM_Escal)^(H4-'Project Assumptions'!$N$28)*H5/12</f>
        <v>309.5261778381</v>
      </c>
      <c r="I45" s="442" t="n">
        <f aca="false">'Project Assumptions'!$N$32*(1+OM_Escal)^(I4-'Project Assumptions'!$N$28)*I5/12</f>
        <v>318.811963173243</v>
      </c>
      <c r="J45" s="442" t="n">
        <f aca="false">'Project Assumptions'!$N$32*(1+OM_Escal)^(J4-'Project Assumptions'!$N$28)*J5/12</f>
        <v>328.37632206844</v>
      </c>
      <c r="K45" s="442" t="n">
        <f aca="false">'Project Assumptions'!$N$32*(1+OM_Escal)^(K4-'Project Assumptions'!$N$28)*K5/12</f>
        <v>338.227611730494</v>
      </c>
      <c r="L45" s="442" t="n">
        <f aca="false">'Project Assumptions'!$N$32*(1+OM_Escal)^(L4-'Project Assumptions'!$N$28)*L5/12</f>
        <v>348.374440082408</v>
      </c>
      <c r="M45" s="442" t="n">
        <f aca="false">'Project Assumptions'!$N$32*(1+OM_Escal)^(M4-'Project Assumptions'!$N$28)*M5/12</f>
        <v>358.825673284881</v>
      </c>
      <c r="N45" s="442" t="n">
        <f aca="false">'Project Assumptions'!$N$32*(1+OM_Escal)^(N4-'Project Assumptions'!$N$28)*N5/12</f>
        <v>369.590443483427</v>
      </c>
      <c r="O45" s="442" t="n">
        <f aca="false">'Project Assumptions'!$N$32*(1+OM_Escal)^(O4-'Project Assumptions'!$N$28)*O5/12</f>
        <v>380.67815678793</v>
      </c>
      <c r="P45" s="442" t="n">
        <f aca="false">'Project Assumptions'!$N$32*(1+OM_Escal)^(P4-'Project Assumptions'!$N$28)*P5/12</f>
        <v>392.098501491568</v>
      </c>
      <c r="Q45" s="442" t="n">
        <f aca="false">'Project Assumptions'!$N$32*(1+OM_Escal)^(Q4-'Project Assumptions'!$N$28)*Q5/12</f>
        <v>403.861456536315</v>
      </c>
      <c r="R45" s="442" t="n">
        <f aca="false">'Project Assumptions'!$N$32*(1+OM_Escal)^(R4-'Project Assumptions'!$N$28)*R5/12</f>
        <v>415.977300232404</v>
      </c>
      <c r="S45" s="442" t="n">
        <f aca="false">'Project Assumptions'!$N$32*(1+OM_Escal)^(S4-'Project Assumptions'!$N$28)*S5/12</f>
        <v>428.456619239377</v>
      </c>
      <c r="T45" s="442" t="n">
        <f aca="false">'Project Assumptions'!$N$32*(1+OM_Escal)^(T4-'Project Assumptions'!$N$28)*T5/12</f>
        <v>441.310317816558</v>
      </c>
      <c r="U45" s="442" t="n">
        <f aca="false">'Project Assumptions'!$N$32*(1+OM_Escal)^(U4-'Project Assumptions'!$N$28)*U5/12</f>
        <v>454.549627351055</v>
      </c>
      <c r="V45" s="442" t="n">
        <f aca="false">'Project Assumptions'!$N$32*(1+OM_Escal)^(V4-'Project Assumptions'!$N$28)*V5/12</f>
        <v>468.186116171586</v>
      </c>
      <c r="W45" s="442" t="n">
        <f aca="false">'Project Assumptions'!$N$32*(1+OM_Escal)^(W4-'Project Assumptions'!$N$28)*W5/12</f>
        <v>482.231699656734</v>
      </c>
      <c r="X45" s="442" t="n">
        <f aca="false">'Project Assumptions'!$N$32*(1+OM_Escal)^(X4-'Project Assumptions'!$N$28)*X5/12</f>
        <v>206.957771102682</v>
      </c>
      <c r="Y45" s="442" t="n">
        <f aca="false">'Project Assumptions'!$N$32*(1+OM_Escal)^(Y4-'Project Assumptions'!$N$28)*Y5/12</f>
        <v>0</v>
      </c>
      <c r="Z45" s="442" t="n">
        <f aca="false">'Project Assumptions'!$N$32*(1+OM_Escal)^(Z4-'Project Assumptions'!$N$28)*Z5/12</f>
        <v>0</v>
      </c>
      <c r="AA45" s="442" t="n">
        <f aca="false">'Project Assumptions'!$N$32*(1+OM_Escal)^(AA4-'Project Assumptions'!$N$28)*AA5/12</f>
        <v>0</v>
      </c>
      <c r="AB45" s="508" t="n">
        <f aca="false">'Project Assumptions'!$N$32*(1+OM_Escal)^(AB4-'Project Assumptions'!$N$28)*AB5/12</f>
        <v>0</v>
      </c>
    </row>
    <row r="46" customFormat="false" ht="12.6" hidden="false" customHeight="true" outlineLevel="0" collapsed="false">
      <c r="A46" s="642" t="n">
        <v>7</v>
      </c>
      <c r="B46" s="416" t="s">
        <v>517</v>
      </c>
      <c r="C46" s="680" t="n">
        <f aca="false">AVERAGE(D46:W46)</f>
        <v>96.8677000327746</v>
      </c>
      <c r="D46" s="442" t="n">
        <f aca="false">IF(D3&gt;ProjectLife+1,0,'Project Assumptions'!$N$33*(1+OM_Escal)^(D4-'Project Assumptions'!$N$28))</f>
        <v>72.1</v>
      </c>
      <c r="E46" s="442" t="n">
        <f aca="false">IF(E3&gt;ProjectLife+1,0,'Project Assumptions'!$N$33*(1+OM_Escal)^(E4-'Project Assumptions'!$N$28))</f>
        <v>74.263</v>
      </c>
      <c r="F46" s="442" t="n">
        <f aca="false">IF(F3&gt;ProjectLife+1,0,'Project Assumptions'!$N$33*(1+OM_Escal)^(F4-'Project Assumptions'!$N$28))</f>
        <v>76.49089</v>
      </c>
      <c r="G46" s="442" t="n">
        <f aca="false">IF(G3&gt;ProjectLife+1,0,'Project Assumptions'!$N$33*(1+OM_Escal)^(G4-'Project Assumptions'!$N$28))</f>
        <v>78.7856167</v>
      </c>
      <c r="H46" s="442" t="n">
        <f aca="false">IF(H3&gt;ProjectLife+1,0,'Project Assumptions'!$N$33*(1+OM_Escal)^(H4-'Project Assumptions'!$N$28))</f>
        <v>81.149185201</v>
      </c>
      <c r="I46" s="442" t="n">
        <f aca="false">IF(I3&gt;ProjectLife+1,0,'Project Assumptions'!$N$33*(1+OM_Escal)^(I4-'Project Assumptions'!$N$28))</f>
        <v>83.58366075703</v>
      </c>
      <c r="J46" s="442" t="n">
        <f aca="false">IF(J3&gt;ProjectLife+1,0,'Project Assumptions'!$N$33*(1+OM_Escal)^(J4-'Project Assumptions'!$N$28))</f>
        <v>86.0911705797409</v>
      </c>
      <c r="K46" s="442" t="n">
        <f aca="false">IF(K3&gt;ProjectLife+1,0,'Project Assumptions'!$N$33*(1+OM_Escal)^(K4-'Project Assumptions'!$N$28))</f>
        <v>88.6739056971332</v>
      </c>
      <c r="L46" s="442" t="n">
        <f aca="false">IF(L3&gt;ProjectLife+1,0,'Project Assumptions'!$N$33*(1+OM_Escal)^(L4-'Project Assumptions'!$N$28))</f>
        <v>91.3341228680472</v>
      </c>
      <c r="M46" s="442" t="n">
        <f aca="false">IF(M3&gt;ProjectLife+1,0,'Project Assumptions'!$N$33*(1+OM_Escal)^(M4-'Project Assumptions'!$N$28))</f>
        <v>94.0741465540886</v>
      </c>
      <c r="N46" s="442" t="n">
        <f aca="false">IF(N3&gt;ProjectLife+1,0,'Project Assumptions'!$N$33*(1+OM_Escal)^(N4-'Project Assumptions'!$N$28))</f>
        <v>96.8963709507112</v>
      </c>
      <c r="O46" s="442" t="n">
        <f aca="false">IF(O3&gt;ProjectLife+1,0,'Project Assumptions'!$N$33*(1+OM_Escal)^(O4-'Project Assumptions'!$N$28))</f>
        <v>99.8032620792326</v>
      </c>
      <c r="P46" s="442" t="n">
        <f aca="false">IF(P3&gt;ProjectLife+1,0,'Project Assumptions'!$N$33*(1+OM_Escal)^(P4-'Project Assumptions'!$N$28))</f>
        <v>102.79735994161</v>
      </c>
      <c r="Q46" s="442" t="n">
        <f aca="false">IF(Q3&gt;ProjectLife+1,0,'Project Assumptions'!$N$33*(1+OM_Escal)^(Q4-'Project Assumptions'!$N$28))</f>
        <v>105.881280739858</v>
      </c>
      <c r="R46" s="442" t="n">
        <f aca="false">IF(R3&gt;ProjectLife+1,0,'Project Assumptions'!$N$33*(1+OM_Escal)^(R4-'Project Assumptions'!$N$28))</f>
        <v>109.057719162054</v>
      </c>
      <c r="S46" s="442" t="n">
        <f aca="false">IF(S3&gt;ProjectLife+1,0,'Project Assumptions'!$N$33*(1+OM_Escal)^(S4-'Project Assumptions'!$N$28))</f>
        <v>112.329450736915</v>
      </c>
      <c r="T46" s="442" t="n">
        <f aca="false">IF(T3&gt;ProjectLife+1,0,'Project Assumptions'!$N$33*(1+OM_Escal)^(T4-'Project Assumptions'!$N$28))</f>
        <v>115.699334259023</v>
      </c>
      <c r="U46" s="442" t="n">
        <f aca="false">IF(U3&gt;ProjectLife+1,0,'Project Assumptions'!$N$33*(1+OM_Escal)^(U4-'Project Assumptions'!$N$28))</f>
        <v>119.170314286793</v>
      </c>
      <c r="V46" s="442" t="n">
        <f aca="false">IF(V3&gt;ProjectLife+1,0,'Project Assumptions'!$N$33*(1+OM_Escal)^(V4-'Project Assumptions'!$N$28))</f>
        <v>122.745423715397</v>
      </c>
      <c r="W46" s="442" t="n">
        <f aca="false">IF(W3&gt;ProjectLife+1,0,'Project Assumptions'!$N$33*(1+OM_Escal)^(W4-'Project Assumptions'!$N$28))</f>
        <v>126.427786426859</v>
      </c>
      <c r="X46" s="442" t="n">
        <f aca="false">IF(X3&gt;ProjectLife+1,0,'Project Assumptions'!$N$33*(1+OM_Escal)^(X4-'Project Assumptions'!$N$28))</f>
        <v>130.220620019665</v>
      </c>
      <c r="Y46" s="442" t="n">
        <f aca="false">IF(Y3&gt;ProjectLife+1,0,'Project Assumptions'!$N$33*(1+OM_Escal)^(Y4-'Project Assumptions'!$N$28))</f>
        <v>0</v>
      </c>
      <c r="Z46" s="442" t="n">
        <f aca="false">IF(Z3&gt;ProjectLife+1,0,'Project Assumptions'!$N$33*(1+OM_Escal)^(Z4-'Project Assumptions'!$N$28))</f>
        <v>0</v>
      </c>
      <c r="AA46" s="442" t="n">
        <f aca="false">IF(AA3&gt;ProjectLife+1,0,'Project Assumptions'!$N$33*(1+OM_Escal)^(AA4-'Project Assumptions'!$N$28))</f>
        <v>0</v>
      </c>
      <c r="AB46" s="508" t="n">
        <f aca="false">IF(AB3&gt;ProjectLife+1,0,'Project Assumptions'!$N$33*(1+OM_Escal)^(AB4-'Project Assumptions'!$N$28))</f>
        <v>0</v>
      </c>
    </row>
    <row r="47" customFormat="false" ht="12.6" hidden="false" customHeight="true" outlineLevel="0" collapsed="false">
      <c r="B47" s="416" t="s">
        <v>518</v>
      </c>
      <c r="C47" s="680" t="n">
        <f aca="false">AVERAGE(D47:W47)</f>
        <v>188.006501493184</v>
      </c>
      <c r="D47" s="442" t="n">
        <f aca="false">'Project Assumptions'!$N$34*(D5/12)*(1+OM_Escal)^(D4-'Project Assumptions'!$N$28)</f>
        <v>82.915</v>
      </c>
      <c r="E47" s="442" t="n">
        <f aca="false">'Project Assumptions'!$N$34*(E5/12)*(1+OM_Escal)^(E4-'Project Assumptions'!$N$28)</f>
        <v>146.4042</v>
      </c>
      <c r="F47" s="442" t="n">
        <f aca="false">'Project Assumptions'!$N$34*(F5/12)*(1+OM_Escal)^(F4-'Project Assumptions'!$N$28)</f>
        <v>150.796326</v>
      </c>
      <c r="G47" s="442" t="n">
        <f aca="false">'Project Assumptions'!$N$34*(G5/12)*(1+OM_Escal)^(G4-'Project Assumptions'!$N$28)</f>
        <v>155.32021578</v>
      </c>
      <c r="H47" s="442" t="n">
        <f aca="false">'Project Assumptions'!$N$34*(H5/12)*(1+OM_Escal)^(H4-'Project Assumptions'!$N$28)</f>
        <v>159.9798222534</v>
      </c>
      <c r="I47" s="442" t="n">
        <f aca="false">'Project Assumptions'!$N$34*(I5/12)*(1+OM_Escal)^(I4-'Project Assumptions'!$N$28)</f>
        <v>164.779216921002</v>
      </c>
      <c r="J47" s="442" t="n">
        <f aca="false">'Project Assumptions'!$N$34*(J5/12)*(1+OM_Escal)^(J4-'Project Assumptions'!$N$28)</f>
        <v>169.722593428632</v>
      </c>
      <c r="K47" s="442" t="n">
        <f aca="false">'Project Assumptions'!$N$34*(K5/12)*(1+OM_Escal)^(K4-'Project Assumptions'!$N$28)</f>
        <v>174.814271231491</v>
      </c>
      <c r="L47" s="442" t="n">
        <f aca="false">'Project Assumptions'!$N$34*(L5/12)*(1+OM_Escal)^(L4-'Project Assumptions'!$N$28)</f>
        <v>180.058699368436</v>
      </c>
      <c r="M47" s="442" t="n">
        <f aca="false">'Project Assumptions'!$N$34*(M5/12)*(1+OM_Escal)^(M4-'Project Assumptions'!$N$28)</f>
        <v>185.460460349489</v>
      </c>
      <c r="N47" s="442" t="n">
        <f aca="false">'Project Assumptions'!$N$34*(N5/12)*(1+OM_Escal)^(N4-'Project Assumptions'!$N$28)</f>
        <v>191.024274159974</v>
      </c>
      <c r="O47" s="442" t="n">
        <f aca="false">'Project Assumptions'!$N$34*(O5/12)*(1+OM_Escal)^(O4-'Project Assumptions'!$N$28)</f>
        <v>196.755002384773</v>
      </c>
      <c r="P47" s="442" t="n">
        <f aca="false">'Project Assumptions'!$N$34*(P5/12)*(1+OM_Escal)^(P4-'Project Assumptions'!$N$28)</f>
        <v>202.657652456316</v>
      </c>
      <c r="Q47" s="442" t="n">
        <f aca="false">'Project Assumptions'!$N$34*(Q5/12)*(1+OM_Escal)^(Q4-'Project Assumptions'!$N$28)</f>
        <v>208.737382030005</v>
      </c>
      <c r="R47" s="442" t="n">
        <f aca="false">'Project Assumptions'!$N$34*(R5/12)*(1+OM_Escal)^(R4-'Project Assumptions'!$N$28)</f>
        <v>214.999503490906</v>
      </c>
      <c r="S47" s="442" t="n">
        <f aca="false">'Project Assumptions'!$N$34*(S5/12)*(1+OM_Escal)^(S4-'Project Assumptions'!$N$28)</f>
        <v>221.449488595633</v>
      </c>
      <c r="T47" s="442" t="n">
        <f aca="false">'Project Assumptions'!$N$34*(T5/12)*(1+OM_Escal)^(T4-'Project Assumptions'!$N$28)</f>
        <v>228.092973253502</v>
      </c>
      <c r="U47" s="442" t="n">
        <f aca="false">'Project Assumptions'!$N$34*(U5/12)*(1+OM_Escal)^(U4-'Project Assumptions'!$N$28)</f>
        <v>234.935762451107</v>
      </c>
      <c r="V47" s="442" t="n">
        <f aca="false">'Project Assumptions'!$N$34*(V5/12)*(1+OM_Escal)^(V4-'Project Assumptions'!$N$28)</f>
        <v>241.98383532464</v>
      </c>
      <c r="W47" s="442" t="n">
        <f aca="false">'Project Assumptions'!$N$34*(W5/12)*(1+OM_Escal)^(W4-'Project Assumptions'!$N$28)</f>
        <v>249.243350384379</v>
      </c>
      <c r="X47" s="442" t="n">
        <f aca="false">'Project Assumptions'!$N$34*(X5/12)*(1+OM_Escal)^(X4-'Project Assumptions'!$N$28)</f>
        <v>106.966937873296</v>
      </c>
      <c r="Y47" s="442" t="n">
        <f aca="false">'Project Assumptions'!$N$34*(Y5/12)*(1+OM_Escal)^(Y4-'Project Assumptions'!$N$28)</f>
        <v>0</v>
      </c>
      <c r="Z47" s="442" t="n">
        <f aca="false">'Project Assumptions'!$N$34*(Z5/12)*(1+OM_Escal)^(Z4-'Project Assumptions'!$N$28)</f>
        <v>0</v>
      </c>
      <c r="AA47" s="442" t="n">
        <f aca="false">'Project Assumptions'!$N$34*(AA5/12)*(1+OM_Escal)^(AA4-'Project Assumptions'!$N$28)</f>
        <v>0</v>
      </c>
      <c r="AB47" s="508" t="n">
        <f aca="false">'Project Assumptions'!$N$34*(AB5/12)*(1+OM_Escal)^(AB4-'Project Assumptions'!$N$28)</f>
        <v>0</v>
      </c>
    </row>
    <row r="48" customFormat="false" ht="12.6" hidden="false" customHeight="true" outlineLevel="0" collapsed="false">
      <c r="A48" s="642" t="n">
        <v>7</v>
      </c>
      <c r="B48" s="416" t="s">
        <v>519</v>
      </c>
      <c r="C48" s="680" t="n">
        <f aca="false">AVERAGE(D48:W48)</f>
        <v>111.714008133631</v>
      </c>
      <c r="D48" s="442" t="n">
        <f aca="false">'Project Assumptions'!$N$35*(D5/12)*((1+OM_Escal)^('Book Income Statement'!D4-'Project Assumptions'!$N$6))</f>
        <v>49.2683333333333</v>
      </c>
      <c r="E48" s="442" t="n">
        <f aca="false">'Project Assumptions'!$N$35*(E5/12)*((1+OM_Escal)^('Book Income Statement'!E4-'Project Assumptions'!$N$6))</f>
        <v>86.9938</v>
      </c>
      <c r="F48" s="442" t="n">
        <f aca="false">'Project Assumptions'!$N$35*(F5/12)*((1+OM_Escal)^('Book Income Statement'!F4-'Project Assumptions'!$N$6))</f>
        <v>89.603614</v>
      </c>
      <c r="G48" s="442" t="n">
        <f aca="false">'Project Assumptions'!$N$35*(G5/12)*((1+OM_Escal)^('Book Income Statement'!G4-'Project Assumptions'!$N$6))</f>
        <v>92.29172242</v>
      </c>
      <c r="H48" s="442" t="n">
        <f aca="false">'Project Assumptions'!$N$35*(H5/12)*((1+OM_Escal)^('Book Income Statement'!H4-'Project Assumptions'!$N$6))</f>
        <v>95.0604740926</v>
      </c>
      <c r="I48" s="442" t="n">
        <f aca="false">'Project Assumptions'!$N$35*(I5/12)*((1+OM_Escal)^('Book Income Statement'!I4-'Project Assumptions'!$N$6))</f>
        <v>97.912288315378</v>
      </c>
      <c r="J48" s="442" t="n">
        <f aca="false">'Project Assumptions'!$N$35*(J5/12)*((1+OM_Escal)^('Book Income Statement'!J4-'Project Assumptions'!$N$6))</f>
        <v>100.849656964839</v>
      </c>
      <c r="K48" s="442" t="n">
        <f aca="false">'Project Assumptions'!$N$35*(K5/12)*((1+OM_Escal)^('Book Income Statement'!K4-'Project Assumptions'!$N$6))</f>
        <v>103.875146673785</v>
      </c>
      <c r="L48" s="442" t="n">
        <f aca="false">'Project Assumptions'!$N$35*(L5/12)*((1+OM_Escal)^('Book Income Statement'!L4-'Project Assumptions'!$N$6))</f>
        <v>106.991401073998</v>
      </c>
      <c r="M48" s="442" t="n">
        <f aca="false">'Project Assumptions'!$N$35*(M5/12)*((1+OM_Escal)^('Book Income Statement'!M4-'Project Assumptions'!$N$6))</f>
        <v>110.201143106218</v>
      </c>
      <c r="N48" s="442" t="n">
        <f aca="false">'Project Assumptions'!$N$35*(N5/12)*((1+OM_Escal)^('Book Income Statement'!N4-'Project Assumptions'!$N$6))</f>
        <v>113.507177399405</v>
      </c>
      <c r="O48" s="442" t="n">
        <f aca="false">'Project Assumptions'!$N$35*(O5/12)*((1+OM_Escal)^('Book Income Statement'!O4-'Project Assumptions'!$N$6))</f>
        <v>116.912392721387</v>
      </c>
      <c r="P48" s="442" t="n">
        <f aca="false">'Project Assumptions'!$N$35*(P5/12)*((1+OM_Escal)^('Book Income Statement'!P4-'Project Assumptions'!$N$6))</f>
        <v>120.419764503028</v>
      </c>
      <c r="Q48" s="442" t="n">
        <f aca="false">'Project Assumptions'!$N$35*(Q5/12)*((1+OM_Escal)^('Book Income Statement'!Q4-'Project Assumptions'!$N$6))</f>
        <v>124.032357438119</v>
      </c>
      <c r="R48" s="442" t="n">
        <f aca="false">'Project Assumptions'!$N$35*(R5/12)*((1+OM_Escal)^('Book Income Statement'!R4-'Project Assumptions'!$N$6))</f>
        <v>127.753328161263</v>
      </c>
      <c r="S48" s="442" t="n">
        <f aca="false">'Project Assumptions'!$N$35*(S5/12)*((1+OM_Escal)^('Book Income Statement'!S4-'Project Assumptions'!$N$6))</f>
        <v>131.585928006101</v>
      </c>
      <c r="T48" s="442" t="n">
        <f aca="false">'Project Assumptions'!$N$35*(T5/12)*((1+OM_Escal)^('Book Income Statement'!T4-'Project Assumptions'!$N$6))</f>
        <v>135.533505846284</v>
      </c>
      <c r="U48" s="442" t="n">
        <f aca="false">'Project Assumptions'!$N$35*(U5/12)*((1+OM_Escal)^('Book Income Statement'!U4-'Project Assumptions'!$N$6))</f>
        <v>139.599511021672</v>
      </c>
      <c r="V48" s="442" t="n">
        <f aca="false">'Project Assumptions'!$N$35*(V5/12)*((1+OM_Escal)^('Book Income Statement'!V4-'Project Assumptions'!$N$6))</f>
        <v>143.787496352322</v>
      </c>
      <c r="W48" s="442" t="n">
        <f aca="false">'Project Assumptions'!$N$35*(W5/12)*((1+OM_Escal)^('Book Income Statement'!W4-'Project Assumptions'!$N$6))</f>
        <v>148.101121242892</v>
      </c>
      <c r="X48" s="442" t="n">
        <f aca="false">'Project Assumptions'!$N$35*(X5/12)*((1+OM_Escal)^('Book Income Statement'!X4-'Project Assumptions'!$N$6))</f>
        <v>63.5600645334078</v>
      </c>
      <c r="Y48" s="442" t="n">
        <f aca="false">'Project Assumptions'!$N$35*(Y5/12)*((1+OM_Escal)^('Book Income Statement'!Y4-'Project Assumptions'!$N$6))</f>
        <v>0</v>
      </c>
      <c r="Z48" s="442" t="n">
        <f aca="false">'Project Assumptions'!$N$35*(Z5/12)*((1+OM_Escal)^('Book Income Statement'!Z4-'Project Assumptions'!$N$6))</f>
        <v>0</v>
      </c>
      <c r="AA48" s="442" t="n">
        <f aca="false">'Project Assumptions'!$N$35*(AA5/12)*((1+OM_Escal)^('Book Income Statement'!AA4-'Project Assumptions'!$N$6))</f>
        <v>0</v>
      </c>
      <c r="AB48" s="508" t="n">
        <f aca="false">'Project Assumptions'!$N$35*(AB5/12)*((1+OM_Escal)^('Book Income Statement'!AB4-'Project Assumptions'!$N$6))</f>
        <v>0</v>
      </c>
    </row>
    <row r="49" customFormat="false" ht="12.6" hidden="false" customHeight="true" outlineLevel="0" collapsed="false">
      <c r="A49" s="642" t="n">
        <v>7</v>
      </c>
      <c r="B49" s="416" t="s">
        <v>520</v>
      </c>
      <c r="C49" s="680" t="n">
        <f aca="false">AVERAGE(D49:W49)</f>
        <v>40.8709785854748</v>
      </c>
      <c r="D49" s="442" t="n">
        <f aca="false">'Project Assumptions'!$N$36*(D5/12)*((1+OM_Escal)^('Book Income Statement'!D4-'Project Assumptions'!$N$6))</f>
        <v>18.025</v>
      </c>
      <c r="E49" s="442" t="n">
        <f aca="false">'Project Assumptions'!$N$36*(E5/12)*((1+OM_Escal)^('Book Income Statement'!E4-'Project Assumptions'!$N$6))</f>
        <v>31.827</v>
      </c>
      <c r="F49" s="442" t="n">
        <f aca="false">'Project Assumptions'!$N$36*(F5/12)*((1+OM_Escal)^('Book Income Statement'!F4-'Project Assumptions'!$N$6))</f>
        <v>32.78181</v>
      </c>
      <c r="G49" s="442" t="n">
        <f aca="false">'Project Assumptions'!$N$36*(G5/12)*((1+OM_Escal)^('Book Income Statement'!G4-'Project Assumptions'!$N$6))</f>
        <v>33.7652643</v>
      </c>
      <c r="H49" s="442" t="n">
        <f aca="false">'Project Assumptions'!$N$36*(H5/12)*((1+OM_Escal)^('Book Income Statement'!H4-'Project Assumptions'!$N$6))</f>
        <v>34.778222229</v>
      </c>
      <c r="I49" s="442" t="n">
        <f aca="false">'Project Assumptions'!$N$36*(I5/12)*((1+OM_Escal)^('Book Income Statement'!I4-'Project Assumptions'!$N$6))</f>
        <v>35.82156889587</v>
      </c>
      <c r="J49" s="442" t="n">
        <f aca="false">'Project Assumptions'!$N$36*(J5/12)*((1+OM_Escal)^('Book Income Statement'!J4-'Project Assumptions'!$N$6))</f>
        <v>36.8962159627461</v>
      </c>
      <c r="K49" s="442" t="n">
        <f aca="false">'Project Assumptions'!$N$36*(K5/12)*((1+OM_Escal)^('Book Income Statement'!K4-'Project Assumptions'!$N$6))</f>
        <v>38.0031024416285</v>
      </c>
      <c r="L49" s="442" t="n">
        <f aca="false">'Project Assumptions'!$N$36*(L5/12)*((1+OM_Escal)^('Book Income Statement'!L4-'Project Assumptions'!$N$6))</f>
        <v>39.1431955148774</v>
      </c>
      <c r="M49" s="442" t="n">
        <f aca="false">'Project Assumptions'!$N$36*(M5/12)*((1+OM_Escal)^('Book Income Statement'!M4-'Project Assumptions'!$N$6))</f>
        <v>40.3174913803237</v>
      </c>
      <c r="N49" s="442" t="n">
        <f aca="false">'Project Assumptions'!$N$36*(N5/12)*((1+OM_Escal)^('Book Income Statement'!N4-'Project Assumptions'!$N$6))</f>
        <v>41.5270161217334</v>
      </c>
      <c r="O49" s="442" t="n">
        <f aca="false">'Project Assumptions'!$N$36*(O5/12)*((1+OM_Escal)^('Book Income Statement'!O4-'Project Assumptions'!$N$6))</f>
        <v>42.7728266053854</v>
      </c>
      <c r="P49" s="442" t="n">
        <f aca="false">'Project Assumptions'!$N$36*(P5/12)*((1+OM_Escal)^('Book Income Statement'!P4-'Project Assumptions'!$N$6))</f>
        <v>44.056011403547</v>
      </c>
      <c r="Q49" s="442" t="n">
        <f aca="false">'Project Assumptions'!$N$36*(Q5/12)*((1+OM_Escal)^('Book Income Statement'!Q4-'Project Assumptions'!$N$6))</f>
        <v>45.3776917456534</v>
      </c>
      <c r="R49" s="442" t="n">
        <f aca="false">'Project Assumptions'!$N$36*(R5/12)*((1+OM_Escal)^('Book Income Statement'!R4-'Project Assumptions'!$N$6))</f>
        <v>46.739022498023</v>
      </c>
      <c r="S49" s="442" t="n">
        <f aca="false">'Project Assumptions'!$N$36*(S5/12)*((1+OM_Escal)^('Book Income Statement'!S4-'Project Assumptions'!$N$6))</f>
        <v>48.1411931729636</v>
      </c>
      <c r="T49" s="442" t="n">
        <f aca="false">'Project Assumptions'!$N$36*(T5/12)*((1+OM_Escal)^('Book Income Statement'!T4-'Project Assumptions'!$N$6))</f>
        <v>49.5854289681526</v>
      </c>
      <c r="U49" s="442" t="n">
        <f aca="false">'Project Assumptions'!$N$36*(U5/12)*((1+OM_Escal)^('Book Income Statement'!U4-'Project Assumptions'!$N$6))</f>
        <v>51.0729918371971</v>
      </c>
      <c r="V49" s="442" t="n">
        <f aca="false">'Project Assumptions'!$N$36*(V5/12)*((1+OM_Escal)^('Book Income Statement'!V4-'Project Assumptions'!$N$6))</f>
        <v>52.605181592313</v>
      </c>
      <c r="W49" s="442" t="n">
        <f aca="false">'Project Assumptions'!$N$36*(W5/12)*((1+OM_Escal)^('Book Income Statement'!W4-'Project Assumptions'!$N$6))</f>
        <v>54.1833370400824</v>
      </c>
      <c r="X49" s="442" t="n">
        <f aca="false">'Project Assumptions'!$N$36*(X5/12)*((1+OM_Escal)^('Book Income Statement'!X4-'Project Assumptions'!$N$6))</f>
        <v>23.2536821463687</v>
      </c>
      <c r="Y49" s="442" t="n">
        <f aca="false">'Project Assumptions'!$N$36*(Y5/12)*((1+OM_Escal)^('Book Income Statement'!Y4-'Project Assumptions'!$N$6))</f>
        <v>0</v>
      </c>
      <c r="Z49" s="442" t="n">
        <f aca="false">'Project Assumptions'!$N$36*(Z5/12)*((1+OM_Escal)^('Book Income Statement'!Z4-'Project Assumptions'!$N$6))</f>
        <v>0</v>
      </c>
      <c r="AA49" s="442" t="n">
        <f aca="false">'Project Assumptions'!$N$36*(AA5/12)*((1+OM_Escal)^('Book Income Statement'!AA4-'Project Assumptions'!$N$6))</f>
        <v>0</v>
      </c>
      <c r="AB49" s="508" t="n">
        <f aca="false">'Project Assumptions'!$N$36*(AB5/12)*((1+OM_Escal)^('Book Income Statement'!AB4-'Project Assumptions'!$N$6))</f>
        <v>0</v>
      </c>
    </row>
    <row r="50" customFormat="false" ht="12.6" hidden="false" customHeight="true" outlineLevel="0" collapsed="false">
      <c r="A50" s="642" t="n">
        <v>7</v>
      </c>
      <c r="B50" s="416" t="s">
        <v>521</v>
      </c>
      <c r="C50" s="676" t="n">
        <f aca="false">AVERAGE(D50:W50)</f>
        <v>102.177446463687</v>
      </c>
      <c r="D50" s="490" t="n">
        <f aca="false">'Project Assumptions'!$N$37*(D5/12)*((1+OM_Escal)^('Book Income Statement'!D4-'Project Assumptions'!$N$28))</f>
        <v>45.0625</v>
      </c>
      <c r="E50" s="490" t="n">
        <f aca="false">'Project Assumptions'!$N$37*(E5/12)*((1+OM_Escal)^('Book Income Statement'!E4-'Project Assumptions'!$N$28))</f>
        <v>79.5675</v>
      </c>
      <c r="F50" s="490" t="n">
        <f aca="false">'Project Assumptions'!$N$37*(F5/12)*((1+OM_Escal)^('Book Income Statement'!F4-'Project Assumptions'!$N$28))</f>
        <v>81.954525</v>
      </c>
      <c r="G50" s="490" t="n">
        <f aca="false">'Project Assumptions'!$N$37*(G5/12)*((1+OM_Escal)^('Book Income Statement'!G4-'Project Assumptions'!$N$28))</f>
        <v>84.41316075</v>
      </c>
      <c r="H50" s="490" t="n">
        <f aca="false">'Project Assumptions'!$N$37*(H5/12)*((1+OM_Escal)^('Book Income Statement'!H4-'Project Assumptions'!$N$28))</f>
        <v>86.9455555725</v>
      </c>
      <c r="I50" s="490" t="n">
        <f aca="false">'Project Assumptions'!$N$37*(I5/12)*((1+OM_Escal)^('Book Income Statement'!I4-'Project Assumptions'!$N$28))</f>
        <v>89.553922239675</v>
      </c>
      <c r="J50" s="490" t="n">
        <f aca="false">'Project Assumptions'!$N$37*(J5/12)*((1+OM_Escal)^('Book Income Statement'!J4-'Project Assumptions'!$N$28))</f>
        <v>92.2405399068653</v>
      </c>
      <c r="K50" s="490" t="n">
        <f aca="false">'Project Assumptions'!$N$37*(K5/12)*((1+OM_Escal)^('Book Income Statement'!K4-'Project Assumptions'!$N$28))</f>
        <v>95.0077561040712</v>
      </c>
      <c r="L50" s="490" t="n">
        <f aca="false">'Project Assumptions'!$N$37*(L5/12)*((1+OM_Escal)^('Book Income Statement'!L4-'Project Assumptions'!$N$28))</f>
        <v>97.8579887871934</v>
      </c>
      <c r="M50" s="490" t="n">
        <f aca="false">'Project Assumptions'!$N$37*(M5/12)*((1+OM_Escal)^('Book Income Statement'!M4-'Project Assumptions'!$N$28))</f>
        <v>100.793728450809</v>
      </c>
      <c r="N50" s="490" t="n">
        <f aca="false">'Project Assumptions'!$N$37*(N5/12)*((1+OM_Escal)^('Book Income Statement'!N4-'Project Assumptions'!$N$28))</f>
        <v>103.817540304333</v>
      </c>
      <c r="O50" s="490" t="n">
        <f aca="false">'Project Assumptions'!$N$37*(O5/12)*((1+OM_Escal)^('Book Income Statement'!O4-'Project Assumptions'!$N$28))</f>
        <v>106.932066513463</v>
      </c>
      <c r="P50" s="490" t="n">
        <f aca="false">'Project Assumptions'!$N$37*(P5/12)*((1+OM_Escal)^('Book Income Statement'!P4-'Project Assumptions'!$N$28))</f>
        <v>110.140028508867</v>
      </c>
      <c r="Q50" s="490" t="n">
        <f aca="false">'Project Assumptions'!$N$37*(Q5/12)*((1+OM_Escal)^('Book Income Statement'!Q4-'Project Assumptions'!$N$28))</f>
        <v>113.444229364133</v>
      </c>
      <c r="R50" s="490" t="n">
        <f aca="false">'Project Assumptions'!$N$37*(R5/12)*((1+OM_Escal)^('Book Income Statement'!R4-'Project Assumptions'!$N$28))</f>
        <v>116.847556245057</v>
      </c>
      <c r="S50" s="490" t="n">
        <f aca="false">'Project Assumptions'!$N$37*(S5/12)*((1+OM_Escal)^('Book Income Statement'!S4-'Project Assumptions'!$N$28))</f>
        <v>120.352982932409</v>
      </c>
      <c r="T50" s="490" t="n">
        <f aca="false">'Project Assumptions'!$N$37*(T5/12)*((1+OM_Escal)^('Book Income Statement'!T4-'Project Assumptions'!$N$28))</f>
        <v>123.963572420381</v>
      </c>
      <c r="U50" s="490" t="n">
        <f aca="false">'Project Assumptions'!$N$37*(U5/12)*((1+OM_Escal)^('Book Income Statement'!U4-'Project Assumptions'!$N$28))</f>
        <v>127.682479592993</v>
      </c>
      <c r="V50" s="490" t="n">
        <f aca="false">'Project Assumptions'!$N$37*(V5/12)*((1+OM_Escal)^('Book Income Statement'!V4-'Project Assumptions'!$N$28))</f>
        <v>131.512953980783</v>
      </c>
      <c r="W50" s="490" t="n">
        <f aca="false">'Project Assumptions'!$N$37*(W5/12)*((1+OM_Escal)^('Book Income Statement'!W4-'Project Assumptions'!$N$28))</f>
        <v>135.458342600206</v>
      </c>
      <c r="X50" s="490" t="n">
        <f aca="false">'Project Assumptions'!$N$37*(X5/12)*((1+OM_Escal)^('Book Income Statement'!X4-'Project Assumptions'!$N$28))</f>
        <v>58.1342053659218</v>
      </c>
      <c r="Y50" s="490" t="n">
        <f aca="false">'Project Assumptions'!$N$37*(Y5/12)*((1+OM_Escal)^('Book Income Statement'!Y4-'Project Assumptions'!$N$28))</f>
        <v>0</v>
      </c>
      <c r="Z50" s="490" t="n">
        <f aca="false">'Project Assumptions'!$N$37*(Z5/12)*((1+OM_Escal)^('Book Income Statement'!Z4-'Project Assumptions'!$N$28))</f>
        <v>0</v>
      </c>
      <c r="AA50" s="490" t="n">
        <f aca="false">'Project Assumptions'!$N$37*(AA5/12)*((1+OM_Escal)^('Book Income Statement'!AA4-'Project Assumptions'!$N$28))</f>
        <v>0</v>
      </c>
      <c r="AB50" s="491" t="n">
        <f aca="false">'Project Assumptions'!$N$37*(AB5/12)*((1+OM_Escal)^('Book Income Statement'!AB4-'Project Assumptions'!$N$28))</f>
        <v>0</v>
      </c>
    </row>
    <row r="51" customFormat="false" ht="15" hidden="false" customHeight="true" outlineLevel="0" collapsed="false">
      <c r="B51" s="666" t="s">
        <v>522</v>
      </c>
      <c r="C51" s="641"/>
      <c r="D51" s="685" t="n">
        <f aca="false">D45+SUM(D46:D50)</f>
        <v>427.793333333333</v>
      </c>
      <c r="E51" s="685" t="n">
        <f aca="false">E45+SUM(E46:E50)</f>
        <v>702.3158</v>
      </c>
      <c r="F51" s="685" t="n">
        <f aca="false">F45+SUM(F46:F50)</f>
        <v>723.385274</v>
      </c>
      <c r="G51" s="685" t="n">
        <f aca="false">G45+SUM(G46:G50)</f>
        <v>745.08683222</v>
      </c>
      <c r="H51" s="685" t="n">
        <f aca="false">H45+SUM(H46:H50)</f>
        <v>767.4394371866</v>
      </c>
      <c r="I51" s="685" t="n">
        <f aca="false">I45+SUM(I46:I50)</f>
        <v>790.462620302198</v>
      </c>
      <c r="J51" s="685" t="n">
        <f aca="false">J45+SUM(J46:J50)</f>
        <v>814.176498911264</v>
      </c>
      <c r="K51" s="685" t="n">
        <f aca="false">K45+SUM(K46:K50)</f>
        <v>838.601793878602</v>
      </c>
      <c r="L51" s="685" t="n">
        <f aca="false">L45+SUM(L46:L50)</f>
        <v>863.75984769496</v>
      </c>
      <c r="M51" s="685" t="n">
        <f aca="false">M45+SUM(M46:M50)</f>
        <v>889.672643125809</v>
      </c>
      <c r="N51" s="685" t="n">
        <f aca="false">N45+SUM(N46:N50)</f>
        <v>916.362822419583</v>
      </c>
      <c r="O51" s="685" t="n">
        <f aca="false">O45+SUM(O46:O50)</f>
        <v>943.853707092171</v>
      </c>
      <c r="P51" s="685" t="n">
        <f aca="false">P45+SUM(P46:P50)</f>
        <v>972.169318304936</v>
      </c>
      <c r="Q51" s="685" t="n">
        <f aca="false">Q45+SUM(Q46:Q50)</f>
        <v>1001.33439785408</v>
      </c>
      <c r="R51" s="685" t="n">
        <f aca="false">R45+SUM(R46:R50)</f>
        <v>1031.37442978971</v>
      </c>
      <c r="S51" s="685" t="n">
        <f aca="false">S45+SUM(S46:S50)</f>
        <v>1062.3156626834</v>
      </c>
      <c r="T51" s="685" t="n">
        <f aca="false">T45+SUM(T46:T50)</f>
        <v>1094.1851325639</v>
      </c>
      <c r="U51" s="685" t="n">
        <f aca="false">U45+SUM(U46:U50)</f>
        <v>1127.01068654082</v>
      </c>
      <c r="V51" s="685" t="n">
        <f aca="false">V45+SUM(V46:V50)</f>
        <v>1160.82100713704</v>
      </c>
      <c r="W51" s="685" t="n">
        <f aca="false">W45+SUM(W46:W50)</f>
        <v>1195.64563735115</v>
      </c>
      <c r="X51" s="685" t="n">
        <f aca="false">X45+SUM(X46:X50)</f>
        <v>589.093281041341</v>
      </c>
      <c r="Y51" s="685" t="n">
        <f aca="false">Y45+SUM(Y46:Y50)</f>
        <v>0</v>
      </c>
      <c r="Z51" s="685" t="n">
        <f aca="false">Z45+SUM(Z46:Z50)</f>
        <v>0</v>
      </c>
      <c r="AA51" s="685" t="n">
        <f aca="false">AA45+SUM(AA46:AA50)</f>
        <v>0</v>
      </c>
      <c r="AB51" s="686" t="n">
        <f aca="false">AB45+SUM(AB46:AB50)</f>
        <v>0</v>
      </c>
    </row>
    <row r="52" customFormat="false" ht="12.6" hidden="false" customHeight="true" outlineLevel="0" collapsed="false">
      <c r="B52" s="416"/>
      <c r="D52" s="490"/>
      <c r="E52" s="490"/>
      <c r="F52" s="490"/>
      <c r="G52" s="490"/>
      <c r="H52" s="490"/>
      <c r="I52" s="490"/>
      <c r="J52" s="490"/>
      <c r="K52" s="490"/>
      <c r="L52" s="490"/>
      <c r="M52" s="490"/>
      <c r="N52" s="490"/>
      <c r="O52" s="490"/>
      <c r="P52" s="490"/>
      <c r="Q52" s="490"/>
      <c r="R52" s="490"/>
      <c r="S52" s="490"/>
      <c r="T52" s="490"/>
      <c r="U52" s="490"/>
      <c r="V52" s="490"/>
      <c r="W52" s="490"/>
      <c r="X52" s="490"/>
      <c r="Y52" s="490"/>
      <c r="Z52" s="490"/>
      <c r="AA52" s="490"/>
      <c r="AB52" s="491"/>
    </row>
    <row r="53" customFormat="false" ht="12.6" hidden="false" customHeight="true" outlineLevel="0" collapsed="false">
      <c r="A53" s="642" t="n">
        <v>8</v>
      </c>
      <c r="B53" s="666" t="s">
        <v>523</v>
      </c>
      <c r="C53" s="687" t="n">
        <f aca="false">AVERAGE(D53:W53)</f>
        <v>245.60635648</v>
      </c>
      <c r="D53" s="678" t="n">
        <f aca="false">IF(D3&gt;'Project Assumptions'!$I$15+1,0,Depreciation!D51)</f>
        <v>245.60635648</v>
      </c>
      <c r="E53" s="678" t="n">
        <f aca="false">IF(E3&gt;'Project Assumptions'!$I$15+1,0,Depreciation!E51)</f>
        <v>245.60635648</v>
      </c>
      <c r="F53" s="678" t="n">
        <f aca="false">IF(F3&gt;'Project Assumptions'!$I$15+1,0,Depreciation!F51)</f>
        <v>245.60635648</v>
      </c>
      <c r="G53" s="678" t="n">
        <f aca="false">IF(G3&gt;'Project Assumptions'!$I$15+1,0,Depreciation!G51)</f>
        <v>245.60635648</v>
      </c>
      <c r="H53" s="678" t="n">
        <f aca="false">IF(H3&gt;'Project Assumptions'!$I$15+1,0,Depreciation!H51)</f>
        <v>245.60635648</v>
      </c>
      <c r="I53" s="678" t="n">
        <f aca="false">IF(I3&gt;'Project Assumptions'!$I$15+1,0,Depreciation!I51)</f>
        <v>245.60635648</v>
      </c>
      <c r="J53" s="678" t="n">
        <f aca="false">IF(J3&gt;'Project Assumptions'!$I$15+1,0,Depreciation!J51)</f>
        <v>245.60635648</v>
      </c>
      <c r="K53" s="678" t="n">
        <f aca="false">IF(K3&gt;'Project Assumptions'!$I$15+1,0,Depreciation!K51)</f>
        <v>245.60635648</v>
      </c>
      <c r="L53" s="678" t="n">
        <f aca="false">IF(L3&gt;'Project Assumptions'!$I$15+1,0,Depreciation!L51)</f>
        <v>245.60635648</v>
      </c>
      <c r="M53" s="678" t="n">
        <f aca="false">IF(M3&gt;'Project Assumptions'!$I$15+1,0,Depreciation!M51)</f>
        <v>245.60635648</v>
      </c>
      <c r="N53" s="678" t="n">
        <f aca="false">IF(N3&gt;'Project Assumptions'!$I$15+1,0,Depreciation!N51)</f>
        <v>245.60635648</v>
      </c>
      <c r="O53" s="678" t="n">
        <f aca="false">IF(O3&gt;'Project Assumptions'!$I$15+1,0,Depreciation!O51)</f>
        <v>245.60635648</v>
      </c>
      <c r="P53" s="678" t="n">
        <f aca="false">IF(P3&gt;'Project Assumptions'!$I$15+1,0,Depreciation!P51)</f>
        <v>245.60635648</v>
      </c>
      <c r="Q53" s="678" t="n">
        <f aca="false">IF(Q3&gt;'Project Assumptions'!$I$15+1,0,Depreciation!Q51)</f>
        <v>245.60635648</v>
      </c>
      <c r="R53" s="678" t="n">
        <f aca="false">IF(R3&gt;'Project Assumptions'!$I$15+1,0,Depreciation!R51)</f>
        <v>245.60635648</v>
      </c>
      <c r="S53" s="678" t="n">
        <f aca="false">IF(S3&gt;'Project Assumptions'!$I$15+1,0,Depreciation!S51)</f>
        <v>245.60635648</v>
      </c>
      <c r="T53" s="678" t="n">
        <f aca="false">IF(T3&gt;'Project Assumptions'!$I$15+1,0,Depreciation!T51)</f>
        <v>245.60635648</v>
      </c>
      <c r="U53" s="678" t="n">
        <f aca="false">IF(U3&gt;'Project Assumptions'!$I$15+1,0,Depreciation!U51)</f>
        <v>245.60635648</v>
      </c>
      <c r="V53" s="678" t="n">
        <f aca="false">IF(V3&gt;'Project Assumptions'!$I$15+1,0,Depreciation!V51)</f>
        <v>245.60635648</v>
      </c>
      <c r="W53" s="678" t="n">
        <f aca="false">IF(W3&gt;'Project Assumptions'!$I$15+1,0,Depreciation!W51)</f>
        <v>245.60635648</v>
      </c>
      <c r="X53" s="678" t="n">
        <f aca="false">IF(X3&gt;'Project Assumptions'!$I$15+1+1,0,Depreciation!X51)</f>
        <v>245.60635648</v>
      </c>
      <c r="Y53" s="678" t="n">
        <f aca="false">IF(Y3&gt;'Project Assumptions'!$I$15+1,0,Depreciation!Y51)</f>
        <v>0</v>
      </c>
      <c r="Z53" s="678" t="n">
        <f aca="false">IF(Z3&gt;'Project Assumptions'!$I$15+1,0,Depreciation!Z51)</f>
        <v>0</v>
      </c>
      <c r="AA53" s="678" t="n">
        <f aca="false">IF(AA3&gt;'Project Assumptions'!$I$15+1,0,Depreciation!AA51)</f>
        <v>0</v>
      </c>
      <c r="AB53" s="679" t="n">
        <f aca="false">IF(AB3&gt;'Project Assumptions'!$I$15+1,0,Depreciation!AB51)</f>
        <v>0</v>
      </c>
    </row>
    <row r="54" customFormat="false" ht="12.6" hidden="false" customHeight="true" outlineLevel="0" collapsed="false">
      <c r="B54" s="666"/>
      <c r="D54" s="688"/>
      <c r="E54" s="688"/>
      <c r="F54" s="688"/>
      <c r="G54" s="688"/>
      <c r="H54" s="688"/>
      <c r="I54" s="688"/>
      <c r="J54" s="688"/>
      <c r="K54" s="688"/>
      <c r="L54" s="688"/>
      <c r="M54" s="688"/>
      <c r="N54" s="688"/>
      <c r="O54" s="688"/>
      <c r="P54" s="688"/>
      <c r="Q54" s="688"/>
      <c r="R54" s="688"/>
      <c r="S54" s="688"/>
      <c r="T54" s="688"/>
      <c r="U54" s="688"/>
      <c r="V54" s="688"/>
      <c r="W54" s="688"/>
      <c r="X54" s="688"/>
      <c r="Y54" s="688"/>
      <c r="Z54" s="688"/>
      <c r="AA54" s="688"/>
      <c r="AB54" s="689"/>
    </row>
    <row r="55" customFormat="false" ht="12.6" hidden="false" customHeight="true" outlineLevel="0" collapsed="false">
      <c r="B55" s="666" t="s">
        <v>524</v>
      </c>
      <c r="D55" s="688"/>
      <c r="E55" s="688"/>
      <c r="F55" s="688"/>
      <c r="G55" s="688"/>
      <c r="H55" s="688"/>
      <c r="I55" s="688"/>
      <c r="J55" s="688"/>
      <c r="K55" s="688"/>
      <c r="L55" s="688"/>
      <c r="M55" s="688"/>
      <c r="N55" s="688"/>
      <c r="O55" s="688"/>
      <c r="P55" s="688"/>
      <c r="Q55" s="688"/>
      <c r="R55" s="688"/>
      <c r="S55" s="688"/>
      <c r="T55" s="688"/>
      <c r="U55" s="688"/>
      <c r="V55" s="688"/>
      <c r="W55" s="688"/>
      <c r="X55" s="688"/>
      <c r="Y55" s="688"/>
      <c r="Z55" s="688"/>
      <c r="AA55" s="688"/>
      <c r="AB55" s="689"/>
    </row>
    <row r="56" customFormat="false" ht="12.6" hidden="false" customHeight="true" outlineLevel="0" collapsed="false">
      <c r="A56" s="642" t="n">
        <v>8</v>
      </c>
      <c r="B56" s="416" t="s">
        <v>525</v>
      </c>
      <c r="C56" s="674" t="n">
        <f aca="false">AVERAGE(D56:W56)</f>
        <v>0</v>
      </c>
      <c r="D56" s="690" t="n">
        <f aca="false">'Tax Calculations'!D10</f>
        <v>0</v>
      </c>
      <c r="E56" s="690" t="n">
        <f aca="false">'Tax Calculations'!E10</f>
        <v>0</v>
      </c>
      <c r="F56" s="690" t="n">
        <f aca="false">'Tax Calculations'!F10</f>
        <v>0</v>
      </c>
      <c r="G56" s="690" t="n">
        <f aca="false">'Tax Calculations'!G10</f>
        <v>0</v>
      </c>
      <c r="H56" s="690" t="n">
        <f aca="false">'Tax Calculations'!H10</f>
        <v>0</v>
      </c>
      <c r="I56" s="690" t="n">
        <f aca="false">'Tax Calculations'!I10</f>
        <v>0</v>
      </c>
      <c r="J56" s="690" t="n">
        <f aca="false">'Tax Calculations'!J10</f>
        <v>0</v>
      </c>
      <c r="K56" s="690" t="n">
        <f aca="false">'Tax Calculations'!K10</f>
        <v>0</v>
      </c>
      <c r="L56" s="690" t="n">
        <f aca="false">'Tax Calculations'!L10</f>
        <v>0</v>
      </c>
      <c r="M56" s="690" t="n">
        <f aca="false">'Tax Calculations'!M10</f>
        <v>0</v>
      </c>
      <c r="N56" s="690" t="n">
        <f aca="false">'Tax Calculations'!N10</f>
        <v>0</v>
      </c>
      <c r="O56" s="690" t="n">
        <f aca="false">'Tax Calculations'!O10</f>
        <v>0</v>
      </c>
      <c r="P56" s="690" t="n">
        <f aca="false">'Tax Calculations'!P10</f>
        <v>0</v>
      </c>
      <c r="Q56" s="690" t="n">
        <f aca="false">'Tax Calculations'!Q10</f>
        <v>0</v>
      </c>
      <c r="R56" s="690" t="n">
        <f aca="false">'Tax Calculations'!R10</f>
        <v>0</v>
      </c>
      <c r="S56" s="690" t="n">
        <f aca="false">'Tax Calculations'!S10</f>
        <v>0</v>
      </c>
      <c r="T56" s="690" t="n">
        <f aca="false">'Tax Calculations'!T10</f>
        <v>0</v>
      </c>
      <c r="U56" s="690" t="n">
        <f aca="false">'Tax Calculations'!U10</f>
        <v>0</v>
      </c>
      <c r="V56" s="690" t="n">
        <f aca="false">'Tax Calculations'!V10</f>
        <v>0</v>
      </c>
      <c r="W56" s="690" t="n">
        <f aca="false">'Tax Calculations'!W10</f>
        <v>0</v>
      </c>
      <c r="X56" s="690" t="n">
        <f aca="false">'Tax Calculations'!X10</f>
        <v>0</v>
      </c>
      <c r="Y56" s="690" t="n">
        <f aca="false">'Tax Calculations'!Y10</f>
        <v>0</v>
      </c>
      <c r="Z56" s="690" t="n">
        <f aca="false">'Tax Calculations'!Z10</f>
        <v>0</v>
      </c>
      <c r="AA56" s="690" t="n">
        <f aca="false">'Tax Calculations'!AA10</f>
        <v>0</v>
      </c>
      <c r="AB56" s="691" t="n">
        <f aca="false">'Tax Calculations'!AB10</f>
        <v>0</v>
      </c>
    </row>
    <row r="57" customFormat="false" ht="12.6" hidden="false" customHeight="true" outlineLevel="0" collapsed="false">
      <c r="A57" s="642" t="n">
        <v>8</v>
      </c>
      <c r="B57" s="416" t="s">
        <v>526</v>
      </c>
      <c r="C57" s="681" t="n">
        <f aca="false">AVERAGE(D57:W57)</f>
        <v>0</v>
      </c>
      <c r="D57" s="688" t="n">
        <f aca="false">'Tax Calculations'!D15</f>
        <v>0</v>
      </c>
      <c r="E57" s="688" t="n">
        <f aca="false">'Tax Calculations'!E15</f>
        <v>0</v>
      </c>
      <c r="F57" s="688" t="n">
        <f aca="false">'Tax Calculations'!F15</f>
        <v>0</v>
      </c>
      <c r="G57" s="688" t="n">
        <f aca="false">'Tax Calculations'!G15</f>
        <v>0</v>
      </c>
      <c r="H57" s="688" t="n">
        <f aca="false">'Tax Calculations'!H15</f>
        <v>0</v>
      </c>
      <c r="I57" s="688" t="n">
        <f aca="false">'Tax Calculations'!I15</f>
        <v>0</v>
      </c>
      <c r="J57" s="688" t="n">
        <f aca="false">'Tax Calculations'!J15</f>
        <v>0</v>
      </c>
      <c r="K57" s="688" t="n">
        <f aca="false">'Tax Calculations'!K15</f>
        <v>0</v>
      </c>
      <c r="L57" s="688" t="n">
        <f aca="false">'Tax Calculations'!L15</f>
        <v>0</v>
      </c>
      <c r="M57" s="688" t="n">
        <f aca="false">'Tax Calculations'!M15</f>
        <v>0</v>
      </c>
      <c r="N57" s="688" t="n">
        <f aca="false">'Tax Calculations'!N15</f>
        <v>0</v>
      </c>
      <c r="O57" s="688" t="n">
        <f aca="false">'Tax Calculations'!O15</f>
        <v>0</v>
      </c>
      <c r="P57" s="688" t="n">
        <f aca="false">'Tax Calculations'!P15</f>
        <v>0</v>
      </c>
      <c r="Q57" s="688" t="n">
        <f aca="false">'Tax Calculations'!Q15</f>
        <v>0</v>
      </c>
      <c r="R57" s="688" t="n">
        <f aca="false">'Tax Calculations'!R15</f>
        <v>0</v>
      </c>
      <c r="S57" s="688" t="n">
        <f aca="false">'Tax Calculations'!S15</f>
        <v>0</v>
      </c>
      <c r="T57" s="688" t="n">
        <f aca="false">'Tax Calculations'!T15</f>
        <v>0</v>
      </c>
      <c r="U57" s="688" t="n">
        <f aca="false">'Tax Calculations'!U15</f>
        <v>0</v>
      </c>
      <c r="V57" s="688" t="n">
        <f aca="false">'Tax Calculations'!V15</f>
        <v>0</v>
      </c>
      <c r="W57" s="688" t="n">
        <f aca="false">'Tax Calculations'!W15</f>
        <v>0</v>
      </c>
      <c r="X57" s="688" t="n">
        <f aca="false">'Tax Calculations'!X15</f>
        <v>0</v>
      </c>
      <c r="Y57" s="688" t="n">
        <f aca="false">'Tax Calculations'!Y15</f>
        <v>0</v>
      </c>
      <c r="Z57" s="688" t="n">
        <f aca="false">'Tax Calculations'!Z15</f>
        <v>0</v>
      </c>
      <c r="AA57" s="688" t="n">
        <f aca="false">'Tax Calculations'!AA15</f>
        <v>0</v>
      </c>
      <c r="AB57" s="689" t="n">
        <f aca="false">'Tax Calculations'!AB15</f>
        <v>0</v>
      </c>
    </row>
    <row r="58" customFormat="false" ht="12.6" hidden="false" customHeight="true" outlineLevel="0" collapsed="false">
      <c r="B58" s="666" t="s">
        <v>369</v>
      </c>
      <c r="C58" s="676" t="n">
        <f aca="false">AVERAGE(D58:W58)</f>
        <v>0</v>
      </c>
      <c r="D58" s="692" t="n">
        <f aca="false">SUM(D56:D57)</f>
        <v>0</v>
      </c>
      <c r="E58" s="692" t="n">
        <f aca="false">SUM(E56:E57)</f>
        <v>0</v>
      </c>
      <c r="F58" s="692" t="n">
        <f aca="false">SUM(F56:F57)</f>
        <v>0</v>
      </c>
      <c r="G58" s="692" t="n">
        <f aca="false">SUM(G56:G57)</f>
        <v>0</v>
      </c>
      <c r="H58" s="692" t="n">
        <f aca="false">SUM(H56:H57)</f>
        <v>0</v>
      </c>
      <c r="I58" s="692" t="n">
        <f aca="false">SUM(I56:I57)</f>
        <v>0</v>
      </c>
      <c r="J58" s="692" t="n">
        <f aca="false">SUM(J56:J57)</f>
        <v>0</v>
      </c>
      <c r="K58" s="692" t="n">
        <f aca="false">SUM(K56:K57)</f>
        <v>0</v>
      </c>
      <c r="L58" s="692" t="n">
        <f aca="false">SUM(L56:L57)</f>
        <v>0</v>
      </c>
      <c r="M58" s="692" t="n">
        <f aca="false">SUM(M56:M57)</f>
        <v>0</v>
      </c>
      <c r="N58" s="692" t="n">
        <f aca="false">SUM(N56:N57)</f>
        <v>0</v>
      </c>
      <c r="O58" s="692" t="n">
        <f aca="false">SUM(O56:O57)</f>
        <v>0</v>
      </c>
      <c r="P58" s="692" t="n">
        <f aca="false">SUM(P56:P57)</f>
        <v>0</v>
      </c>
      <c r="Q58" s="692" t="n">
        <f aca="false">SUM(Q56:Q57)</f>
        <v>0</v>
      </c>
      <c r="R58" s="692" t="n">
        <f aca="false">SUM(R56:R57)</f>
        <v>0</v>
      </c>
      <c r="S58" s="692" t="n">
        <f aca="false">SUM(S56:S57)</f>
        <v>0</v>
      </c>
      <c r="T58" s="692" t="n">
        <f aca="false">SUM(T56:T57)</f>
        <v>0</v>
      </c>
      <c r="U58" s="692" t="n">
        <f aca="false">SUM(U56:U57)</f>
        <v>0</v>
      </c>
      <c r="V58" s="692" t="n">
        <f aca="false">SUM(V56:V57)</f>
        <v>0</v>
      </c>
      <c r="W58" s="692" t="n">
        <f aca="false">SUM(W56:W57)</f>
        <v>0</v>
      </c>
      <c r="X58" s="692" t="n">
        <f aca="false">SUM(X56:X57)</f>
        <v>0</v>
      </c>
      <c r="Y58" s="692" t="n">
        <f aca="false">SUM(Y56:Y57)</f>
        <v>0</v>
      </c>
      <c r="Z58" s="692" t="n">
        <f aca="false">SUM(Z56:Z57)</f>
        <v>0</v>
      </c>
      <c r="AA58" s="692" t="n">
        <f aca="false">SUM(AA56:AA57)</f>
        <v>0</v>
      </c>
      <c r="AB58" s="693" t="n">
        <f aca="false">SUM(AB56:AB57)</f>
        <v>0</v>
      </c>
    </row>
    <row r="59" customFormat="false" ht="12.6" hidden="false" customHeight="true" outlineLevel="0" collapsed="false">
      <c r="B59" s="416"/>
      <c r="D59" s="490"/>
      <c r="E59" s="490"/>
      <c r="F59" s="490"/>
      <c r="G59" s="490"/>
      <c r="H59" s="490"/>
      <c r="I59" s="490"/>
      <c r="J59" s="490"/>
      <c r="K59" s="490"/>
      <c r="L59" s="490"/>
      <c r="M59" s="490"/>
      <c r="N59" s="490"/>
      <c r="O59" s="490"/>
      <c r="P59" s="490"/>
      <c r="Q59" s="490"/>
      <c r="R59" s="490"/>
      <c r="S59" s="490"/>
      <c r="T59" s="490"/>
      <c r="U59" s="490"/>
      <c r="V59" s="490"/>
      <c r="W59" s="490"/>
      <c r="X59" s="490"/>
      <c r="Y59" s="490"/>
      <c r="Z59" s="490"/>
      <c r="AA59" s="490"/>
      <c r="AB59" s="491"/>
    </row>
    <row r="60" customFormat="false" ht="12.6" hidden="false" customHeight="true" outlineLevel="0" collapsed="false">
      <c r="B60" s="658" t="s">
        <v>527</v>
      </c>
      <c r="C60" s="492"/>
      <c r="D60" s="694" t="n">
        <f aca="false">D29+D34+D42+D51+D53+D58</f>
        <v>21358.369035191</v>
      </c>
      <c r="E60" s="694" t="n">
        <f aca="false">E29+E34+E42+E51+E53+E58</f>
        <v>22387.7700327663</v>
      </c>
      <c r="F60" s="694" t="n">
        <f aca="false">F29+F34+F42+F51+F53+F58</f>
        <v>22551.2275034256</v>
      </c>
      <c r="G60" s="694" t="n">
        <f aca="false">G29+G34+G42+G51+G53+G58</f>
        <v>23357.2185062057</v>
      </c>
      <c r="H60" s="694" t="n">
        <f aca="false">H29+H34+H42+H51+H53+H58</f>
        <v>23849.8431859604</v>
      </c>
      <c r="I60" s="694" t="n">
        <f aca="false">I29+I34+I42+I51+I53+I58</f>
        <v>24042.4123596856</v>
      </c>
      <c r="J60" s="694" t="n">
        <f aca="false">J29+J34+J42+J51+J53+J58</f>
        <v>24240.8938996732</v>
      </c>
      <c r="K60" s="694" t="n">
        <f aca="false">K29+K34+K42+K51+K53+K58</f>
        <v>24445.6451568609</v>
      </c>
      <c r="L60" s="694" t="n">
        <f aca="false">L29+L34+L42+L51+L53+L58</f>
        <v>24656.5389517642</v>
      </c>
      <c r="M60" s="694" t="n">
        <f aca="false">M29+M34+M42+M51+M53+M58</f>
        <v>24873.7595605147</v>
      </c>
      <c r="N60" s="694" t="n">
        <f aca="false">N29+N34+N42+N51+N53+N58</f>
        <v>25097.4967875277</v>
      </c>
      <c r="O60" s="694" t="n">
        <f aca="false">O29+O34+O42+O51+O53+O58</f>
        <v>25327.946131351</v>
      </c>
      <c r="P60" s="694" t="n">
        <f aca="false">P29+P34+P42+P51+P53+P58</f>
        <v>25565.3089554891</v>
      </c>
      <c r="Q60" s="694" t="n">
        <f aca="false">Q29+Q34+Q42+Q51+Q53+Q58</f>
        <v>25809.7926643513</v>
      </c>
      <c r="R60" s="694" t="n">
        <f aca="false">R29+R34+R42+R51+R53+R58</f>
        <v>26061.6108844794</v>
      </c>
      <c r="S60" s="694" t="n">
        <f aca="false">S29+S34+S42+S51+S53+S58</f>
        <v>26320.9836512113</v>
      </c>
      <c r="T60" s="694" t="n">
        <f aca="false">T29+T34+T42+T51+T53+T58</f>
        <v>26588.1376009451</v>
      </c>
      <c r="U60" s="694" t="n">
        <f aca="false">U29+U34+U42+U51+U53+U58</f>
        <v>26863.306169171</v>
      </c>
      <c r="V60" s="694" t="n">
        <f aca="false">V29+V34+V42+V51+V53+V58</f>
        <v>27146.7297944437</v>
      </c>
      <c r="W60" s="694" t="n">
        <f aca="false">W29+W34+W42+W51+W53+W58</f>
        <v>27438.6561284745</v>
      </c>
      <c r="X60" s="694" t="n">
        <f aca="false">X29+X34+X42+X51+X53+X58</f>
        <v>25122.6405063683</v>
      </c>
      <c r="Y60" s="694" t="n">
        <f aca="false">Y29+Y34+Y42+Y51+Y53+Y58</f>
        <v>0</v>
      </c>
      <c r="Z60" s="694" t="n">
        <f aca="false">Z29+Z34+Z42+Z51+Z53+Z58</f>
        <v>0</v>
      </c>
      <c r="AA60" s="694" t="n">
        <f aca="false">AA29+AA34+AA42+AA51+AA53+AA58</f>
        <v>0</v>
      </c>
      <c r="AB60" s="694" t="n">
        <f aca="false">AB29+AB34+AB42+AB51+AB53+AB58</f>
        <v>0</v>
      </c>
    </row>
    <row r="61" customFormat="false" ht="12.6" hidden="false" customHeight="true" outlineLevel="0" collapsed="false">
      <c r="B61" s="695"/>
      <c r="C61" s="696"/>
      <c r="D61" s="697"/>
      <c r="E61" s="697"/>
      <c r="F61" s="697"/>
      <c r="G61" s="697"/>
      <c r="H61" s="697"/>
      <c r="I61" s="697"/>
      <c r="J61" s="697"/>
      <c r="K61" s="697"/>
      <c r="L61" s="697"/>
      <c r="M61" s="697"/>
      <c r="N61" s="697"/>
      <c r="O61" s="697"/>
      <c r="P61" s="697"/>
      <c r="Q61" s="697"/>
      <c r="R61" s="697"/>
      <c r="S61" s="697"/>
      <c r="T61" s="697"/>
      <c r="U61" s="697"/>
      <c r="V61" s="697"/>
      <c r="W61" s="697"/>
      <c r="X61" s="697"/>
      <c r="Y61" s="697"/>
      <c r="Z61" s="697"/>
      <c r="AA61" s="697"/>
      <c r="AB61" s="697"/>
    </row>
    <row r="62" customFormat="false" ht="12.6" hidden="false" customHeight="true" outlineLevel="0" collapsed="false">
      <c r="B62" s="698"/>
      <c r="D62" s="682"/>
      <c r="E62" s="682"/>
      <c r="F62" s="682"/>
      <c r="G62" s="682"/>
      <c r="H62" s="682"/>
      <c r="I62" s="682"/>
      <c r="J62" s="682"/>
      <c r="K62" s="682"/>
      <c r="L62" s="682"/>
      <c r="M62" s="682"/>
      <c r="N62" s="682"/>
      <c r="O62" s="682"/>
      <c r="P62" s="682"/>
      <c r="Q62" s="682"/>
      <c r="R62" s="682"/>
      <c r="S62" s="682"/>
      <c r="T62" s="682"/>
      <c r="U62" s="682"/>
      <c r="V62" s="682"/>
      <c r="W62" s="682"/>
      <c r="X62" s="682"/>
      <c r="Y62" s="682"/>
      <c r="Z62" s="682"/>
      <c r="AA62" s="682"/>
      <c r="AB62" s="682"/>
    </row>
    <row r="63" customFormat="false" ht="12.6" hidden="false" customHeight="true" outlineLevel="0" collapsed="false">
      <c r="B63" s="649" t="s">
        <v>433</v>
      </c>
      <c r="C63" s="484"/>
      <c r="D63" s="497" t="n">
        <f aca="false">D17-D60</f>
        <v>12751.3317317553</v>
      </c>
      <c r="E63" s="497" t="n">
        <f aca="false">E17-E60</f>
        <v>22021.9178964612</v>
      </c>
      <c r="F63" s="497" t="n">
        <f aca="false">F17-F60</f>
        <v>21955.5436240494</v>
      </c>
      <c r="G63" s="497" t="n">
        <f aca="false">G17-G60</f>
        <v>26861.0903560925</v>
      </c>
      <c r="H63" s="497" t="n">
        <f aca="false">H17-H60</f>
        <v>30724.8303363861</v>
      </c>
      <c r="I63" s="497" t="n">
        <f aca="false">I17-I60</f>
        <v>31021.2849679446</v>
      </c>
      <c r="J63" s="497" t="n">
        <f aca="false">J17-J60</f>
        <v>31307.6648156034</v>
      </c>
      <c r="K63" s="497" t="n">
        <f aca="false">K17-K60</f>
        <v>32253.8852430859</v>
      </c>
      <c r="L63" s="497" t="n">
        <f aca="false">L17-L60</f>
        <v>32537.5820236693</v>
      </c>
      <c r="M63" s="497" t="n">
        <f aca="false">M17-M60</f>
        <v>33520.6999673938</v>
      </c>
      <c r="N63" s="497" t="n">
        <f aca="false">N17-N60</f>
        <v>33800.3247548893</v>
      </c>
      <c r="O63" s="497" t="n">
        <f aca="false">O17-O60</f>
        <v>34821.3249805504</v>
      </c>
      <c r="P63" s="497" t="n">
        <f aca="false">P17-P60</f>
        <v>35095.3296287431</v>
      </c>
      <c r="Q63" s="497" t="n">
        <f aca="false">Q17-Q60</f>
        <v>35354.2256488544</v>
      </c>
      <c r="R63" s="497" t="n">
        <f aca="false">R17-R60</f>
        <v>35596.8599190161</v>
      </c>
      <c r="S63" s="497" t="n">
        <f aca="false">S17-S60</f>
        <v>35822.0237278131</v>
      </c>
      <c r="T63" s="497" t="n">
        <f aca="false">T17-T60</f>
        <v>36028.4504767204</v>
      </c>
      <c r="U63" s="497" t="n">
        <f aca="false">U17-U60</f>
        <v>36214.8132947166</v>
      </c>
      <c r="V63" s="497" t="n">
        <f aca="false">V17-V60</f>
        <v>36379.7225618731</v>
      </c>
      <c r="W63" s="497" t="n">
        <f aca="false">W17-W60</f>
        <v>36521.7233386034</v>
      </c>
      <c r="X63" s="497" t="n">
        <f aca="false">X17-X60</f>
        <v>13385.7848839732</v>
      </c>
      <c r="Y63" s="497" t="n">
        <f aca="false">Y17-Y60</f>
        <v>0</v>
      </c>
      <c r="Z63" s="497" t="n">
        <f aca="false">Z17-Z60</f>
        <v>0</v>
      </c>
      <c r="AA63" s="497" t="n">
        <f aca="false">AA17-AA60</f>
        <v>0</v>
      </c>
      <c r="AB63" s="498" t="n">
        <f aca="false">AB17-AB60</f>
        <v>0</v>
      </c>
    </row>
    <row r="64" customFormat="false" ht="12.6" hidden="false" customHeight="true" outlineLevel="0" collapsed="false">
      <c r="B64" s="416"/>
      <c r="D64" s="417"/>
      <c r="E64" s="417"/>
      <c r="F64" s="417"/>
      <c r="G64" s="417"/>
      <c r="H64" s="417"/>
      <c r="I64" s="417"/>
      <c r="J64" s="417"/>
      <c r="K64" s="417"/>
      <c r="L64" s="417"/>
      <c r="M64" s="417"/>
      <c r="N64" s="417"/>
      <c r="O64" s="417"/>
      <c r="P64" s="417"/>
      <c r="Q64" s="417"/>
      <c r="R64" s="417"/>
      <c r="S64" s="417"/>
      <c r="T64" s="417"/>
      <c r="U64" s="417"/>
      <c r="V64" s="417"/>
      <c r="W64" s="417"/>
      <c r="X64" s="417"/>
      <c r="Y64" s="417"/>
      <c r="Z64" s="417"/>
      <c r="AA64" s="417"/>
      <c r="AB64" s="488"/>
    </row>
    <row r="65" customFormat="false" ht="12.6" hidden="false" customHeight="true" outlineLevel="0" collapsed="false">
      <c r="A65" s="642" t="n">
        <v>11</v>
      </c>
      <c r="B65" s="416" t="s">
        <v>528</v>
      </c>
      <c r="D65" s="30" t="n">
        <f aca="false">Depreciation!D40</f>
        <v>3246.97253416667</v>
      </c>
      <c r="E65" s="30" t="n">
        <f aca="false">IF(E3&gt;'Project Assumptions'!$I$15+1,0,Depreciation!E40)</f>
        <v>5566.23863</v>
      </c>
      <c r="F65" s="30" t="n">
        <f aca="false">IF(F3&gt;'Project Assumptions'!$I$15+1,0,Depreciation!F40)</f>
        <v>5566.23863</v>
      </c>
      <c r="G65" s="30" t="n">
        <f aca="false">IF(G3&gt;'Project Assumptions'!$I$15+1,0,Depreciation!G40)</f>
        <v>5566.23863</v>
      </c>
      <c r="H65" s="30" t="n">
        <f aca="false">IF(H3&gt;'Project Assumptions'!$I$15+1,0,Depreciation!H40)</f>
        <v>5566.23863</v>
      </c>
      <c r="I65" s="30" t="n">
        <f aca="false">IF(I3&gt;'Project Assumptions'!$I$15+1,0,Depreciation!I40)</f>
        <v>5328.16991333333</v>
      </c>
      <c r="J65" s="30" t="n">
        <f aca="false">IF(J3&gt;'Project Assumptions'!$I$15+1,0,Depreciation!J40)</f>
        <v>5158.12083</v>
      </c>
      <c r="K65" s="30" t="n">
        <f aca="false">IF(K3&gt;'Project Assumptions'!$I$15+1,0,Depreciation!K40)</f>
        <v>5158.12083</v>
      </c>
      <c r="L65" s="30" t="n">
        <f aca="false">IF(L3&gt;'Project Assumptions'!$I$15+1,0,Depreciation!L40)</f>
        <v>5158.12083</v>
      </c>
      <c r="M65" s="30" t="n">
        <f aca="false">IF(M3&gt;'Project Assumptions'!$I$15+1,0,Depreciation!M40)</f>
        <v>5158.12083</v>
      </c>
      <c r="N65" s="30" t="n">
        <f aca="false">IF(N3&gt;'Project Assumptions'!$I$15+1,0,Depreciation!N40)</f>
        <v>5158.12083</v>
      </c>
      <c r="O65" s="30" t="n">
        <f aca="false">IF(O3&gt;'Project Assumptions'!$I$15+1,0,Depreciation!O40)</f>
        <v>5158.12083</v>
      </c>
      <c r="P65" s="30" t="n">
        <f aca="false">IF(P3&gt;'Project Assumptions'!$I$15+1,0,Depreciation!P40)</f>
        <v>5158.12083</v>
      </c>
      <c r="Q65" s="30" t="n">
        <f aca="false">IF(Q3&gt;'Project Assumptions'!$I$15+1,0,Depreciation!Q40)</f>
        <v>5158.12083</v>
      </c>
      <c r="R65" s="30" t="n">
        <f aca="false">IF(R3&gt;'Project Assumptions'!$I$15+1,0,Depreciation!R40)</f>
        <v>5158.12083</v>
      </c>
      <c r="S65" s="30" t="n">
        <f aca="false">IF(S3&gt;'Project Assumptions'!$I$15+1,0,Depreciation!S40)</f>
        <v>5158.12083</v>
      </c>
      <c r="T65" s="30" t="n">
        <f aca="false">IF(T3&gt;'Project Assumptions'!$I$15+1,0,Depreciation!T40)</f>
        <v>5158.12083</v>
      </c>
      <c r="U65" s="30" t="n">
        <f aca="false">IF(U3&gt;'Project Assumptions'!$I$15+1,0,Depreciation!U40)</f>
        <v>5158.12083</v>
      </c>
      <c r="V65" s="30" t="n">
        <f aca="false">IF(V3&gt;'Project Assumptions'!$I$15+1,0,Depreciation!V40)</f>
        <v>5158.12083</v>
      </c>
      <c r="W65" s="30" t="n">
        <f aca="false">IF(W3&gt;'Project Assumptions'!$I$15+1,0,Depreciation!W40)</f>
        <v>5158.12083</v>
      </c>
      <c r="X65" s="30" t="n">
        <f aca="false">IF(X3&gt;'Project Assumptions'!$I$15+1+1,0,Depreciation!X40)</f>
        <v>5158.12083</v>
      </c>
      <c r="Y65" s="30" t="n">
        <f aca="false">IF(Y3&gt;'Project Assumptions'!$I$15+1,0,Depreciation!Y40)</f>
        <v>0</v>
      </c>
      <c r="Z65" s="30" t="n">
        <f aca="false">IF(Z3&gt;'Project Assumptions'!$I$15+1,0,Depreciation!Z40)</f>
        <v>0</v>
      </c>
      <c r="AA65" s="30" t="n">
        <f aca="false">IF(AA3&gt;'Project Assumptions'!$I$15+1,0,Depreciation!AA40)</f>
        <v>0</v>
      </c>
      <c r="AB65" s="437" t="n">
        <f aca="false">IF(AB3&gt;'Project Assumptions'!$I$15+1,0,Depreciation!AB40)</f>
        <v>0</v>
      </c>
    </row>
    <row r="66" customFormat="false" ht="12.6" hidden="false" customHeight="true" outlineLevel="0" collapsed="false">
      <c r="B66" s="416" t="s">
        <v>529</v>
      </c>
      <c r="D66" s="699" t="n">
        <f aca="false">'Project Assumptions'!C41+'Project Assumptions'!C42</f>
        <v>22.627</v>
      </c>
      <c r="E66" s="440" t="n">
        <v>0</v>
      </c>
      <c r="F66" s="440" t="n">
        <v>0</v>
      </c>
      <c r="G66" s="440" t="n">
        <v>0</v>
      </c>
      <c r="H66" s="440" t="n">
        <v>0</v>
      </c>
      <c r="I66" s="440" t="n">
        <v>0</v>
      </c>
      <c r="J66" s="440" t="n">
        <v>0</v>
      </c>
      <c r="K66" s="440" t="n">
        <v>0</v>
      </c>
      <c r="L66" s="440" t="n">
        <v>0</v>
      </c>
      <c r="M66" s="440" t="n">
        <v>0</v>
      </c>
      <c r="N66" s="440" t="n">
        <v>0</v>
      </c>
      <c r="O66" s="440" t="n">
        <v>0</v>
      </c>
      <c r="P66" s="440" t="n">
        <v>0</v>
      </c>
      <c r="Q66" s="440" t="n">
        <v>0</v>
      </c>
      <c r="R66" s="440" t="n">
        <v>0</v>
      </c>
      <c r="S66" s="440" t="n">
        <v>0</v>
      </c>
      <c r="T66" s="440" t="n">
        <v>0</v>
      </c>
      <c r="U66" s="440" t="n">
        <v>0</v>
      </c>
      <c r="V66" s="440" t="n">
        <v>0</v>
      </c>
      <c r="W66" s="440" t="n">
        <v>0</v>
      </c>
      <c r="X66" s="440" t="n">
        <v>0</v>
      </c>
      <c r="Y66" s="440" t="n">
        <v>0</v>
      </c>
      <c r="Z66" s="440" t="n">
        <v>0</v>
      </c>
      <c r="AA66" s="440" t="n">
        <v>0</v>
      </c>
      <c r="AB66" s="700" t="n">
        <v>0</v>
      </c>
    </row>
    <row r="67" customFormat="false" ht="12.6" hidden="false" customHeight="true" outlineLevel="0" collapsed="false">
      <c r="B67" s="666" t="s">
        <v>530</v>
      </c>
      <c r="D67" s="30" t="n">
        <f aca="false">D63-D65-D66</f>
        <v>9481.73219758863</v>
      </c>
      <c r="E67" s="30" t="n">
        <f aca="false">E63-E65-E66</f>
        <v>16455.6792664612</v>
      </c>
      <c r="F67" s="30" t="n">
        <f aca="false">F63-F65-F66</f>
        <v>16389.3049940494</v>
      </c>
      <c r="G67" s="30" t="n">
        <f aca="false">G63-G65-G66</f>
        <v>21294.8517260925</v>
      </c>
      <c r="H67" s="30" t="n">
        <f aca="false">H63-H65-H66</f>
        <v>25158.5917063861</v>
      </c>
      <c r="I67" s="30" t="n">
        <f aca="false">I63-I65-I66</f>
        <v>25693.1150546113</v>
      </c>
      <c r="J67" s="30" t="n">
        <f aca="false">J63-J65-J66</f>
        <v>26149.5439856034</v>
      </c>
      <c r="K67" s="30" t="n">
        <f aca="false">K63-K65-K66</f>
        <v>27095.7644130859</v>
      </c>
      <c r="L67" s="30" t="n">
        <f aca="false">L63-L65-L66</f>
        <v>27379.4611936693</v>
      </c>
      <c r="M67" s="30" t="n">
        <f aca="false">M63-M65-M66</f>
        <v>28362.5791373938</v>
      </c>
      <c r="N67" s="30" t="n">
        <f aca="false">N63-N65-N66</f>
        <v>28642.2039248893</v>
      </c>
      <c r="O67" s="30" t="n">
        <f aca="false">O63-O65-O66</f>
        <v>29663.2041505504</v>
      </c>
      <c r="P67" s="30" t="n">
        <f aca="false">P63-P65-P66</f>
        <v>29937.2087987431</v>
      </c>
      <c r="Q67" s="30" t="n">
        <f aca="false">Q63-Q65-Q66</f>
        <v>30196.1048188544</v>
      </c>
      <c r="R67" s="30" t="n">
        <f aca="false">R63-R65-R66</f>
        <v>30438.7390890161</v>
      </c>
      <c r="S67" s="30" t="n">
        <f aca="false">S63-S65-S66</f>
        <v>30663.9028978131</v>
      </c>
      <c r="T67" s="30" t="n">
        <f aca="false">T63-T65-T66</f>
        <v>30870.3296467203</v>
      </c>
      <c r="U67" s="30" t="n">
        <f aca="false">U63-U65-U66</f>
        <v>31056.6924647166</v>
      </c>
      <c r="V67" s="30" t="n">
        <f aca="false">V63-V65-V66</f>
        <v>31221.6017318731</v>
      </c>
      <c r="W67" s="30" t="n">
        <f aca="false">W63-W65-W66</f>
        <v>31363.6025086034</v>
      </c>
      <c r="X67" s="30" t="n">
        <f aca="false">X63-X65-X66</f>
        <v>8227.6640539732</v>
      </c>
      <c r="Y67" s="30" t="n">
        <f aca="false">Y63-Y65-Y66</f>
        <v>0</v>
      </c>
      <c r="Z67" s="30" t="n">
        <f aca="false">Z63-Z65-Z66</f>
        <v>0</v>
      </c>
      <c r="AA67" s="30" t="n">
        <f aca="false">AA63-AA65-AA66</f>
        <v>0</v>
      </c>
      <c r="AB67" s="437" t="n">
        <f aca="false">AB63-AB65-AB66</f>
        <v>0</v>
      </c>
    </row>
    <row r="68" customFormat="false" ht="12.6" hidden="false" customHeight="true" outlineLevel="0" collapsed="false">
      <c r="B68" s="701"/>
      <c r="AB68" s="539"/>
    </row>
    <row r="69" customFormat="false" ht="12.6" hidden="false" customHeight="true" outlineLevel="0" collapsed="false">
      <c r="B69" s="416" t="s">
        <v>531</v>
      </c>
      <c r="D69" s="30" t="n">
        <f aca="false">'Debt Amortization'!E$52</f>
        <v>10153.804410567</v>
      </c>
      <c r="E69" s="30" t="n">
        <f aca="false">'Debt Amortization'!F$52</f>
        <v>9802.013706252</v>
      </c>
      <c r="F69" s="30" t="n">
        <f aca="false">'Debt Amortization'!G$52</f>
        <v>9450.223001937</v>
      </c>
      <c r="G69" s="30" t="n">
        <f aca="false">'Debt Amortization'!H$52</f>
        <v>8949.93477169275</v>
      </c>
      <c r="H69" s="30" t="n">
        <f aca="false">'Debt Amortization'!I$52</f>
        <v>8301.14901551925</v>
      </c>
      <c r="I69" s="30" t="n">
        <f aca="false">'Debt Amortization'!J$52</f>
        <v>7888.62014216631</v>
      </c>
      <c r="J69" s="30" t="n">
        <f aca="false">'Debt Amortization'!K$52</f>
        <v>7476.09126881337</v>
      </c>
      <c r="K69" s="30" t="n">
        <f aca="false">'Debt Amortization'!L$52</f>
        <v>7005.79548471321</v>
      </c>
      <c r="L69" s="30" t="n">
        <f aca="false">'Debt Amortization'!M$52</f>
        <v>6535.49970061305</v>
      </c>
      <c r="M69" s="30" t="n">
        <f aca="false">'Debt Amortization'!N$52</f>
        <v>5768.20886465439</v>
      </c>
      <c r="N69" s="30" t="n">
        <f aca="false">'Debt Amortization'!O$52</f>
        <v>4794.65359201926</v>
      </c>
      <c r="O69" s="30" t="n">
        <f aca="false">'Debt Amortization'!P$52</f>
        <v>4563.58594903038</v>
      </c>
      <c r="P69" s="30" t="n">
        <f aca="false">'Debt Amortization'!Q$52</f>
        <v>4274.75139529428</v>
      </c>
      <c r="Q69" s="30" t="n">
        <f aca="false">'Debt Amortization'!R$52</f>
        <v>3985.91684155818</v>
      </c>
      <c r="R69" s="30" t="n">
        <f aca="false">'Debt Amortization'!S$52</f>
        <v>3697.08228782208</v>
      </c>
      <c r="S69" s="30" t="n">
        <f aca="false">'Debt Amortization'!T$52</f>
        <v>3408.24773408598</v>
      </c>
      <c r="T69" s="30" t="n">
        <f aca="false">'Debt Amortization'!U$52</f>
        <v>3119.41318034988</v>
      </c>
      <c r="U69" s="30" t="n">
        <f aca="false">'Debt Amortization'!V$52</f>
        <v>2541.74407287768</v>
      </c>
      <c r="V69" s="30" t="n">
        <f aca="false">'Debt Amortization'!W$52</f>
        <v>1848.54114391104</v>
      </c>
      <c r="W69" s="30" t="n">
        <f aca="false">'Debt Amortization'!X$52</f>
        <v>982.037482702741</v>
      </c>
      <c r="X69" s="30" t="n">
        <f aca="false">'Debt Amortization'!Y$52</f>
        <v>0</v>
      </c>
      <c r="Y69" s="30" t="n">
        <f aca="false">'Debt Amortization'!Z$52</f>
        <v>0</v>
      </c>
      <c r="Z69" s="30" t="n">
        <f aca="false">'Debt Amortization'!AA$52</f>
        <v>0</v>
      </c>
      <c r="AA69" s="30" t="n">
        <f aca="false">'Debt Amortization'!AB$52</f>
        <v>0</v>
      </c>
      <c r="AB69" s="437" t="n">
        <f aca="false">'Debt Amortization'!AC$52</f>
        <v>0</v>
      </c>
      <c r="AC69" s="620"/>
    </row>
    <row r="70" customFormat="false" ht="12.6" hidden="false" customHeight="true" outlineLevel="0" collapsed="false">
      <c r="A70" s="642" t="n">
        <v>10</v>
      </c>
      <c r="B70" s="416" t="s">
        <v>532</v>
      </c>
      <c r="D70" s="442" t="n">
        <f aca="false">0.05*0.25*D63</f>
        <v>159.391646646941</v>
      </c>
      <c r="E70" s="442" t="n">
        <f aca="false">0.05*0.25*E63</f>
        <v>275.273973705765</v>
      </c>
      <c r="F70" s="442" t="n">
        <f aca="false">0.05*0.25*F63</f>
        <v>274.444295300618</v>
      </c>
      <c r="G70" s="442" t="n">
        <f aca="false">0.05*0.25*G63</f>
        <v>335.763629451156</v>
      </c>
      <c r="H70" s="442" t="n">
        <f aca="false">0.05*0.25*H63</f>
        <v>384.060379204827</v>
      </c>
      <c r="I70" s="442" t="n">
        <f aca="false">0.05*0.25*I63</f>
        <v>387.766062099307</v>
      </c>
      <c r="J70" s="442" t="n">
        <f aca="false">0.05*0.25*J63</f>
        <v>391.345810195042</v>
      </c>
      <c r="K70" s="442" t="n">
        <f aca="false">0.05*0.25*K63</f>
        <v>403.173565538574</v>
      </c>
      <c r="L70" s="442" t="n">
        <f aca="false">0.05*0.25*L63</f>
        <v>406.719775295867</v>
      </c>
      <c r="M70" s="442" t="n">
        <f aca="false">0.05*0.25*M63</f>
        <v>419.008749592423</v>
      </c>
      <c r="N70" s="442" t="n">
        <f aca="false">0.05*0.25*N63</f>
        <v>422.504059436117</v>
      </c>
      <c r="O70" s="442" t="n">
        <f aca="false">0.05*0.25*O63</f>
        <v>435.26656225688</v>
      </c>
      <c r="P70" s="442" t="n">
        <f aca="false">0.05*0.25*P63</f>
        <v>438.691620359289</v>
      </c>
      <c r="Q70" s="442" t="n">
        <f aca="false">0.05*0.25*Q63</f>
        <v>441.92782061068</v>
      </c>
      <c r="R70" s="442" t="n">
        <f aca="false">0.05*0.25*R63</f>
        <v>444.960748987701</v>
      </c>
      <c r="S70" s="442" t="n">
        <f aca="false">0.05*0.25*S63</f>
        <v>447.775296597664</v>
      </c>
      <c r="T70" s="442" t="n">
        <f aca="false">0.05*0.25*T63</f>
        <v>450.355630959004</v>
      </c>
      <c r="U70" s="442" t="n">
        <f aca="false">0.05*0.25*U63</f>
        <v>452.685166183957</v>
      </c>
      <c r="V70" s="442" t="n">
        <f aca="false">0.05*0.25*V63</f>
        <v>454.746532023414</v>
      </c>
      <c r="W70" s="442" t="n">
        <f aca="false">0.05*0.25*W63</f>
        <v>456.521541732542</v>
      </c>
      <c r="X70" s="442" t="n">
        <f aca="false">0.05*0.25*X63</f>
        <v>167.322311049665</v>
      </c>
      <c r="Y70" s="442" t="n">
        <f aca="false">0.05*0.25*Y63</f>
        <v>0</v>
      </c>
      <c r="Z70" s="442" t="n">
        <f aca="false">0.05*0.25*Z63</f>
        <v>0</v>
      </c>
      <c r="AA70" s="442" t="n">
        <f aca="false">0.05*0.25*AA63</f>
        <v>0</v>
      </c>
      <c r="AB70" s="508" t="n">
        <f aca="false">0.05*0.25*AB63</f>
        <v>0</v>
      </c>
    </row>
    <row r="71" customFormat="false" ht="12.6" hidden="false" customHeight="true" outlineLevel="0" collapsed="false">
      <c r="B71" s="416" t="s">
        <v>533</v>
      </c>
      <c r="D71" s="490" t="n">
        <f aca="false">D69-D70</f>
        <v>9994.41276392006</v>
      </c>
      <c r="E71" s="490" t="n">
        <f aca="false">E69-E70</f>
        <v>9526.73973254623</v>
      </c>
      <c r="F71" s="490" t="n">
        <f aca="false">F69-F70</f>
        <v>9175.77870663638</v>
      </c>
      <c r="G71" s="490" t="n">
        <f aca="false">G69-G70</f>
        <v>8614.17114224159</v>
      </c>
      <c r="H71" s="490" t="n">
        <f aca="false">H69-H70</f>
        <v>7917.08863631442</v>
      </c>
      <c r="I71" s="490" t="n">
        <f aca="false">I69-I70</f>
        <v>7500.854080067</v>
      </c>
      <c r="J71" s="490" t="n">
        <f aca="false">J69-J70</f>
        <v>7084.74545861833</v>
      </c>
      <c r="K71" s="490" t="n">
        <f aca="false">K69-K70</f>
        <v>6602.62191917464</v>
      </c>
      <c r="L71" s="490" t="n">
        <f aca="false">L69-L70</f>
        <v>6128.77992531718</v>
      </c>
      <c r="M71" s="490" t="n">
        <f aca="false">M69-M70</f>
        <v>5349.20011506197</v>
      </c>
      <c r="N71" s="490" t="n">
        <f aca="false">N69-N70</f>
        <v>4372.14953258314</v>
      </c>
      <c r="O71" s="490" t="n">
        <f aca="false">O69-O70</f>
        <v>4128.3193867735</v>
      </c>
      <c r="P71" s="490" t="n">
        <f aca="false">P69-P70</f>
        <v>3836.05977493499</v>
      </c>
      <c r="Q71" s="490" t="n">
        <f aca="false">Q69-Q70</f>
        <v>3543.9890209475</v>
      </c>
      <c r="R71" s="490" t="n">
        <f aca="false">R69-R70</f>
        <v>3252.12153883438</v>
      </c>
      <c r="S71" s="490" t="n">
        <f aca="false">S69-S70</f>
        <v>2960.47243748832</v>
      </c>
      <c r="T71" s="490" t="n">
        <f aca="false">T69-T70</f>
        <v>2669.05754939088</v>
      </c>
      <c r="U71" s="490" t="n">
        <f aca="false">U69-U70</f>
        <v>2089.05890669372</v>
      </c>
      <c r="V71" s="490" t="n">
        <f aca="false">V69-V70</f>
        <v>1393.79461188763</v>
      </c>
      <c r="W71" s="490" t="n">
        <f aca="false">W69-W70</f>
        <v>525.515940970199</v>
      </c>
      <c r="X71" s="490" t="n">
        <f aca="false">X69-X70</f>
        <v>-167.322311049665</v>
      </c>
      <c r="Y71" s="490" t="n">
        <f aca="false">Y69-Y70</f>
        <v>0</v>
      </c>
      <c r="Z71" s="490" t="n">
        <f aca="false">Z69-Z70</f>
        <v>0</v>
      </c>
      <c r="AA71" s="490" t="n">
        <f aca="false">AA69-AA70</f>
        <v>0</v>
      </c>
      <c r="AB71" s="491" t="n">
        <f aca="false">AB69-AB70</f>
        <v>0</v>
      </c>
    </row>
    <row r="72" customFormat="false" ht="12.6" hidden="false" customHeight="true" outlineLevel="0" collapsed="false">
      <c r="B72" s="666" t="s">
        <v>534</v>
      </c>
      <c r="D72" s="30" t="n">
        <f aca="false">D67-D71</f>
        <v>-512.68056633143</v>
      </c>
      <c r="E72" s="30" t="n">
        <f aca="false">IF(E3&gt;'Project Assumptions'!$I$15+1,0,E67-E71)</f>
        <v>6928.93953391495</v>
      </c>
      <c r="F72" s="30" t="n">
        <f aca="false">IF(F3&gt;'Project Assumptions'!$I$15+1,0,F67-F71)</f>
        <v>7213.52628741304</v>
      </c>
      <c r="G72" s="30" t="n">
        <f aca="false">IF(G3&gt;'Project Assumptions'!$I$15+1,0,G67-G71)</f>
        <v>12680.6805838509</v>
      </c>
      <c r="H72" s="30" t="n">
        <f aca="false">IF(H3&gt;'Project Assumptions'!$I$15+1,0,H67-H71)</f>
        <v>17241.5030700717</v>
      </c>
      <c r="I72" s="30" t="n">
        <f aca="false">IF(I3&gt;'Project Assumptions'!$I$15+1,0,I67-I71)</f>
        <v>18192.2609745443</v>
      </c>
      <c r="J72" s="30" t="n">
        <f aca="false">IF(J3&gt;'Project Assumptions'!$I$15+1,0,J67-J71)</f>
        <v>19064.7985269851</v>
      </c>
      <c r="K72" s="30" t="n">
        <f aca="false">IF(K3&gt;'Project Assumptions'!$I$15+1,0,K67-K71)</f>
        <v>20493.1424939112</v>
      </c>
      <c r="L72" s="30" t="n">
        <f aca="false">IF(L3&gt;'Project Assumptions'!$I$15+1,0,L67-L71)</f>
        <v>21250.6812683521</v>
      </c>
      <c r="M72" s="30" t="n">
        <f aca="false">IF(M3&gt;'Project Assumptions'!$I$15+1,0,M67-M71)</f>
        <v>23013.3790223318</v>
      </c>
      <c r="N72" s="30" t="n">
        <f aca="false">IF(N3&gt;'Project Assumptions'!$I$15+1,0,N67-N71)</f>
        <v>24270.0543923062</v>
      </c>
      <c r="O72" s="30" t="n">
        <f aca="false">IF(O3&gt;'Project Assumptions'!$I$15+1,0,O67-O71)</f>
        <v>25534.8847637769</v>
      </c>
      <c r="P72" s="30" t="n">
        <f aca="false">IF(P3&gt;'Project Assumptions'!$I$15+1,0,P67-P71)</f>
        <v>26101.1490238081</v>
      </c>
      <c r="Q72" s="30" t="n">
        <f aca="false">IF(Q3&gt;'Project Assumptions'!$I$15+1,0,Q67-Q71)</f>
        <v>26652.1157979069</v>
      </c>
      <c r="R72" s="30" t="n">
        <f aca="false">IF(R3&gt;'Project Assumptions'!$I$15+1,0,R67-R71)</f>
        <v>27186.6175501817</v>
      </c>
      <c r="S72" s="30" t="n">
        <f aca="false">IF(S3&gt;'Project Assumptions'!$I$15+1,0,S67-S71)</f>
        <v>27703.4304603248</v>
      </c>
      <c r="T72" s="30" t="n">
        <f aca="false">IF(T3&gt;'Project Assumptions'!$I$15+1,0,T67-T71)</f>
        <v>28201.2720973295</v>
      </c>
      <c r="U72" s="30" t="n">
        <f aca="false">IF(U3&gt;'Project Assumptions'!$I$15+1,0,U67-U71)</f>
        <v>28967.6335580229</v>
      </c>
      <c r="V72" s="30" t="n">
        <f aca="false">IF(V3&gt;'Project Assumptions'!$I$15+1,0,V67-V71)</f>
        <v>29827.8071199855</v>
      </c>
      <c r="W72" s="30" t="n">
        <f aca="false">IF(W3&gt;'Project Assumptions'!$I$15+1,0,W67-W71)</f>
        <v>30838.0865676332</v>
      </c>
      <c r="X72" s="30" t="n">
        <f aca="false">IF(X3&gt;'Project Assumptions'!$I$15+1+1,0,X67-X71)</f>
        <v>8394.98636502287</v>
      </c>
      <c r="Y72" s="30" t="n">
        <f aca="false">IF(Y3&gt;'Project Assumptions'!$I$15+1,0,Y67-Y71)</f>
        <v>0</v>
      </c>
      <c r="Z72" s="30" t="n">
        <f aca="false">IF(Z3&gt;'Project Assumptions'!$I$15+1,0,Z67-Z71)</f>
        <v>0</v>
      </c>
      <c r="AA72" s="30" t="n">
        <f aca="false">IF(AA3&gt;'Project Assumptions'!$I$15+1,0,AA67-AA71)</f>
        <v>0</v>
      </c>
      <c r="AB72" s="437" t="n">
        <f aca="false">IF(AB3&gt;'Project Assumptions'!$I$15+1,0,AB67-AB71)</f>
        <v>0</v>
      </c>
    </row>
    <row r="73" customFormat="false" ht="12.6" hidden="false" customHeight="true" outlineLevel="0" collapsed="false">
      <c r="B73" s="416"/>
      <c r="D73" s="417"/>
      <c r="E73" s="417"/>
      <c r="F73" s="417"/>
      <c r="G73" s="417"/>
      <c r="H73" s="417"/>
      <c r="I73" s="417"/>
      <c r="J73" s="417"/>
      <c r="K73" s="417"/>
      <c r="L73" s="417"/>
      <c r="M73" s="417"/>
      <c r="N73" s="417"/>
      <c r="O73" s="417"/>
      <c r="P73" s="417"/>
      <c r="Q73" s="417"/>
      <c r="R73" s="417"/>
      <c r="S73" s="417"/>
      <c r="T73" s="417"/>
      <c r="U73" s="417"/>
      <c r="V73" s="417"/>
      <c r="W73" s="417"/>
      <c r="X73" s="417"/>
      <c r="Y73" s="417"/>
      <c r="Z73" s="417"/>
      <c r="AA73" s="417"/>
      <c r="AB73" s="488"/>
    </row>
    <row r="74" customFormat="false" ht="12.6" hidden="false" customHeight="true" outlineLevel="0" collapsed="false">
      <c r="B74" s="416" t="s">
        <v>535</v>
      </c>
      <c r="D74" s="490" t="n">
        <f aca="false">D72*'Project Assumptions'!$N$64</f>
        <v>-206.930693585523</v>
      </c>
      <c r="E74" s="490" t="n">
        <f aca="false">IF(E3&gt;'Project Assumptions'!$I$15+1,0,E72*'Project Assumptions'!$N$64)</f>
        <v>2796.69321937642</v>
      </c>
      <c r="F74" s="490" t="n">
        <f aca="false">IF(F3&gt;'Project Assumptions'!$I$15+1,0,F72*'Project Assumptions'!$N$64)</f>
        <v>2911.55954775709</v>
      </c>
      <c r="G74" s="490" t="n">
        <f aca="false">IF(G3&gt;'Project Assumptions'!$I$15+1,0,G72*'Project Assumptions'!$N$64)</f>
        <v>5118.23970065682</v>
      </c>
      <c r="H74" s="490" t="n">
        <f aca="false">IF(H3&gt;'Project Assumptions'!$I$15+1,0,H72*'Project Assumptions'!$N$64)</f>
        <v>6959.10167665769</v>
      </c>
      <c r="I74" s="490" t="n">
        <f aca="false">IF(I3&gt;'Project Assumptions'!$I$15+1,0,I72*'Project Assumptions'!$N$64)</f>
        <v>7342.85133585043</v>
      </c>
      <c r="J74" s="490" t="n">
        <f aca="false">IF(J3&gt;'Project Assumptions'!$I$15+1,0,J72*'Project Assumptions'!$N$64)</f>
        <v>7695.02930545434</v>
      </c>
      <c r="K74" s="490" t="n">
        <f aca="false">IF(K3&gt;'Project Assumptions'!$I$15+1,0,K72*'Project Assumptions'!$N$64)</f>
        <v>8271.54463910493</v>
      </c>
      <c r="L74" s="490" t="n">
        <f aca="false">IF(L3&gt;'Project Assumptions'!$I$15+1,0,L72*'Project Assumptions'!$N$64)</f>
        <v>8577.30622693863</v>
      </c>
      <c r="M74" s="490" t="n">
        <f aca="false">IF(M3&gt;'Project Assumptions'!$I$15+1,0,M72*'Project Assumptions'!$N$64)</f>
        <v>9288.77510788869</v>
      </c>
      <c r="N74" s="490" t="n">
        <f aca="false">IF(N3&gt;'Project Assumptions'!$I$15+1,0,N72*'Project Assumptions'!$N$64)</f>
        <v>9796.00070409458</v>
      </c>
      <c r="O74" s="490" t="n">
        <f aca="false">IF(O3&gt;'Project Assumptions'!$I$15+1,0,O72*'Project Assumptions'!$N$64)</f>
        <v>10306.5178627795</v>
      </c>
      <c r="P74" s="490" t="n">
        <f aca="false">IF(P3&gt;'Project Assumptions'!$I$15+1,0,P72*'Project Assumptions'!$N$64)</f>
        <v>10535.0762747345</v>
      </c>
      <c r="Q74" s="490" t="n">
        <f aca="false">IF(Q3&gt;'Project Assumptions'!$I$15+1,0,Q72*'Project Assumptions'!$N$64)</f>
        <v>10757.4602389302</v>
      </c>
      <c r="R74" s="490" t="n">
        <f aca="false">IF(R3&gt;'Project Assumptions'!$I$15+1,0,R72*'Project Assumptions'!$N$64)</f>
        <v>10973.1985086921</v>
      </c>
      <c r="S74" s="490" t="n">
        <f aca="false">IF(S3&gt;'Project Assumptions'!$I$15+1,0,S72*'Project Assumptions'!$N$64)</f>
        <v>11181.7971195486</v>
      </c>
      <c r="T74" s="490" t="n">
        <f aca="false">IF(T3&gt;'Project Assumptions'!$I$15+1,0,T72*'Project Assumptions'!$N$64)</f>
        <v>11382.7384502846</v>
      </c>
      <c r="U74" s="490" t="n">
        <f aca="false">IF(U3&gt;'Project Assumptions'!$I$15+1,0,U72*'Project Assumptions'!$N$64)</f>
        <v>11692.061094857</v>
      </c>
      <c r="V74" s="490" t="n">
        <f aca="false">IF(V3&gt;'Project Assumptions'!$I$15+1,0,V72*'Project Assumptions'!$N$64)</f>
        <v>12039.2486488041</v>
      </c>
      <c r="W74" s="490" t="n">
        <f aca="false">IF(W3&gt;'Project Assumptions'!$I$15+1,0,W72*'Project Assumptions'!$N$64)</f>
        <v>12447.0226908609</v>
      </c>
      <c r="X74" s="490" t="n">
        <f aca="false">IF(X3&gt;'Project Assumptions'!$I$15+1+1,0,X72*'Project Assumptions'!$N$64)</f>
        <v>3388.42637158236</v>
      </c>
      <c r="Y74" s="490" t="n">
        <f aca="false">IF(Y3&gt;'Project Assumptions'!$I$15+1,0,Y72*'Project Assumptions'!$N$64)</f>
        <v>0</v>
      </c>
      <c r="Z74" s="490" t="n">
        <f aca="false">IF(Z3&gt;'Project Assumptions'!$I$15+1,0,Z72*'Project Assumptions'!$N$64)</f>
        <v>0</v>
      </c>
      <c r="AA74" s="490" t="n">
        <f aca="false">IF(AA3&gt;'Project Assumptions'!$I$15+1,0,AA72*'Project Assumptions'!$N$64)</f>
        <v>0</v>
      </c>
      <c r="AB74" s="491" t="n">
        <f aca="false">IF(AB3&gt;'Project Assumptions'!$I$15+1,0,AB72*'Project Assumptions'!$N$64)</f>
        <v>0</v>
      </c>
    </row>
    <row r="75" customFormat="false" ht="12.6" hidden="false" customHeight="true" outlineLevel="0" collapsed="false">
      <c r="B75" s="658" t="s">
        <v>10</v>
      </c>
      <c r="C75" s="492"/>
      <c r="D75" s="702" t="n">
        <f aca="false">D72-D74</f>
        <v>-305.749872745907</v>
      </c>
      <c r="E75" s="702" t="n">
        <f aca="false">IF(E3&gt;'Project Assumptions'!$I$15+1,0,E72-E74)</f>
        <v>4132.24631453853</v>
      </c>
      <c r="F75" s="702" t="n">
        <f aca="false">IF(F3&gt;'Project Assumptions'!$I$15+1,0,F72-F74)</f>
        <v>4301.96673965595</v>
      </c>
      <c r="G75" s="702" t="n">
        <f aca="false">IF(G3&gt;'Project Assumptions'!$I$15+1,0,G72-G74)</f>
        <v>7562.44088319408</v>
      </c>
      <c r="H75" s="702" t="n">
        <f aca="false">IF(H3&gt;'Project Assumptions'!$I$15+1,0,H72-H74)</f>
        <v>10282.401393414</v>
      </c>
      <c r="I75" s="702" t="n">
        <f aca="false">IF(I3&gt;'Project Assumptions'!$I$15+1,0,I72-I74)</f>
        <v>10849.4096386938</v>
      </c>
      <c r="J75" s="702" t="n">
        <f aca="false">IF(J3&gt;'Project Assumptions'!$I$15+1,0,J72-J74)</f>
        <v>11369.7692215307</v>
      </c>
      <c r="K75" s="702" t="n">
        <f aca="false">IF(K3&gt;'Project Assumptions'!$I$15+1,0,K72-K74)</f>
        <v>12221.5978548063</v>
      </c>
      <c r="L75" s="702" t="n">
        <f aca="false">IF(L3&gt;'Project Assumptions'!$I$15+1,0,L72-L74)</f>
        <v>12673.3750414135</v>
      </c>
      <c r="M75" s="702" t="n">
        <f aca="false">IF(M3&gt;'Project Assumptions'!$I$15+1,0,M72-M74)</f>
        <v>13724.6039144432</v>
      </c>
      <c r="N75" s="702" t="n">
        <f aca="false">IF(N3&gt;'Project Assumptions'!$I$15+1,0,N72-N74)</f>
        <v>14474.0536882116</v>
      </c>
      <c r="O75" s="702" t="n">
        <f aca="false">IF(O3&gt;'Project Assumptions'!$I$15+1,0,O72-O74)</f>
        <v>15228.3669009975</v>
      </c>
      <c r="P75" s="702" t="n">
        <f aca="false">IF(P3&gt;'Project Assumptions'!$I$15+1,0,P72-P74)</f>
        <v>15566.0727490735</v>
      </c>
      <c r="Q75" s="702" t="n">
        <f aca="false">IF(Q3&gt;'Project Assumptions'!$I$15+1,0,Q72-Q74)</f>
        <v>15894.6555589767</v>
      </c>
      <c r="R75" s="702" t="n">
        <f aca="false">IF(R3&gt;'Project Assumptions'!$I$15+1,0,R72-R74)</f>
        <v>16213.4190414896</v>
      </c>
      <c r="S75" s="702" t="n">
        <f aca="false">IF(S3&gt;'Project Assumptions'!$I$15+1,0,S72-S74)</f>
        <v>16521.6333407762</v>
      </c>
      <c r="T75" s="702" t="n">
        <f aca="false">IF(T3&gt;'Project Assumptions'!$I$15+1,0,T72-T74)</f>
        <v>16818.5336470449</v>
      </c>
      <c r="U75" s="702" t="n">
        <f aca="false">IF(U3&gt;'Project Assumptions'!$I$15+1,0,U72-U74)</f>
        <v>17275.5724631659</v>
      </c>
      <c r="V75" s="702" t="n">
        <f aca="false">IF(V3&gt;'Project Assumptions'!$I$15+1,0,V72-V74)</f>
        <v>17788.5584711814</v>
      </c>
      <c r="W75" s="702" t="n">
        <f aca="false">IF(W3&gt;'Project Assumptions'!$I$15+1,0,W72-W74)</f>
        <v>18391.0638767722</v>
      </c>
      <c r="X75" s="702" t="n">
        <f aca="false">IF(X3&gt;'Project Assumptions'!$I$15+1+1,0,X72-X74)</f>
        <v>5006.55999344051</v>
      </c>
      <c r="Y75" s="702" t="n">
        <f aca="false">IF(Y3&gt;'Project Assumptions'!$I$15+1,0,Y72-Y74)</f>
        <v>0</v>
      </c>
      <c r="Z75" s="702" t="n">
        <f aca="false">IF(Z3&gt;'Project Assumptions'!$I$15+1,0,Z72-Z74)</f>
        <v>0</v>
      </c>
      <c r="AA75" s="702" t="n">
        <f aca="false">IF(AA3&gt;'Project Assumptions'!$I$15+1,0,AA72-AA74)</f>
        <v>0</v>
      </c>
      <c r="AB75" s="703" t="n">
        <f aca="false">IF(AB3&gt;'Project Assumptions'!$I$15+1,0,AB72-AB74)</f>
        <v>0</v>
      </c>
    </row>
    <row r="76" customFormat="false" ht="12.6" hidden="false" customHeight="true" outlineLevel="0" collapsed="false">
      <c r="B76" s="641"/>
      <c r="C76" s="481"/>
      <c r="D76" s="417"/>
      <c r="E76" s="417"/>
      <c r="F76" s="417"/>
      <c r="G76" s="417"/>
      <c r="H76" s="417"/>
      <c r="I76" s="417"/>
      <c r="J76" s="417"/>
      <c r="K76" s="417"/>
      <c r="L76" s="417"/>
      <c r="M76" s="417"/>
      <c r="N76" s="417"/>
      <c r="O76" s="417"/>
      <c r="P76" s="417"/>
      <c r="Q76" s="417"/>
      <c r="R76" s="417"/>
      <c r="S76" s="417"/>
      <c r="T76" s="417"/>
      <c r="U76" s="417"/>
      <c r="V76" s="417"/>
      <c r="W76" s="417"/>
      <c r="X76" s="417"/>
      <c r="Y76" s="417"/>
      <c r="Z76" s="417"/>
      <c r="AA76" s="417"/>
      <c r="AB76" s="417"/>
    </row>
    <row r="77" customFormat="false" ht="12.6" hidden="false" customHeight="true" outlineLevel="0" collapsed="false">
      <c r="B77" s="641" t="s">
        <v>536</v>
      </c>
      <c r="C77" s="480" t="n">
        <f aca="false">NPV('Project Assumptions'!$I$56,'Book Income Statement'!D77:F77)</f>
        <v>9096.38423991339</v>
      </c>
      <c r="D77" s="442" t="n">
        <v>0</v>
      </c>
      <c r="E77" s="442" t="n">
        <v>0</v>
      </c>
      <c r="F77" s="442" t="n">
        <f aca="false">F72+F65</f>
        <v>12779.764917413</v>
      </c>
      <c r="G77" s="442"/>
      <c r="H77" s="442"/>
      <c r="I77" s="442"/>
      <c r="J77" s="442"/>
      <c r="K77" s="442"/>
      <c r="L77" s="442"/>
      <c r="M77" s="442"/>
      <c r="N77" s="442"/>
      <c r="O77" s="442"/>
      <c r="P77" s="442"/>
      <c r="Q77" s="442"/>
      <c r="R77" s="442"/>
      <c r="S77" s="442"/>
      <c r="T77" s="442"/>
      <c r="U77" s="442"/>
      <c r="V77" s="442"/>
      <c r="W77" s="442"/>
      <c r="X77" s="442"/>
      <c r="Y77" s="442"/>
      <c r="Z77" s="442"/>
      <c r="AA77" s="442"/>
      <c r="AB77" s="442"/>
    </row>
    <row r="78" customFormat="false" ht="12.6" hidden="false" customHeight="true" outlineLevel="0" collapsed="false">
      <c r="B78" s="428" t="s">
        <v>537</v>
      </c>
      <c r="C78" s="480" t="n">
        <f aca="false">NPV('Project Assumptions'!$I$56,'Book Income Statement'!D78:F78)</f>
        <v>3062.05495203736</v>
      </c>
      <c r="D78" s="480" t="n">
        <v>0</v>
      </c>
      <c r="E78" s="480" t="n">
        <v>0</v>
      </c>
      <c r="F78" s="442" t="n">
        <f aca="false">F75</f>
        <v>4301.96673965595</v>
      </c>
    </row>
    <row r="79" customFormat="false" ht="13.15" hidden="false" customHeight="true" outlineLevel="0" collapsed="false">
      <c r="B79" s="428"/>
      <c r="D79" s="442"/>
      <c r="E79" s="442"/>
      <c r="F79" s="442"/>
      <c r="G79" s="442"/>
      <c r="H79" s="442"/>
      <c r="I79" s="442"/>
      <c r="J79" s="442"/>
      <c r="K79" s="442"/>
      <c r="L79" s="442"/>
      <c r="M79" s="442"/>
      <c r="N79" s="442"/>
      <c r="O79" s="442"/>
      <c r="P79" s="442"/>
      <c r="Q79" s="442"/>
      <c r="R79" s="442"/>
      <c r="S79" s="442"/>
      <c r="T79" s="442"/>
      <c r="U79" s="442"/>
      <c r="V79" s="442"/>
      <c r="W79" s="442"/>
      <c r="X79" s="442"/>
      <c r="Y79" s="442"/>
      <c r="Z79" s="442"/>
      <c r="AA79" s="442"/>
      <c r="AB79" s="442"/>
    </row>
    <row r="80" customFormat="false" ht="12.6" hidden="false" customHeight="true" outlineLevel="0" collapsed="false">
      <c r="A80" s="0"/>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0"/>
      <c r="AD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c r="IW80" s="0"/>
    </row>
    <row r="81" customFormat="false" ht="12.6" hidden="false" customHeight="true" outlineLevel="0" collapsed="false">
      <c r="B81" s="641"/>
      <c r="C81" s="481"/>
      <c r="D81" s="417"/>
      <c r="E81" s="417"/>
      <c r="F81" s="417"/>
      <c r="G81" s="417"/>
      <c r="H81" s="417"/>
      <c r="I81" s="417"/>
      <c r="J81" s="417"/>
      <c r="K81" s="417"/>
      <c r="L81" s="417"/>
      <c r="M81" s="417"/>
      <c r="N81" s="417"/>
      <c r="O81" s="417"/>
      <c r="P81" s="417"/>
      <c r="Q81" s="417"/>
      <c r="R81" s="417"/>
      <c r="S81" s="417"/>
      <c r="T81" s="417"/>
      <c r="U81" s="417"/>
      <c r="V81" s="417"/>
      <c r="W81" s="417"/>
      <c r="X81" s="417"/>
      <c r="Y81" s="417"/>
      <c r="Z81" s="417"/>
      <c r="AA81" s="417"/>
      <c r="AB81" s="417"/>
    </row>
    <row r="82" customFormat="false" ht="12.6" hidden="false" customHeight="true" outlineLevel="0" collapsed="false">
      <c r="B82" s="698"/>
      <c r="D82" s="683"/>
      <c r="E82" s="683"/>
      <c r="F82" s="683"/>
      <c r="G82" s="683"/>
      <c r="H82" s="683"/>
      <c r="I82" s="683"/>
      <c r="J82" s="683"/>
      <c r="K82" s="683"/>
      <c r="L82" s="683"/>
      <c r="M82" s="683"/>
      <c r="N82" s="683"/>
      <c r="O82" s="683"/>
      <c r="P82" s="683"/>
      <c r="Q82" s="683"/>
      <c r="R82" s="683"/>
      <c r="S82" s="683"/>
      <c r="T82" s="683"/>
      <c r="U82" s="683"/>
      <c r="V82" s="683"/>
      <c r="W82" s="683"/>
      <c r="X82" s="683"/>
      <c r="Y82" s="683"/>
      <c r="Z82" s="683"/>
      <c r="AA82" s="683"/>
      <c r="AB82" s="683"/>
    </row>
    <row r="83" customFormat="false" ht="12.6" hidden="false" customHeight="true" outlineLevel="0" collapsed="false">
      <c r="B83" s="428"/>
      <c r="D83" s="442"/>
      <c r="E83" s="442"/>
      <c r="F83" s="442"/>
      <c r="G83" s="442"/>
      <c r="H83" s="442"/>
      <c r="I83" s="442"/>
      <c r="J83" s="442"/>
      <c r="K83" s="442"/>
      <c r="L83" s="442"/>
      <c r="M83" s="442"/>
      <c r="N83" s="442"/>
      <c r="O83" s="442"/>
      <c r="P83" s="442"/>
      <c r="Q83" s="442"/>
      <c r="R83" s="442"/>
      <c r="S83" s="442"/>
      <c r="T83" s="442"/>
      <c r="U83" s="442"/>
      <c r="V83" s="442"/>
      <c r="W83" s="442"/>
      <c r="X83" s="442"/>
      <c r="Y83" s="442"/>
      <c r="Z83" s="442"/>
      <c r="AA83" s="442"/>
      <c r="AB83" s="442"/>
    </row>
    <row r="84" customFormat="false" ht="12.6" hidden="false" customHeight="true" outlineLevel="0" collapsed="false">
      <c r="B84" s="428"/>
      <c r="D84" s="490"/>
      <c r="E84" s="490"/>
      <c r="F84" s="490"/>
      <c r="G84" s="490"/>
      <c r="H84" s="490"/>
      <c r="I84" s="490"/>
      <c r="J84" s="490"/>
      <c r="K84" s="490"/>
      <c r="L84" s="490"/>
      <c r="M84" s="490"/>
      <c r="N84" s="490"/>
      <c r="O84" s="490"/>
      <c r="P84" s="490"/>
      <c r="Q84" s="490"/>
      <c r="R84" s="490"/>
      <c r="S84" s="490"/>
      <c r="T84" s="490"/>
      <c r="U84" s="490"/>
      <c r="V84" s="490"/>
      <c r="W84" s="490"/>
      <c r="X84" s="490"/>
      <c r="Y84" s="490"/>
      <c r="Z84" s="490"/>
      <c r="AA84" s="490"/>
      <c r="AB84" s="490"/>
    </row>
    <row r="85" customFormat="false" ht="12.6" hidden="false" customHeight="true" outlineLevel="0" collapsed="false">
      <c r="B85" s="428"/>
      <c r="D85" s="442"/>
      <c r="E85" s="442"/>
      <c r="F85" s="442"/>
      <c r="G85" s="442"/>
      <c r="H85" s="442"/>
      <c r="I85" s="442"/>
      <c r="J85" s="442"/>
      <c r="K85" s="442"/>
      <c r="L85" s="442"/>
      <c r="M85" s="442"/>
      <c r="N85" s="442"/>
      <c r="O85" s="442"/>
      <c r="P85" s="442"/>
      <c r="Q85" s="442"/>
      <c r="R85" s="442"/>
      <c r="S85" s="442"/>
      <c r="T85" s="442"/>
      <c r="U85" s="442"/>
      <c r="V85" s="442"/>
      <c r="W85" s="442"/>
      <c r="X85" s="442"/>
      <c r="Y85" s="442"/>
      <c r="Z85" s="442"/>
      <c r="AA85" s="442"/>
      <c r="AB85" s="442"/>
    </row>
    <row r="86" customFormat="false" ht="12.6" hidden="false" customHeight="true" outlineLevel="0" collapsed="false">
      <c r="A86" s="0"/>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0"/>
      <c r="AD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c r="IW86" s="0"/>
    </row>
    <row r="87" customFormat="false" ht="12.6" hidden="false" customHeight="true" outlineLevel="0" collapsed="false">
      <c r="B87" s="428"/>
      <c r="D87" s="704"/>
      <c r="E87" s="490"/>
      <c r="F87" s="490"/>
      <c r="G87" s="490"/>
      <c r="H87" s="490"/>
      <c r="I87" s="490"/>
      <c r="J87" s="490"/>
      <c r="K87" s="490"/>
      <c r="L87" s="490"/>
      <c r="M87" s="490"/>
      <c r="N87" s="490"/>
      <c r="O87" s="490"/>
      <c r="P87" s="490"/>
      <c r="Q87" s="490"/>
      <c r="R87" s="490"/>
      <c r="S87" s="490"/>
      <c r="T87" s="490"/>
      <c r="U87" s="490"/>
      <c r="V87" s="490"/>
      <c r="W87" s="490"/>
      <c r="X87" s="490"/>
      <c r="Y87" s="490"/>
      <c r="Z87" s="490"/>
      <c r="AA87" s="490"/>
      <c r="AB87" s="490"/>
    </row>
    <row r="88" customFormat="false" ht="12.6" hidden="false" customHeight="true" outlineLevel="0" collapsed="false">
      <c r="A88" s="0"/>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0"/>
      <c r="AD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c r="IW88" s="0"/>
    </row>
    <row r="89" customFormat="false" ht="12.6" hidden="false" customHeight="true" outlineLevel="0" collapsed="false">
      <c r="A89" s="0"/>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0"/>
      <c r="AD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c r="IW89" s="0"/>
    </row>
    <row r="90" customFormat="false" ht="12.6" hidden="false" customHeight="true" outlineLevel="0" collapsed="false">
      <c r="A90" s="0"/>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0"/>
      <c r="AD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c r="IW90" s="0"/>
    </row>
    <row r="91" customFormat="false" ht="12.6" hidden="false" customHeight="true" outlineLevel="0" collapsed="false">
      <c r="A91" s="0"/>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0"/>
      <c r="AD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c r="IW91" s="0"/>
    </row>
    <row r="92" customFormat="false" ht="12.6" hidden="false" customHeight="true" outlineLevel="0" collapsed="false">
      <c r="B92" s="641"/>
      <c r="C92" s="481"/>
      <c r="D92" s="705"/>
      <c r="E92" s="705"/>
      <c r="F92" s="705"/>
      <c r="G92" s="705"/>
      <c r="H92" s="705"/>
      <c r="I92" s="705"/>
      <c r="J92" s="705"/>
      <c r="K92" s="705"/>
      <c r="L92" s="705"/>
      <c r="M92" s="705"/>
      <c r="N92" s="705"/>
      <c r="O92" s="705"/>
      <c r="P92" s="705"/>
      <c r="Q92" s="705"/>
      <c r="R92" s="705"/>
      <c r="S92" s="705"/>
      <c r="T92" s="705"/>
      <c r="U92" s="705"/>
      <c r="V92" s="705"/>
      <c r="W92" s="705"/>
      <c r="X92" s="705"/>
      <c r="Y92" s="705"/>
      <c r="Z92" s="705"/>
      <c r="AA92" s="705"/>
      <c r="AB92" s="705"/>
    </row>
    <row r="93" customFormat="false" ht="12.6" hidden="false" customHeight="true" outlineLevel="0" collapsed="false">
      <c r="A93" s="0"/>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0"/>
      <c r="AD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c r="IW93" s="0"/>
    </row>
    <row r="94" customFormat="false" ht="12.6" hidden="false" customHeight="true" outlineLevel="0" collapsed="false">
      <c r="A94" s="0"/>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0"/>
      <c r="AD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c r="IW94" s="0"/>
    </row>
    <row r="95" customFormat="false" ht="12.6" hidden="false" customHeight="true" outlineLevel="0" collapsed="false">
      <c r="A95" s="0"/>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0"/>
      <c r="AD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c r="IW95" s="0"/>
    </row>
    <row r="96" customFormat="false" ht="12.6" hidden="false" customHeight="true" outlineLevel="0" collapsed="false">
      <c r="A96" s="0"/>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0"/>
      <c r="AD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c r="IW96" s="0"/>
    </row>
    <row r="97" customFormat="false" ht="12.6" hidden="false" customHeight="true" outlineLevel="0" collapsed="false">
      <c r="A97" s="0"/>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0"/>
      <c r="AD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c r="IW97" s="0"/>
    </row>
    <row r="98" customFormat="false" ht="12.6" hidden="false" customHeight="true" outlineLevel="0" collapsed="false">
      <c r="A98" s="0"/>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0"/>
      <c r="AD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c r="IW98" s="0"/>
    </row>
    <row r="99" customFormat="false" ht="12.6" hidden="false" customHeight="true" outlineLevel="0" collapsed="false">
      <c r="A99" s="0"/>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0"/>
      <c r="AD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c r="IW99" s="0"/>
    </row>
    <row r="100" customFormat="false" ht="12.6" hidden="false" customHeight="true" outlineLevel="0" collapsed="false">
      <c r="A100" s="0"/>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0"/>
      <c r="AD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c r="IW100" s="0"/>
    </row>
    <row r="101" customFormat="false" ht="12.6" hidden="false" customHeight="true" outlineLevel="0" collapsed="false">
      <c r="A101" s="0"/>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0"/>
      <c r="AD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c r="IW101" s="0"/>
    </row>
    <row r="102" customFormat="false" ht="12.6" hidden="false" customHeight="true" outlineLevel="0" collapsed="false">
      <c r="A102" s="0"/>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0"/>
      <c r="AD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c r="IW102" s="0"/>
    </row>
    <row r="103" customFormat="false" ht="12.6" hidden="false" customHeight="true" outlineLevel="0" collapsed="false">
      <c r="B103" s="698"/>
      <c r="D103" s="706"/>
      <c r="E103" s="706"/>
      <c r="F103" s="706"/>
      <c r="G103" s="706"/>
      <c r="H103" s="706"/>
      <c r="I103" s="706"/>
      <c r="J103" s="706"/>
      <c r="K103" s="706"/>
      <c r="L103" s="706"/>
      <c r="M103" s="706"/>
      <c r="N103" s="706"/>
      <c r="O103" s="706"/>
      <c r="P103" s="706"/>
      <c r="Q103" s="706"/>
      <c r="R103" s="706"/>
      <c r="S103" s="706"/>
      <c r="T103" s="706"/>
      <c r="U103" s="706"/>
      <c r="V103" s="706"/>
      <c r="W103" s="706"/>
      <c r="X103" s="706"/>
      <c r="Y103" s="706"/>
      <c r="Z103" s="706"/>
      <c r="AA103" s="706"/>
      <c r="AB103" s="706"/>
    </row>
    <row r="104" customFormat="false" ht="12.6" hidden="false" customHeight="true" outlineLevel="0" collapsed="false">
      <c r="B104" s="698"/>
      <c r="D104" s="706"/>
      <c r="E104" s="706"/>
      <c r="F104" s="706"/>
      <c r="G104" s="706"/>
      <c r="H104" s="706"/>
      <c r="I104" s="706"/>
      <c r="J104" s="706"/>
      <c r="K104" s="706"/>
      <c r="L104" s="706"/>
      <c r="M104" s="442"/>
      <c r="N104" s="442"/>
      <c r="O104" s="442"/>
      <c r="P104" s="442"/>
      <c r="Q104" s="442"/>
      <c r="R104" s="442"/>
      <c r="S104" s="442"/>
      <c r="T104" s="442"/>
      <c r="U104" s="442"/>
      <c r="V104" s="442"/>
      <c r="W104" s="442"/>
      <c r="X104" s="442"/>
      <c r="Y104" s="442"/>
      <c r="Z104" s="442"/>
      <c r="AA104" s="442"/>
      <c r="AB104" s="442"/>
    </row>
    <row r="105" customFormat="false" ht="12.6" hidden="false" customHeight="true" outlineLevel="0" collapsed="false">
      <c r="B105" s="698"/>
      <c r="D105" s="706"/>
      <c r="E105" s="706"/>
      <c r="F105" s="706"/>
      <c r="G105" s="706"/>
      <c r="H105" s="706"/>
      <c r="I105" s="706"/>
      <c r="J105" s="706"/>
      <c r="K105" s="706"/>
      <c r="L105" s="706"/>
      <c r="M105" s="442"/>
      <c r="N105" s="442"/>
      <c r="O105" s="442"/>
      <c r="P105" s="442"/>
      <c r="Q105" s="442"/>
      <c r="R105" s="442"/>
      <c r="S105" s="442"/>
      <c r="T105" s="442"/>
      <c r="U105" s="442"/>
      <c r="V105" s="442"/>
      <c r="W105" s="442"/>
      <c r="X105" s="442"/>
      <c r="Y105" s="442"/>
      <c r="Z105" s="442"/>
      <c r="AA105" s="442"/>
      <c r="AB105" s="442"/>
    </row>
    <row r="106" customFormat="false" ht="12.6" hidden="false" customHeight="true" outlineLevel="0" collapsed="false">
      <c r="B106" s="698"/>
      <c r="D106" s="442"/>
      <c r="E106" s="442"/>
      <c r="F106" s="442"/>
      <c r="G106" s="442"/>
      <c r="H106" s="442"/>
      <c r="I106" s="442"/>
      <c r="J106" s="442"/>
      <c r="K106" s="442"/>
      <c r="L106" s="442"/>
      <c r="M106" s="442"/>
      <c r="N106" s="442"/>
      <c r="O106" s="442"/>
      <c r="P106" s="442"/>
      <c r="Q106" s="442"/>
      <c r="R106" s="442"/>
      <c r="S106" s="442"/>
      <c r="T106" s="442"/>
      <c r="U106" s="442"/>
      <c r="V106" s="442"/>
      <c r="W106" s="442"/>
      <c r="X106" s="442"/>
      <c r="Y106" s="442"/>
      <c r="Z106" s="442"/>
      <c r="AA106" s="442"/>
      <c r="AB106" s="442"/>
    </row>
    <row r="107" customFormat="false" ht="12.6" hidden="false" customHeight="true" outlineLevel="0" collapsed="false">
      <c r="B107" s="698"/>
      <c r="D107" s="442"/>
      <c r="E107" s="442"/>
      <c r="F107" s="442"/>
      <c r="G107" s="442"/>
      <c r="H107" s="442"/>
      <c r="I107" s="442"/>
      <c r="J107" s="442"/>
      <c r="K107" s="442"/>
      <c r="L107" s="442"/>
      <c r="M107" s="442"/>
      <c r="N107" s="442"/>
      <c r="O107" s="442"/>
      <c r="P107" s="442"/>
      <c r="Q107" s="442"/>
      <c r="R107" s="442"/>
      <c r="S107" s="442"/>
      <c r="T107" s="442"/>
      <c r="U107" s="442"/>
      <c r="V107" s="442"/>
      <c r="W107" s="442"/>
      <c r="X107" s="442"/>
      <c r="Y107" s="442"/>
      <c r="Z107" s="442"/>
      <c r="AA107" s="442"/>
      <c r="AB107" s="442"/>
    </row>
    <row r="108" customFormat="false" ht="12.6" hidden="false" customHeight="true" outlineLevel="0" collapsed="false">
      <c r="A108" s="0"/>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0"/>
      <c r="AD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c r="IW108" s="0"/>
    </row>
    <row r="109" customFormat="false" ht="12.6" hidden="false" customHeight="true" outlineLevel="0" collapsed="false">
      <c r="A109" s="0"/>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0"/>
      <c r="AD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c r="IW109" s="0"/>
    </row>
    <row r="110" customFormat="false" ht="12.6" hidden="false" customHeight="true" outlineLevel="0" collapsed="false">
      <c r="A110" s="0"/>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0"/>
      <c r="AD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c r="IW110" s="0"/>
    </row>
    <row r="111" customFormat="false" ht="12.6" hidden="false" customHeight="true" outlineLevel="0" collapsed="false">
      <c r="B111" s="698"/>
      <c r="D111" s="707"/>
      <c r="E111" s="707"/>
      <c r="F111" s="707"/>
      <c r="G111" s="707"/>
      <c r="H111" s="707"/>
      <c r="I111" s="707"/>
      <c r="J111" s="707"/>
      <c r="K111" s="707"/>
      <c r="L111" s="707"/>
      <c r="M111" s="707"/>
      <c r="N111" s="707"/>
      <c r="O111" s="707"/>
      <c r="P111" s="707"/>
      <c r="Q111" s="707"/>
      <c r="R111" s="707"/>
      <c r="S111" s="707"/>
      <c r="T111" s="707"/>
      <c r="U111" s="707"/>
      <c r="V111" s="707"/>
      <c r="W111" s="707"/>
      <c r="X111" s="707"/>
      <c r="Y111" s="707"/>
      <c r="Z111" s="707"/>
      <c r="AA111" s="707"/>
      <c r="AB111" s="707"/>
    </row>
    <row r="112" customFormat="false" ht="12.6" hidden="false" customHeight="true" outlineLevel="0" collapsed="false">
      <c r="B112" s="698"/>
      <c r="D112" s="442"/>
      <c r="E112" s="442"/>
      <c r="F112" s="442"/>
      <c r="G112" s="442"/>
      <c r="H112" s="442"/>
      <c r="I112" s="442"/>
      <c r="J112" s="442"/>
      <c r="K112" s="442"/>
      <c r="L112" s="442"/>
      <c r="M112" s="442"/>
      <c r="N112" s="442"/>
      <c r="O112" s="442"/>
      <c r="P112" s="442"/>
      <c r="Q112" s="442"/>
      <c r="R112" s="442"/>
      <c r="S112" s="442"/>
      <c r="T112" s="442"/>
      <c r="U112" s="442"/>
      <c r="V112" s="442"/>
      <c r="W112" s="442"/>
      <c r="X112" s="442"/>
      <c r="Y112" s="442"/>
      <c r="Z112" s="442"/>
      <c r="AA112" s="442"/>
      <c r="AB112" s="442"/>
    </row>
    <row r="123" customFormat="false" ht="12.6" hidden="false" customHeight="true" outlineLevel="0" collapsed="false">
      <c r="A123" s="0"/>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0"/>
      <c r="AD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c r="IW123" s="0"/>
    </row>
    <row r="124" customFormat="false" ht="12.6" hidden="false" customHeight="true" outlineLevel="0" collapsed="false">
      <c r="A124" s="0"/>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0"/>
      <c r="AD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c r="IW124" s="0"/>
    </row>
    <row r="125" customFormat="false" ht="12.6" hidden="false" customHeight="true" outlineLevel="0" collapsed="false">
      <c r="A125" s="0"/>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0"/>
      <c r="AD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c r="IW125" s="0"/>
    </row>
    <row r="126" customFormat="false" ht="12.6" hidden="false" customHeight="true" outlineLevel="0" collapsed="false">
      <c r="A126" s="0"/>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0"/>
      <c r="AD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c r="IW126" s="0"/>
    </row>
    <row r="127" customFormat="false" ht="12.6" hidden="false" customHeight="true" outlineLevel="0" collapsed="false">
      <c r="A127" s="0"/>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0"/>
      <c r="AD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c r="IW127" s="0"/>
    </row>
    <row r="128" customFormat="false" ht="12.6" hidden="false" customHeight="true" outlineLevel="0" collapsed="false">
      <c r="A128" s="0"/>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0"/>
      <c r="AD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c r="IW128" s="0"/>
    </row>
    <row r="129" customFormat="false" ht="12.6" hidden="false" customHeight="true" outlineLevel="0" collapsed="false">
      <c r="A129" s="0"/>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0"/>
      <c r="AD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c r="IW129" s="0"/>
    </row>
    <row r="130" customFormat="false" ht="12.6" hidden="false" customHeight="true" outlineLevel="0" collapsed="false">
      <c r="A130" s="0"/>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0"/>
      <c r="AD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c r="IW130" s="0"/>
    </row>
    <row r="131" customFormat="false" ht="12.6" hidden="false" customHeight="true" outlineLevel="0" collapsed="false">
      <c r="A131" s="0"/>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0"/>
      <c r="AD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c r="IW131" s="0"/>
    </row>
    <row r="132" customFormat="false" ht="12.6" hidden="false" customHeight="true" outlineLevel="0" collapsed="false">
      <c r="A132" s="0"/>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0"/>
      <c r="AD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c r="IW132" s="0"/>
    </row>
    <row r="133" customFormat="false" ht="12.6" hidden="false" customHeight="true" outlineLevel="0" collapsed="false">
      <c r="A133" s="0"/>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0"/>
      <c r="AD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c r="IW133" s="0"/>
    </row>
    <row r="134" customFormat="false" ht="12.6" hidden="false" customHeight="true" outlineLevel="0" collapsed="false">
      <c r="A134" s="0"/>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0"/>
      <c r="AD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c r="IW134" s="0"/>
    </row>
    <row r="135" customFormat="false" ht="12.6" hidden="false" customHeight="true" outlineLevel="0" collapsed="false">
      <c r="A135" s="0"/>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0"/>
      <c r="AD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c r="IW135" s="0"/>
    </row>
    <row r="136" customFormat="false" ht="12.6" hidden="false" customHeight="true" outlineLevel="0" collapsed="false">
      <c r="A136" s="0"/>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0"/>
      <c r="AD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c r="IW136" s="0"/>
    </row>
    <row r="137" customFormat="false" ht="12.6" hidden="false" customHeight="true" outlineLevel="0" collapsed="false">
      <c r="A137" s="0"/>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0"/>
      <c r="AD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c r="IW137" s="0"/>
    </row>
    <row r="138" customFormat="false" ht="12.6" hidden="false" customHeight="true" outlineLevel="0" collapsed="false">
      <c r="A138" s="0"/>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0"/>
      <c r="AD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c r="IW138" s="0"/>
    </row>
    <row r="139" customFormat="false" ht="12.6" hidden="false" customHeight="true" outlineLevel="0" collapsed="false">
      <c r="A139" s="0"/>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0"/>
      <c r="AD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c r="IW139" s="0"/>
    </row>
    <row r="140" customFormat="false" ht="12.6" hidden="false" customHeight="true" outlineLevel="0" collapsed="false">
      <c r="A140" s="0"/>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0"/>
      <c r="AD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c r="IW140" s="0"/>
    </row>
    <row r="141" customFormat="false" ht="12.6" hidden="false" customHeight="true" outlineLevel="0" collapsed="false">
      <c r="A141" s="0"/>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0"/>
      <c r="AD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c r="IW141" s="0"/>
    </row>
    <row r="142" customFormat="false" ht="12.6" hidden="false" customHeight="true" outlineLevel="0" collapsed="false">
      <c r="A142" s="0"/>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0"/>
      <c r="AD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c r="IW142" s="0"/>
    </row>
    <row r="143" customFormat="false" ht="12.6" hidden="false" customHeight="true" outlineLevel="0" collapsed="false">
      <c r="A143" s="0"/>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0"/>
      <c r="AD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c r="IW143" s="0"/>
    </row>
    <row r="144" customFormat="false" ht="12.6" hidden="false" customHeight="true" outlineLevel="0" collapsed="false">
      <c r="A144" s="0"/>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0"/>
      <c r="AD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c r="IW144" s="0"/>
    </row>
    <row r="145" customFormat="false" ht="12.6" hidden="false" customHeight="true" outlineLevel="0" collapsed="false">
      <c r="A145" s="0"/>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0"/>
      <c r="AD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c r="IW145" s="0"/>
    </row>
    <row r="146" customFormat="false" ht="12.6" hidden="false" customHeight="true" outlineLevel="0" collapsed="false">
      <c r="A146" s="0"/>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0"/>
      <c r="AD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c r="IW146" s="0"/>
    </row>
    <row r="147" customFormat="false" ht="12.6" hidden="false" customHeight="true" outlineLevel="0" collapsed="false">
      <c r="A147" s="0"/>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0"/>
      <c r="AD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c r="IW147" s="0"/>
    </row>
    <row r="148" customFormat="false" ht="12.6" hidden="false" customHeight="true" outlineLevel="0" collapsed="false">
      <c r="A148" s="0"/>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0"/>
      <c r="AD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c r="IW148" s="0"/>
    </row>
    <row r="242" customFormat="false" ht="12.6" hidden="false" customHeight="true" outlineLevel="0" collapsed="false">
      <c r="D242" s="417"/>
      <c r="E242" s="417"/>
      <c r="F242" s="417"/>
      <c r="G242" s="417"/>
      <c r="H242" s="417"/>
      <c r="I242" s="417"/>
      <c r="J242" s="417"/>
      <c r="K242" s="417"/>
      <c r="L242" s="417"/>
      <c r="M242" s="417"/>
      <c r="N242" s="417"/>
      <c r="O242" s="417"/>
      <c r="P242" s="417"/>
      <c r="Q242" s="417"/>
      <c r="R242" s="417"/>
      <c r="S242" s="417"/>
      <c r="T242" s="417"/>
      <c r="U242" s="417"/>
      <c r="V242" s="417"/>
      <c r="W242" s="417"/>
      <c r="X242" s="417"/>
      <c r="Y242" s="417"/>
      <c r="Z242" s="417"/>
      <c r="AA242" s="417"/>
      <c r="AB242" s="417" t="n">
        <v>0</v>
      </c>
    </row>
    <row r="243" customFormat="false" ht="12.6" hidden="false" customHeight="true" outlineLevel="0" collapsed="false">
      <c r="D243" s="417"/>
      <c r="E243" s="417"/>
      <c r="F243" s="417"/>
      <c r="G243" s="417"/>
      <c r="H243" s="417"/>
      <c r="I243" s="417"/>
      <c r="J243" s="417"/>
      <c r="K243" s="417"/>
      <c r="L243" s="417"/>
      <c r="M243" s="417"/>
      <c r="N243" s="417"/>
      <c r="O243" s="417"/>
      <c r="P243" s="417"/>
      <c r="Q243" s="417"/>
      <c r="R243" s="417"/>
      <c r="S243" s="417"/>
      <c r="T243" s="417"/>
      <c r="U243" s="417"/>
      <c r="V243" s="417"/>
      <c r="W243" s="417"/>
      <c r="X243" s="417"/>
      <c r="Y243" s="417"/>
      <c r="Z243" s="417"/>
      <c r="AA243" s="417"/>
      <c r="AB243" s="417" t="n">
        <v>0</v>
      </c>
    </row>
    <row r="244" customFormat="false" ht="12.6" hidden="false" customHeight="true" outlineLevel="0" collapsed="false">
      <c r="D244" s="417"/>
      <c r="E244" s="417"/>
      <c r="F244" s="417"/>
      <c r="G244" s="417"/>
      <c r="H244" s="417"/>
      <c r="I244" s="417"/>
      <c r="J244" s="417"/>
      <c r="K244" s="417"/>
      <c r="L244" s="417"/>
      <c r="M244" s="417"/>
      <c r="N244" s="417"/>
      <c r="O244" s="417"/>
      <c r="P244" s="417"/>
      <c r="Q244" s="417"/>
      <c r="R244" s="417"/>
      <c r="S244" s="417"/>
      <c r="T244" s="417"/>
      <c r="U244" s="417"/>
      <c r="V244" s="417"/>
      <c r="W244" s="417"/>
      <c r="X244" s="417"/>
      <c r="Y244" s="417"/>
      <c r="Z244" s="417"/>
      <c r="AA244" s="417"/>
      <c r="AB244" s="417" t="n">
        <v>0</v>
      </c>
    </row>
    <row r="245" customFormat="false" ht="12.6" hidden="false" customHeight="true" outlineLevel="0" collapsed="false">
      <c r="D245" s="417"/>
      <c r="E245" s="417"/>
      <c r="F245" s="417"/>
      <c r="G245" s="417"/>
      <c r="H245" s="417"/>
      <c r="I245" s="417"/>
      <c r="J245" s="417"/>
      <c r="K245" s="417"/>
      <c r="L245" s="417"/>
      <c r="M245" s="417"/>
      <c r="N245" s="417"/>
      <c r="O245" s="417"/>
      <c r="P245" s="417"/>
      <c r="Q245" s="417"/>
      <c r="R245" s="417"/>
      <c r="S245" s="417"/>
      <c r="T245" s="417"/>
      <c r="U245" s="417"/>
      <c r="V245" s="417"/>
      <c r="W245" s="417"/>
      <c r="X245" s="417"/>
      <c r="Y245" s="417"/>
      <c r="Z245" s="417"/>
      <c r="AA245" s="417"/>
      <c r="AB245" s="417" t="n">
        <v>0</v>
      </c>
    </row>
    <row r="246" customFormat="false" ht="12.6" hidden="false" customHeight="true" outlineLevel="0" collapsed="false">
      <c r="D246" s="417"/>
      <c r="E246" s="417"/>
      <c r="F246" s="417"/>
      <c r="G246" s="417"/>
      <c r="H246" s="417"/>
      <c r="I246" s="417"/>
      <c r="J246" s="417"/>
      <c r="K246" s="417"/>
      <c r="L246" s="417"/>
      <c r="M246" s="417"/>
      <c r="N246" s="417"/>
      <c r="O246" s="417"/>
      <c r="P246" s="417"/>
      <c r="Q246" s="417"/>
      <c r="R246" s="417"/>
      <c r="S246" s="417"/>
      <c r="T246" s="417"/>
      <c r="U246" s="417"/>
      <c r="V246" s="417"/>
      <c r="W246" s="417"/>
      <c r="X246" s="417"/>
      <c r="Y246" s="417"/>
      <c r="Z246" s="417"/>
      <c r="AA246" s="417"/>
      <c r="AB246" s="417" t="n">
        <v>0</v>
      </c>
    </row>
    <row r="247" customFormat="false" ht="12.6" hidden="false" customHeight="true" outlineLevel="0" collapsed="false">
      <c r="D247" s="417"/>
      <c r="E247" s="417"/>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t="n">
        <v>0</v>
      </c>
    </row>
    <row r="248" customFormat="false" ht="12.6" hidden="false" customHeight="true" outlineLevel="0" collapsed="false">
      <c r="D248" s="417"/>
      <c r="E248" s="417"/>
      <c r="F248" s="417"/>
      <c r="G248" s="417"/>
      <c r="H248" s="417"/>
      <c r="I248" s="417"/>
      <c r="J248" s="417"/>
      <c r="K248" s="417"/>
      <c r="L248" s="417"/>
      <c r="M248" s="417"/>
      <c r="N248" s="417"/>
      <c r="O248" s="417"/>
      <c r="P248" s="417"/>
      <c r="Q248" s="417"/>
      <c r="R248" s="417"/>
      <c r="S248" s="417"/>
      <c r="T248" s="417"/>
      <c r="U248" s="417"/>
      <c r="V248" s="417"/>
      <c r="W248" s="417"/>
      <c r="X248" s="417"/>
      <c r="Y248" s="417"/>
      <c r="Z248" s="417"/>
      <c r="AA248" s="417"/>
      <c r="AB248" s="417" t="n">
        <v>0</v>
      </c>
    </row>
    <row r="249" customFormat="false" ht="12.6" hidden="false" customHeight="true" outlineLevel="0" collapsed="false">
      <c r="D249" s="417"/>
      <c r="E249" s="417"/>
      <c r="F249" s="417"/>
      <c r="G249" s="417"/>
      <c r="H249" s="417"/>
      <c r="I249" s="417"/>
      <c r="J249" s="417"/>
      <c r="K249" s="417"/>
      <c r="L249" s="417"/>
      <c r="M249" s="417"/>
      <c r="N249" s="417"/>
      <c r="O249" s="417"/>
      <c r="P249" s="417"/>
      <c r="Q249" s="417"/>
      <c r="R249" s="417"/>
      <c r="S249" s="417"/>
      <c r="T249" s="417"/>
      <c r="U249" s="417"/>
      <c r="V249" s="417"/>
      <c r="W249" s="417"/>
      <c r="X249" s="417"/>
      <c r="Y249" s="417"/>
      <c r="Z249" s="417"/>
      <c r="AA249" s="417"/>
      <c r="AB249" s="417" t="n">
        <v>0</v>
      </c>
    </row>
    <row r="250" customFormat="false" ht="12.6" hidden="false" customHeight="true" outlineLevel="0" collapsed="false">
      <c r="D250" s="417"/>
      <c r="E250" s="417"/>
      <c r="F250" s="417"/>
      <c r="G250" s="417"/>
      <c r="H250" s="417"/>
      <c r="I250" s="417"/>
      <c r="J250" s="417"/>
      <c r="K250" s="417"/>
      <c r="L250" s="417"/>
      <c r="M250" s="417"/>
      <c r="N250" s="417"/>
      <c r="O250" s="417"/>
      <c r="P250" s="417"/>
      <c r="Q250" s="417"/>
      <c r="R250" s="417"/>
      <c r="S250" s="417"/>
      <c r="T250" s="417"/>
      <c r="U250" s="417"/>
      <c r="V250" s="417"/>
      <c r="W250" s="417"/>
      <c r="X250" s="417"/>
      <c r="Y250" s="417"/>
      <c r="Z250" s="417"/>
      <c r="AA250" s="417"/>
      <c r="AB250" s="417" t="n">
        <v>0</v>
      </c>
    </row>
    <row r="251" customFormat="false" ht="12.6" hidden="false" customHeight="true" outlineLevel="0" collapsed="false">
      <c r="D251" s="417"/>
      <c r="E251" s="417"/>
      <c r="F251" s="417"/>
      <c r="G251" s="417"/>
      <c r="H251" s="417"/>
      <c r="I251" s="417"/>
      <c r="J251" s="417"/>
      <c r="K251" s="417"/>
      <c r="L251" s="417"/>
      <c r="M251" s="417"/>
      <c r="N251" s="417"/>
      <c r="O251" s="417"/>
      <c r="P251" s="417"/>
      <c r="Q251" s="417"/>
      <c r="R251" s="417"/>
      <c r="S251" s="417"/>
      <c r="T251" s="417"/>
      <c r="U251" s="417"/>
      <c r="V251" s="417"/>
      <c r="W251" s="417"/>
      <c r="X251" s="417"/>
      <c r="Y251" s="417"/>
      <c r="Z251" s="417"/>
      <c r="AA251" s="417"/>
      <c r="AB251" s="417" t="n">
        <v>0</v>
      </c>
    </row>
    <row r="252" customFormat="false" ht="12.6" hidden="false" customHeight="true" outlineLevel="0" collapsed="false">
      <c r="D252" s="417"/>
      <c r="E252" s="417"/>
      <c r="F252" s="417"/>
      <c r="G252" s="417"/>
      <c r="H252" s="417"/>
      <c r="I252" s="417"/>
      <c r="J252" s="417"/>
      <c r="K252" s="417"/>
      <c r="L252" s="417"/>
      <c r="M252" s="417"/>
      <c r="N252" s="417"/>
      <c r="O252" s="417"/>
      <c r="P252" s="417"/>
      <c r="Q252" s="417"/>
      <c r="R252" s="417"/>
      <c r="S252" s="417"/>
      <c r="T252" s="417"/>
      <c r="U252" s="417"/>
      <c r="V252" s="417"/>
      <c r="W252" s="417"/>
      <c r="X252" s="417"/>
      <c r="Y252" s="417"/>
      <c r="Z252" s="417"/>
      <c r="AA252" s="417"/>
      <c r="AB252" s="417" t="n">
        <v>0</v>
      </c>
    </row>
    <row r="253" customFormat="false" ht="12.6" hidden="false" customHeight="true" outlineLevel="0" collapsed="false">
      <c r="D253" s="417"/>
      <c r="E253" s="417"/>
      <c r="F253" s="417"/>
      <c r="G253" s="417"/>
      <c r="H253" s="417"/>
      <c r="I253" s="417"/>
      <c r="J253" s="417"/>
      <c r="K253" s="417"/>
      <c r="L253" s="417"/>
      <c r="M253" s="417"/>
      <c r="N253" s="417"/>
      <c r="O253" s="417"/>
      <c r="P253" s="417"/>
      <c r="Q253" s="417"/>
      <c r="R253" s="417"/>
      <c r="S253" s="417"/>
      <c r="T253" s="417"/>
      <c r="U253" s="417"/>
      <c r="V253" s="417"/>
      <c r="W253" s="417"/>
      <c r="X253" s="417"/>
      <c r="Y253" s="417"/>
      <c r="Z253" s="417"/>
      <c r="AA253" s="417"/>
      <c r="AB253" s="417" t="n">
        <v>0</v>
      </c>
    </row>
    <row r="254" customFormat="false" ht="12.6" hidden="false" customHeight="true" outlineLevel="0" collapsed="false">
      <c r="D254" s="417"/>
      <c r="E254" s="417"/>
      <c r="F254" s="417"/>
      <c r="G254" s="417"/>
      <c r="H254" s="417"/>
      <c r="I254" s="417"/>
      <c r="J254" s="417"/>
      <c r="K254" s="417"/>
      <c r="L254" s="417"/>
      <c r="M254" s="417"/>
      <c r="N254" s="417"/>
      <c r="O254" s="417"/>
      <c r="P254" s="417"/>
      <c r="Q254" s="417"/>
      <c r="R254" s="417"/>
      <c r="S254" s="417"/>
      <c r="T254" s="417"/>
      <c r="U254" s="417"/>
      <c r="V254" s="417"/>
      <c r="W254" s="417"/>
      <c r="X254" s="417"/>
      <c r="Y254" s="417"/>
      <c r="Z254" s="417"/>
      <c r="AA254" s="417"/>
      <c r="AB254" s="417" t="n">
        <v>0</v>
      </c>
    </row>
    <row r="255" customFormat="false" ht="12.6" hidden="false" customHeight="true" outlineLevel="0" collapsed="false">
      <c r="D255" s="417"/>
      <c r="E255" s="417"/>
      <c r="F255" s="417"/>
      <c r="G255" s="417"/>
      <c r="H255" s="417"/>
      <c r="I255" s="417"/>
      <c r="J255" s="417"/>
      <c r="K255" s="417"/>
      <c r="L255" s="417"/>
      <c r="M255" s="417"/>
      <c r="N255" s="417"/>
      <c r="O255" s="417"/>
      <c r="P255" s="417"/>
      <c r="Q255" s="417"/>
      <c r="R255" s="417"/>
      <c r="S255" s="417"/>
      <c r="T255" s="417"/>
      <c r="U255" s="417"/>
      <c r="V255" s="417"/>
      <c r="W255" s="417"/>
      <c r="X255" s="417"/>
      <c r="Y255" s="417"/>
      <c r="Z255" s="417"/>
      <c r="AA255" s="417"/>
      <c r="AB255" s="417" t="n">
        <v>0</v>
      </c>
    </row>
    <row r="256" customFormat="false" ht="12.6" hidden="false" customHeight="true" outlineLevel="0" collapsed="false">
      <c r="D256" s="417"/>
      <c r="E256" s="417"/>
      <c r="F256" s="417"/>
      <c r="G256" s="417"/>
      <c r="H256" s="417"/>
      <c r="I256" s="417"/>
      <c r="J256" s="417"/>
      <c r="K256" s="417"/>
      <c r="L256" s="417"/>
      <c r="M256" s="417"/>
      <c r="N256" s="417"/>
      <c r="O256" s="417"/>
      <c r="P256" s="417"/>
      <c r="Q256" s="417"/>
      <c r="R256" s="417"/>
      <c r="S256" s="417"/>
      <c r="T256" s="417"/>
      <c r="U256" s="417"/>
      <c r="V256" s="417"/>
      <c r="W256" s="417"/>
      <c r="X256" s="417"/>
      <c r="Y256" s="417"/>
      <c r="Z256" s="417"/>
      <c r="AA256" s="417"/>
      <c r="AB256" s="417" t="n">
        <v>0</v>
      </c>
    </row>
    <row r="257" customFormat="false" ht="12.6" hidden="false" customHeight="true" outlineLevel="0" collapsed="false">
      <c r="A257" s="0"/>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0"/>
      <c r="AD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c r="IW257" s="0"/>
    </row>
    <row r="258" customFormat="false" ht="12.6" hidden="false" customHeight="true" outlineLevel="0" collapsed="false">
      <c r="A258" s="0"/>
      <c r="B258" s="7"/>
      <c r="C258" s="7"/>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0"/>
      <c r="AD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c r="IW258" s="0"/>
    </row>
    <row r="259" customFormat="false" ht="12.6" hidden="false" customHeight="true" outlineLevel="0" collapsed="false">
      <c r="D259" s="417"/>
      <c r="E259" s="417"/>
      <c r="F259" s="417"/>
      <c r="G259" s="417"/>
      <c r="H259" s="417"/>
      <c r="I259" s="417"/>
      <c r="J259" s="417"/>
      <c r="K259" s="417"/>
      <c r="L259" s="417"/>
      <c r="M259" s="417"/>
      <c r="N259" s="417"/>
      <c r="O259" s="417"/>
      <c r="P259" s="417"/>
      <c r="Q259" s="417"/>
      <c r="R259" s="417"/>
      <c r="S259" s="417"/>
      <c r="T259" s="417"/>
      <c r="U259" s="417"/>
      <c r="V259" s="417"/>
      <c r="W259" s="417"/>
      <c r="X259" s="417"/>
      <c r="Y259" s="417"/>
      <c r="Z259" s="417"/>
      <c r="AA259" s="417"/>
      <c r="AB259" s="417" t="n">
        <v>0</v>
      </c>
    </row>
    <row r="260" customFormat="false" ht="12.6" hidden="false" customHeight="true" outlineLevel="0" collapsed="false">
      <c r="D260" s="417"/>
      <c r="E260" s="417"/>
      <c r="F260" s="417"/>
      <c r="G260" s="417"/>
      <c r="H260" s="417"/>
      <c r="I260" s="417"/>
      <c r="J260" s="417"/>
      <c r="K260" s="417"/>
      <c r="L260" s="417"/>
      <c r="M260" s="417"/>
      <c r="N260" s="417"/>
      <c r="O260" s="417"/>
      <c r="P260" s="417"/>
      <c r="Q260" s="417"/>
      <c r="R260" s="417"/>
      <c r="S260" s="417"/>
      <c r="T260" s="417"/>
      <c r="U260" s="417"/>
      <c r="V260" s="417"/>
      <c r="W260" s="417"/>
      <c r="X260" s="417"/>
      <c r="Y260" s="417"/>
      <c r="Z260" s="417"/>
      <c r="AA260" s="417"/>
      <c r="AB260" s="417"/>
    </row>
    <row r="261" customFormat="false" ht="12.6" hidden="false" customHeight="true" outlineLevel="0" collapsed="false">
      <c r="D261" s="417"/>
      <c r="E261" s="417"/>
      <c r="F261" s="417"/>
      <c r="G261" s="417"/>
      <c r="H261" s="417"/>
      <c r="I261" s="417"/>
      <c r="J261" s="417"/>
      <c r="K261" s="417"/>
      <c r="L261" s="417"/>
      <c r="M261" s="417"/>
      <c r="N261" s="417"/>
      <c r="O261" s="417"/>
      <c r="P261" s="417"/>
      <c r="Q261" s="417"/>
      <c r="R261" s="417"/>
      <c r="S261" s="417"/>
      <c r="T261" s="417"/>
      <c r="U261" s="417"/>
      <c r="V261" s="417"/>
      <c r="W261" s="417"/>
      <c r="X261" s="417"/>
      <c r="Y261" s="417"/>
      <c r="Z261" s="417"/>
      <c r="AA261" s="417"/>
      <c r="AB261" s="417"/>
    </row>
    <row r="262" customFormat="false" ht="12.6" hidden="false" customHeight="true" outlineLevel="0" collapsed="false">
      <c r="D262" s="417"/>
      <c r="E262" s="417"/>
      <c r="F262" s="417"/>
      <c r="G262" s="417"/>
      <c r="H262" s="417"/>
      <c r="I262" s="417"/>
      <c r="J262" s="417"/>
      <c r="K262" s="417"/>
      <c r="L262" s="417"/>
      <c r="M262" s="417"/>
      <c r="N262" s="417"/>
      <c r="O262" s="417"/>
      <c r="P262" s="417"/>
      <c r="Q262" s="417"/>
      <c r="R262" s="417"/>
      <c r="S262" s="417"/>
      <c r="T262" s="417"/>
      <c r="U262" s="417"/>
      <c r="V262" s="417"/>
      <c r="W262" s="417"/>
      <c r="X262" s="417"/>
      <c r="Y262" s="417"/>
      <c r="Z262" s="417"/>
      <c r="AA262" s="417"/>
      <c r="AB262" s="417"/>
    </row>
    <row r="263" customFormat="false" ht="12.6" hidden="false" customHeight="true" outlineLevel="0" collapsed="false">
      <c r="D263" s="417"/>
      <c r="E263" s="417"/>
      <c r="F263" s="417"/>
      <c r="G263" s="417"/>
      <c r="H263" s="417"/>
      <c r="I263" s="417"/>
      <c r="J263" s="417"/>
      <c r="K263" s="417"/>
      <c r="L263" s="417"/>
      <c r="M263" s="417"/>
      <c r="N263" s="417"/>
      <c r="O263" s="417"/>
      <c r="P263" s="417"/>
      <c r="Q263" s="417"/>
      <c r="R263" s="417"/>
      <c r="S263" s="417"/>
      <c r="T263" s="417"/>
      <c r="U263" s="417"/>
      <c r="V263" s="417"/>
      <c r="W263" s="417"/>
      <c r="X263" s="417"/>
      <c r="Y263" s="417"/>
      <c r="Z263" s="417"/>
      <c r="AA263" s="417"/>
      <c r="AB263" s="417"/>
    </row>
    <row r="264" customFormat="false" ht="12.6" hidden="false" customHeight="true" outlineLevel="0" collapsed="false">
      <c r="D264" s="417"/>
      <c r="E264" s="417"/>
      <c r="F264" s="417"/>
      <c r="G264" s="417"/>
      <c r="H264" s="417"/>
      <c r="I264" s="417"/>
      <c r="J264" s="417"/>
      <c r="K264" s="417"/>
      <c r="L264" s="417"/>
      <c r="M264" s="417"/>
      <c r="N264" s="417"/>
      <c r="O264" s="417"/>
      <c r="P264" s="417"/>
      <c r="Q264" s="417"/>
      <c r="R264" s="417"/>
      <c r="S264" s="417"/>
      <c r="T264" s="417"/>
      <c r="U264" s="417"/>
      <c r="V264" s="417"/>
      <c r="W264" s="417"/>
      <c r="X264" s="417"/>
      <c r="Y264" s="417"/>
      <c r="Z264" s="417"/>
      <c r="AA264" s="417"/>
      <c r="AB264" s="417"/>
    </row>
    <row r="265" customFormat="false" ht="12.6" hidden="false" customHeight="true" outlineLevel="0" collapsed="false">
      <c r="D265" s="417"/>
      <c r="E265" s="417"/>
      <c r="F265" s="417"/>
      <c r="G265" s="417"/>
      <c r="H265" s="417"/>
      <c r="I265" s="417"/>
      <c r="J265" s="417"/>
      <c r="K265" s="417"/>
      <c r="L265" s="417"/>
      <c r="M265" s="417"/>
      <c r="N265" s="417"/>
      <c r="O265" s="417"/>
      <c r="P265" s="417"/>
      <c r="Q265" s="417"/>
      <c r="R265" s="417"/>
      <c r="S265" s="417"/>
      <c r="T265" s="417"/>
      <c r="U265" s="417"/>
      <c r="V265" s="417"/>
      <c r="W265" s="417"/>
      <c r="X265" s="417"/>
      <c r="Y265" s="417"/>
      <c r="Z265" s="417"/>
      <c r="AA265" s="417"/>
      <c r="AB265" s="417"/>
    </row>
    <row r="266" customFormat="false" ht="12.6" hidden="false" customHeight="true" outlineLevel="0" collapsed="false">
      <c r="D266" s="417"/>
      <c r="E266" s="417"/>
      <c r="F266" s="417"/>
      <c r="G266" s="417"/>
      <c r="H266" s="417"/>
      <c r="I266" s="417"/>
      <c r="J266" s="417"/>
      <c r="K266" s="417"/>
      <c r="L266" s="417"/>
      <c r="M266" s="417"/>
      <c r="N266" s="417"/>
      <c r="O266" s="417"/>
      <c r="P266" s="417"/>
      <c r="Q266" s="417"/>
      <c r="R266" s="417"/>
      <c r="S266" s="417"/>
      <c r="T266" s="417"/>
      <c r="U266" s="417"/>
      <c r="V266" s="417"/>
      <c r="W266" s="417"/>
      <c r="X266" s="417"/>
      <c r="Y266" s="417"/>
      <c r="Z266" s="417"/>
      <c r="AA266" s="417"/>
      <c r="AB266" s="417"/>
    </row>
    <row r="267" customFormat="false" ht="12.6" hidden="false" customHeight="true" outlineLevel="0" collapsed="false">
      <c r="D267" s="417"/>
      <c r="E267" s="417"/>
      <c r="F267" s="417"/>
      <c r="G267" s="417"/>
      <c r="H267" s="417"/>
      <c r="I267" s="417"/>
      <c r="J267" s="417"/>
      <c r="K267" s="417"/>
      <c r="L267" s="417"/>
      <c r="M267" s="417"/>
      <c r="N267" s="417"/>
      <c r="O267" s="417"/>
      <c r="P267" s="417"/>
      <c r="Q267" s="417"/>
      <c r="R267" s="417"/>
      <c r="S267" s="417"/>
      <c r="T267" s="417"/>
      <c r="U267" s="417"/>
      <c r="V267" s="417"/>
      <c r="W267" s="417"/>
      <c r="X267" s="417"/>
      <c r="Y267" s="417"/>
      <c r="Z267" s="417"/>
      <c r="AA267" s="417"/>
      <c r="AB267" s="417"/>
    </row>
    <row r="268" customFormat="false" ht="12.6" hidden="false" customHeight="true" outlineLevel="0" collapsed="false">
      <c r="D268" s="417"/>
      <c r="E268" s="417"/>
      <c r="F268" s="417"/>
      <c r="G268" s="417"/>
      <c r="H268" s="417"/>
      <c r="I268" s="417"/>
      <c r="J268" s="417"/>
      <c r="K268" s="417"/>
      <c r="L268" s="417"/>
      <c r="M268" s="417"/>
      <c r="N268" s="417"/>
      <c r="O268" s="417"/>
      <c r="P268" s="417"/>
      <c r="Q268" s="417"/>
      <c r="R268" s="417"/>
      <c r="S268" s="417"/>
      <c r="T268" s="417"/>
      <c r="U268" s="417"/>
      <c r="V268" s="417"/>
      <c r="W268" s="417"/>
      <c r="X268" s="417"/>
      <c r="Y268" s="417"/>
      <c r="Z268" s="417"/>
      <c r="AA268" s="417"/>
      <c r="AB268" s="417"/>
    </row>
    <row r="269" customFormat="false" ht="12.6" hidden="false" customHeight="true" outlineLevel="0" collapsed="false">
      <c r="D269" s="417"/>
      <c r="E269" s="417"/>
      <c r="F269" s="417"/>
      <c r="G269" s="417"/>
      <c r="H269" s="417"/>
      <c r="I269" s="417"/>
      <c r="J269" s="417"/>
      <c r="K269" s="417"/>
      <c r="L269" s="417"/>
      <c r="M269" s="417"/>
      <c r="N269" s="417"/>
      <c r="O269" s="417"/>
      <c r="P269" s="417"/>
      <c r="Q269" s="417"/>
      <c r="R269" s="417"/>
      <c r="S269" s="417"/>
      <c r="T269" s="417"/>
      <c r="U269" s="417"/>
      <c r="V269" s="417"/>
      <c r="W269" s="417"/>
      <c r="X269" s="417"/>
      <c r="Y269" s="417"/>
      <c r="Z269" s="417"/>
      <c r="AA269" s="417"/>
      <c r="AB269" s="417"/>
    </row>
    <row r="270" customFormat="false" ht="12.6" hidden="false" customHeight="true" outlineLevel="0" collapsed="false">
      <c r="D270" s="417"/>
      <c r="E270" s="417"/>
      <c r="F270" s="417"/>
      <c r="G270" s="417"/>
      <c r="H270" s="417"/>
      <c r="I270" s="417"/>
      <c r="J270" s="417"/>
      <c r="K270" s="417"/>
      <c r="L270" s="417"/>
      <c r="M270" s="417"/>
      <c r="N270" s="417"/>
      <c r="O270" s="417"/>
      <c r="P270" s="417"/>
      <c r="Q270" s="417"/>
      <c r="R270" s="417"/>
      <c r="S270" s="417"/>
      <c r="T270" s="417"/>
      <c r="U270" s="417"/>
      <c r="V270" s="417"/>
      <c r="W270" s="417"/>
      <c r="X270" s="417"/>
      <c r="Y270" s="417"/>
      <c r="Z270" s="417"/>
      <c r="AA270" s="417"/>
      <c r="AB270" s="417"/>
    </row>
    <row r="271" customFormat="false" ht="12.6" hidden="false" customHeight="true" outlineLevel="0" collapsed="false">
      <c r="D271" s="417"/>
      <c r="E271" s="417"/>
      <c r="F271" s="417"/>
      <c r="G271" s="417"/>
      <c r="H271" s="417"/>
      <c r="I271" s="417"/>
      <c r="J271" s="417"/>
      <c r="K271" s="417"/>
      <c r="L271" s="417"/>
      <c r="M271" s="417"/>
      <c r="N271" s="417"/>
      <c r="O271" s="417"/>
      <c r="P271" s="417"/>
      <c r="Q271" s="417"/>
      <c r="R271" s="417"/>
      <c r="S271" s="417"/>
      <c r="T271" s="417"/>
      <c r="U271" s="417"/>
      <c r="V271" s="417"/>
      <c r="W271" s="417"/>
      <c r="X271" s="417"/>
      <c r="Y271" s="417"/>
      <c r="Z271" s="417"/>
      <c r="AA271" s="417"/>
      <c r="AB271" s="417"/>
    </row>
    <row r="272" customFormat="false" ht="12.6" hidden="false" customHeight="true" outlineLevel="0" collapsed="false">
      <c r="D272" s="417"/>
      <c r="E272" s="417"/>
      <c r="F272" s="417"/>
      <c r="G272" s="417"/>
      <c r="H272" s="417"/>
      <c r="I272" s="417"/>
      <c r="J272" s="417"/>
      <c r="K272" s="417"/>
      <c r="L272" s="417"/>
      <c r="M272" s="417"/>
      <c r="N272" s="417"/>
      <c r="O272" s="417"/>
      <c r="P272" s="417"/>
      <c r="Q272" s="417"/>
      <c r="R272" s="417"/>
      <c r="S272" s="417"/>
      <c r="T272" s="417"/>
      <c r="U272" s="417"/>
      <c r="V272" s="417"/>
      <c r="W272" s="417"/>
      <c r="X272" s="417"/>
      <c r="Y272" s="417"/>
      <c r="Z272" s="417"/>
      <c r="AA272" s="417"/>
      <c r="AB272" s="417"/>
    </row>
    <row r="273" customFormat="false" ht="12.6" hidden="false" customHeight="true" outlineLevel="0" collapsed="false">
      <c r="D273" s="417"/>
      <c r="E273" s="417"/>
      <c r="F273" s="417"/>
      <c r="G273" s="417"/>
      <c r="H273" s="417"/>
      <c r="I273" s="417"/>
      <c r="J273" s="417"/>
      <c r="K273" s="417"/>
      <c r="L273" s="417"/>
      <c r="M273" s="417"/>
      <c r="N273" s="417"/>
      <c r="O273" s="417"/>
      <c r="P273" s="417"/>
      <c r="Q273" s="417"/>
      <c r="R273" s="417"/>
      <c r="S273" s="417"/>
      <c r="T273" s="417"/>
      <c r="U273" s="417"/>
      <c r="V273" s="417"/>
      <c r="W273" s="417"/>
      <c r="X273" s="417"/>
      <c r="Y273" s="417"/>
      <c r="Z273" s="417"/>
      <c r="AA273" s="417"/>
      <c r="AB273" s="417"/>
    </row>
    <row r="274" customFormat="false" ht="12.6" hidden="false" customHeight="true" outlineLevel="0" collapsed="false">
      <c r="D274" s="417"/>
      <c r="E274" s="417"/>
      <c r="F274" s="417"/>
      <c r="G274" s="417"/>
      <c r="H274" s="417"/>
      <c r="I274" s="417"/>
      <c r="J274" s="417"/>
      <c r="K274" s="417"/>
      <c r="L274" s="417"/>
      <c r="M274" s="417"/>
      <c r="N274" s="417"/>
      <c r="O274" s="417"/>
      <c r="P274" s="417"/>
      <c r="Q274" s="417"/>
      <c r="R274" s="417"/>
      <c r="S274" s="417"/>
      <c r="T274" s="417"/>
      <c r="U274" s="417"/>
      <c r="V274" s="417"/>
      <c r="W274" s="417"/>
      <c r="X274" s="417"/>
      <c r="Y274" s="417"/>
      <c r="Z274" s="417"/>
      <c r="AA274" s="417"/>
      <c r="AB274" s="417"/>
    </row>
    <row r="275" customFormat="false" ht="12.6" hidden="false" customHeight="true" outlineLevel="0" collapsed="false">
      <c r="D275" s="417"/>
      <c r="E275" s="417"/>
      <c r="F275" s="417"/>
      <c r="G275" s="417"/>
      <c r="H275" s="417"/>
      <c r="I275" s="417"/>
      <c r="J275" s="417"/>
      <c r="K275" s="417"/>
      <c r="L275" s="417"/>
      <c r="M275" s="417"/>
      <c r="N275" s="417"/>
      <c r="O275" s="417"/>
      <c r="P275" s="417"/>
      <c r="Q275" s="417"/>
      <c r="R275" s="417"/>
      <c r="S275" s="417"/>
      <c r="T275" s="417"/>
      <c r="U275" s="417"/>
      <c r="V275" s="417"/>
      <c r="W275" s="417"/>
      <c r="X275" s="417"/>
      <c r="Y275" s="417"/>
      <c r="Z275" s="417"/>
      <c r="AA275" s="417"/>
      <c r="AB275" s="417"/>
    </row>
    <row r="276" customFormat="false" ht="12.6" hidden="false" customHeight="true" outlineLevel="0" collapsed="false">
      <c r="D276" s="417"/>
      <c r="E276" s="417"/>
      <c r="F276" s="417"/>
      <c r="G276" s="417"/>
      <c r="H276" s="417"/>
      <c r="I276" s="417"/>
      <c r="J276" s="417"/>
      <c r="K276" s="417"/>
      <c r="L276" s="417"/>
      <c r="M276" s="417"/>
      <c r="N276" s="417"/>
      <c r="O276" s="417"/>
      <c r="P276" s="417"/>
      <c r="Q276" s="417"/>
      <c r="R276" s="417"/>
      <c r="S276" s="417"/>
      <c r="T276" s="417"/>
      <c r="U276" s="417"/>
      <c r="V276" s="417"/>
      <c r="W276" s="417"/>
      <c r="X276" s="417"/>
      <c r="Y276" s="417"/>
      <c r="Z276" s="417"/>
      <c r="AA276" s="417"/>
      <c r="AB276" s="417"/>
    </row>
    <row r="277" customFormat="false" ht="12.6" hidden="false" customHeight="true" outlineLevel="0" collapsed="false">
      <c r="D277" s="417"/>
      <c r="E277" s="417"/>
      <c r="F277" s="417"/>
      <c r="G277" s="417"/>
      <c r="H277" s="417"/>
      <c r="I277" s="417"/>
      <c r="J277" s="417"/>
      <c r="K277" s="417"/>
      <c r="L277" s="417"/>
      <c r="M277" s="417"/>
      <c r="N277" s="417"/>
      <c r="O277" s="417"/>
      <c r="P277" s="417"/>
      <c r="Q277" s="417"/>
      <c r="R277" s="417"/>
      <c r="S277" s="417"/>
      <c r="T277" s="417"/>
      <c r="U277" s="417"/>
      <c r="V277" s="417"/>
      <c r="W277" s="417"/>
      <c r="X277" s="417"/>
      <c r="Y277" s="417"/>
      <c r="Z277" s="417"/>
      <c r="AA277" s="417"/>
      <c r="AB277" s="417"/>
    </row>
    <row r="278" customFormat="false" ht="12.6" hidden="false" customHeight="true" outlineLevel="0" collapsed="false">
      <c r="D278" s="417"/>
      <c r="E278" s="417"/>
      <c r="F278" s="417"/>
      <c r="G278" s="417"/>
      <c r="H278" s="417"/>
      <c r="I278" s="417"/>
      <c r="J278" s="417"/>
      <c r="K278" s="417"/>
      <c r="L278" s="417"/>
      <c r="M278" s="417"/>
      <c r="N278" s="417"/>
      <c r="O278" s="417"/>
      <c r="P278" s="417"/>
      <c r="Q278" s="417"/>
      <c r="R278" s="417"/>
      <c r="S278" s="417"/>
      <c r="T278" s="417"/>
      <c r="U278" s="417"/>
      <c r="V278" s="417"/>
      <c r="W278" s="417"/>
      <c r="X278" s="417"/>
      <c r="Y278" s="417"/>
      <c r="Z278" s="417"/>
      <c r="AA278" s="417"/>
      <c r="AB278" s="417"/>
    </row>
    <row r="279" customFormat="false" ht="12.6" hidden="false" customHeight="true" outlineLevel="0" collapsed="false">
      <c r="D279" s="417"/>
      <c r="E279" s="417"/>
      <c r="F279" s="417"/>
      <c r="G279" s="417"/>
      <c r="H279" s="417"/>
      <c r="I279" s="417"/>
      <c r="J279" s="417"/>
      <c r="K279" s="417"/>
      <c r="L279" s="417"/>
      <c r="M279" s="417"/>
      <c r="N279" s="417"/>
      <c r="O279" s="417"/>
      <c r="P279" s="417"/>
      <c r="Q279" s="417"/>
      <c r="R279" s="417"/>
      <c r="S279" s="417"/>
      <c r="T279" s="417"/>
      <c r="U279" s="417"/>
      <c r="V279" s="417"/>
      <c r="W279" s="417"/>
      <c r="X279" s="417"/>
      <c r="Y279" s="417"/>
      <c r="Z279" s="417"/>
      <c r="AA279" s="417"/>
      <c r="AB279" s="417"/>
    </row>
    <row r="280" customFormat="false" ht="12.6" hidden="false" customHeight="true" outlineLevel="0" collapsed="false">
      <c r="D280" s="417"/>
      <c r="E280" s="417"/>
      <c r="F280" s="417"/>
      <c r="G280" s="417"/>
      <c r="H280" s="417"/>
      <c r="I280" s="417"/>
      <c r="J280" s="417"/>
      <c r="K280" s="417"/>
      <c r="L280" s="417"/>
      <c r="M280" s="417"/>
      <c r="N280" s="417"/>
      <c r="O280" s="417"/>
      <c r="P280" s="417"/>
      <c r="Q280" s="417"/>
      <c r="R280" s="417"/>
      <c r="S280" s="417"/>
      <c r="T280" s="417"/>
      <c r="U280" s="417"/>
      <c r="V280" s="417"/>
      <c r="W280" s="417"/>
      <c r="X280" s="417"/>
      <c r="Y280" s="417"/>
      <c r="Z280" s="417"/>
      <c r="AA280" s="417"/>
      <c r="AB280" s="417"/>
    </row>
    <row r="281" customFormat="false" ht="12.6" hidden="false" customHeight="true" outlineLevel="0" collapsed="false">
      <c r="D281" s="417"/>
      <c r="E281" s="417"/>
      <c r="F281" s="417"/>
      <c r="G281" s="417"/>
      <c r="H281" s="417"/>
      <c r="I281" s="417"/>
      <c r="J281" s="417"/>
      <c r="K281" s="417"/>
      <c r="L281" s="417"/>
      <c r="M281" s="417"/>
      <c r="N281" s="417"/>
      <c r="O281" s="417"/>
      <c r="P281" s="417"/>
      <c r="Q281" s="417"/>
      <c r="R281" s="417"/>
      <c r="S281" s="417"/>
      <c r="T281" s="417"/>
      <c r="U281" s="417"/>
      <c r="V281" s="417"/>
      <c r="W281" s="417"/>
      <c r="X281" s="417"/>
      <c r="Y281" s="417"/>
      <c r="Z281" s="417"/>
      <c r="AA281" s="417"/>
      <c r="AB281" s="417"/>
    </row>
    <row r="282" customFormat="false" ht="12.6" hidden="false" customHeight="true" outlineLevel="0" collapsed="false">
      <c r="D282" s="417"/>
      <c r="E282" s="417"/>
      <c r="F282" s="417"/>
      <c r="G282" s="417"/>
      <c r="H282" s="417"/>
      <c r="I282" s="417"/>
      <c r="J282" s="417"/>
      <c r="K282" s="417"/>
      <c r="L282" s="417"/>
      <c r="M282" s="417"/>
      <c r="N282" s="417"/>
      <c r="O282" s="417"/>
      <c r="P282" s="417"/>
      <c r="Q282" s="417"/>
      <c r="R282" s="417"/>
      <c r="S282" s="417"/>
      <c r="T282" s="417"/>
      <c r="U282" s="417"/>
      <c r="V282" s="417"/>
      <c r="W282" s="417"/>
      <c r="X282" s="417"/>
      <c r="Y282" s="417"/>
      <c r="Z282" s="417"/>
      <c r="AA282" s="417"/>
      <c r="AB282" s="417"/>
    </row>
    <row r="283" customFormat="false" ht="12.6" hidden="false" customHeight="true" outlineLevel="0" collapsed="false">
      <c r="D283" s="417"/>
      <c r="E283" s="417"/>
      <c r="F283" s="417"/>
      <c r="G283" s="417"/>
      <c r="H283" s="417"/>
      <c r="I283" s="417"/>
      <c r="J283" s="417"/>
      <c r="K283" s="417"/>
      <c r="L283" s="417"/>
      <c r="M283" s="417"/>
      <c r="N283" s="417"/>
      <c r="O283" s="417"/>
      <c r="P283" s="417"/>
      <c r="Q283" s="417"/>
      <c r="R283" s="417"/>
      <c r="S283" s="417"/>
      <c r="T283" s="417"/>
      <c r="U283" s="417"/>
      <c r="V283" s="417"/>
      <c r="W283" s="417"/>
      <c r="X283" s="417"/>
      <c r="Y283" s="417"/>
      <c r="Z283" s="417"/>
      <c r="AA283" s="417"/>
      <c r="AB283" s="417"/>
    </row>
    <row r="284" customFormat="false" ht="12.6" hidden="false" customHeight="true" outlineLevel="0" collapsed="false">
      <c r="D284" s="417"/>
      <c r="E284" s="417"/>
      <c r="F284" s="417"/>
      <c r="G284" s="417"/>
      <c r="H284" s="417"/>
      <c r="I284" s="417"/>
      <c r="J284" s="417"/>
      <c r="K284" s="417"/>
      <c r="L284" s="417"/>
      <c r="M284" s="417"/>
      <c r="N284" s="417"/>
      <c r="O284" s="417"/>
      <c r="P284" s="417"/>
      <c r="Q284" s="417"/>
      <c r="R284" s="417"/>
      <c r="S284" s="417"/>
      <c r="T284" s="417"/>
      <c r="U284" s="417"/>
      <c r="V284" s="417"/>
      <c r="W284" s="417"/>
      <c r="X284" s="417"/>
      <c r="Y284" s="417"/>
      <c r="Z284" s="417"/>
      <c r="AA284" s="417"/>
      <c r="AB284" s="417"/>
    </row>
    <row r="285" customFormat="false" ht="12.6" hidden="false" customHeight="true" outlineLevel="0" collapsed="false">
      <c r="D285" s="417"/>
      <c r="E285" s="417"/>
      <c r="F285" s="417"/>
      <c r="G285" s="417"/>
      <c r="H285" s="417"/>
      <c r="I285" s="417"/>
      <c r="J285" s="417"/>
      <c r="K285" s="417"/>
      <c r="L285" s="417"/>
      <c r="M285" s="417"/>
      <c r="N285" s="417"/>
      <c r="O285" s="417"/>
      <c r="P285" s="417"/>
      <c r="Q285" s="417"/>
      <c r="R285" s="417"/>
      <c r="S285" s="417"/>
      <c r="T285" s="417"/>
      <c r="U285" s="417"/>
      <c r="V285" s="417"/>
      <c r="W285" s="417"/>
      <c r="X285" s="417"/>
      <c r="Y285" s="417"/>
      <c r="Z285" s="417"/>
      <c r="AA285" s="417"/>
      <c r="AB285" s="417"/>
    </row>
    <row r="286" customFormat="false" ht="12.6" hidden="false" customHeight="true" outlineLevel="0" collapsed="false">
      <c r="D286" s="417"/>
      <c r="E286" s="417"/>
      <c r="F286" s="417"/>
      <c r="G286" s="417"/>
      <c r="H286" s="417"/>
      <c r="I286" s="417"/>
      <c r="J286" s="417"/>
      <c r="K286" s="417"/>
      <c r="L286" s="417"/>
      <c r="M286" s="417"/>
      <c r="N286" s="417"/>
      <c r="O286" s="417"/>
      <c r="P286" s="417"/>
      <c r="Q286" s="417"/>
      <c r="R286" s="417"/>
      <c r="S286" s="417"/>
      <c r="T286" s="417"/>
      <c r="U286" s="417"/>
      <c r="V286" s="417"/>
      <c r="W286" s="417"/>
      <c r="X286" s="417"/>
      <c r="Y286" s="417"/>
      <c r="Z286" s="417"/>
      <c r="AA286" s="417"/>
      <c r="AB286" s="417"/>
    </row>
    <row r="287" customFormat="false" ht="12.6" hidden="false" customHeight="true" outlineLevel="0" collapsed="false">
      <c r="D287" s="417"/>
      <c r="E287" s="417"/>
      <c r="F287" s="417"/>
      <c r="G287" s="417"/>
      <c r="H287" s="417"/>
      <c r="I287" s="417"/>
      <c r="J287" s="417"/>
      <c r="K287" s="417"/>
      <c r="L287" s="417"/>
      <c r="M287" s="417"/>
      <c r="N287" s="417"/>
      <c r="O287" s="417"/>
      <c r="P287" s="417"/>
      <c r="Q287" s="417"/>
      <c r="R287" s="417"/>
      <c r="S287" s="417"/>
      <c r="T287" s="417"/>
      <c r="U287" s="417"/>
      <c r="V287" s="417"/>
      <c r="W287" s="417"/>
      <c r="X287" s="417"/>
      <c r="Y287" s="417"/>
      <c r="Z287" s="417"/>
      <c r="AA287" s="417"/>
      <c r="AB287" s="417"/>
    </row>
    <row r="288" customFormat="false" ht="12.6" hidden="false" customHeight="true" outlineLevel="0" collapsed="false">
      <c r="D288" s="417"/>
      <c r="E288" s="417"/>
      <c r="F288" s="417"/>
      <c r="G288" s="417"/>
      <c r="H288" s="417"/>
      <c r="I288" s="417"/>
      <c r="J288" s="417"/>
      <c r="K288" s="417"/>
      <c r="L288" s="417"/>
      <c r="M288" s="417"/>
      <c r="N288" s="417"/>
      <c r="O288" s="417"/>
      <c r="P288" s="417"/>
      <c r="Q288" s="417"/>
      <c r="R288" s="417"/>
      <c r="S288" s="417"/>
      <c r="T288" s="417"/>
      <c r="U288" s="417"/>
      <c r="V288" s="417"/>
      <c r="W288" s="417"/>
      <c r="X288" s="417"/>
      <c r="Y288" s="417"/>
      <c r="Z288" s="417"/>
      <c r="AA288" s="417"/>
      <c r="AB288" s="417"/>
    </row>
    <row r="289" customFormat="false" ht="12.6" hidden="false" customHeight="true" outlineLevel="0" collapsed="false">
      <c r="D289" s="417"/>
      <c r="E289" s="417"/>
      <c r="F289" s="417"/>
      <c r="G289" s="417"/>
      <c r="H289" s="417"/>
      <c r="I289" s="417"/>
      <c r="J289" s="417"/>
      <c r="K289" s="417"/>
      <c r="L289" s="417"/>
      <c r="M289" s="417"/>
      <c r="N289" s="417"/>
      <c r="O289" s="417"/>
      <c r="P289" s="417"/>
      <c r="Q289" s="417"/>
      <c r="R289" s="417"/>
      <c r="S289" s="417"/>
      <c r="T289" s="417"/>
      <c r="U289" s="417"/>
      <c r="V289" s="417"/>
      <c r="W289" s="417"/>
      <c r="X289" s="417"/>
      <c r="Y289" s="417"/>
      <c r="Z289" s="417"/>
      <c r="AA289" s="417"/>
      <c r="AB289" s="417"/>
    </row>
    <row r="290" customFormat="false" ht="12.6" hidden="false" customHeight="true" outlineLevel="0" collapsed="false">
      <c r="D290" s="417"/>
      <c r="E290" s="417"/>
      <c r="F290" s="417"/>
      <c r="G290" s="417"/>
      <c r="H290" s="417"/>
      <c r="I290" s="417"/>
      <c r="J290" s="417"/>
      <c r="K290" s="417"/>
      <c r="L290" s="417"/>
      <c r="M290" s="417"/>
      <c r="N290" s="417"/>
      <c r="O290" s="417"/>
      <c r="P290" s="417"/>
      <c r="Q290" s="417"/>
      <c r="R290" s="417"/>
      <c r="S290" s="417"/>
      <c r="T290" s="417"/>
      <c r="U290" s="417"/>
      <c r="V290" s="417"/>
      <c r="W290" s="417"/>
      <c r="X290" s="417"/>
      <c r="Y290" s="417"/>
      <c r="Z290" s="417"/>
      <c r="AA290" s="417"/>
      <c r="AB290" s="417"/>
    </row>
    <row r="291" customFormat="false" ht="12.6" hidden="false" customHeight="true" outlineLevel="0" collapsed="false">
      <c r="D291" s="417"/>
      <c r="E291" s="417"/>
      <c r="F291" s="417"/>
      <c r="G291" s="417"/>
      <c r="H291" s="417"/>
      <c r="I291" s="417"/>
      <c r="J291" s="417"/>
      <c r="K291" s="417"/>
      <c r="L291" s="417"/>
      <c r="M291" s="417"/>
      <c r="N291" s="417"/>
      <c r="O291" s="417"/>
      <c r="P291" s="417"/>
      <c r="Q291" s="417"/>
      <c r="R291" s="417"/>
      <c r="S291" s="417"/>
      <c r="T291" s="417"/>
      <c r="U291" s="417"/>
      <c r="V291" s="417"/>
      <c r="W291" s="417"/>
      <c r="X291" s="417"/>
      <c r="Y291" s="417"/>
      <c r="Z291" s="417"/>
      <c r="AA291" s="417"/>
      <c r="AB291" s="417"/>
    </row>
    <row r="292" customFormat="false" ht="12.6" hidden="false" customHeight="true" outlineLevel="0" collapsed="false">
      <c r="D292" s="417"/>
      <c r="E292" s="417"/>
      <c r="F292" s="417"/>
      <c r="G292" s="417"/>
      <c r="H292" s="417"/>
      <c r="I292" s="417"/>
      <c r="J292" s="417"/>
      <c r="K292" s="417"/>
      <c r="L292" s="417"/>
      <c r="M292" s="417"/>
      <c r="N292" s="417"/>
      <c r="O292" s="417"/>
      <c r="P292" s="417"/>
      <c r="Q292" s="417"/>
      <c r="R292" s="417"/>
      <c r="S292" s="417"/>
      <c r="T292" s="417"/>
      <c r="U292" s="417"/>
      <c r="V292" s="417"/>
      <c r="W292" s="417"/>
      <c r="X292" s="417"/>
      <c r="Y292" s="417"/>
      <c r="Z292" s="417"/>
      <c r="AA292" s="417"/>
      <c r="AB292" s="417"/>
    </row>
    <row r="293" customFormat="false" ht="12.6" hidden="false" customHeight="true" outlineLevel="0" collapsed="false">
      <c r="D293" s="417"/>
      <c r="E293" s="417"/>
      <c r="F293" s="417"/>
      <c r="G293" s="417"/>
      <c r="H293" s="417"/>
      <c r="I293" s="417"/>
      <c r="J293" s="417"/>
      <c r="K293" s="417"/>
      <c r="L293" s="417"/>
      <c r="M293" s="417"/>
      <c r="N293" s="417"/>
      <c r="O293" s="417"/>
      <c r="P293" s="417"/>
      <c r="Q293" s="417"/>
      <c r="R293" s="417"/>
      <c r="S293" s="417"/>
      <c r="T293" s="417"/>
      <c r="U293" s="417"/>
      <c r="V293" s="417"/>
      <c r="W293" s="417"/>
      <c r="X293" s="417"/>
      <c r="Y293" s="417"/>
      <c r="Z293" s="417"/>
      <c r="AA293" s="417"/>
      <c r="AB293" s="417"/>
    </row>
  </sheetData>
  <printOptions headings="false" gridLines="false" gridLinesSet="true" horizontalCentered="false" verticalCentered="false"/>
  <pageMargins left="0.25" right="0.25" top="0.25" bottom="0.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&amp;L&amp;D   &amp;T&amp;R&amp;F
&amp;A &amp;P</oddFooter>
  </headerFooter>
  <colBreaks count="1" manualBreakCount="1">
    <brk id="15" man="true" max="65535" min="0"/>
  </colBreaks>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1997-11-12T23:08:26Z</dcterms:created>
  <dc:creator>ECT</dc:creator>
  <dc:description/>
  <dc:language>en-US</dc:language>
  <cp:lastModifiedBy>Ben Rogers</cp:lastModifiedBy>
  <cp:lastPrinted>1999-09-20T13:14:10Z</cp:lastPrinted>
  <cp:revision>0</cp:revision>
  <dc:subject/>
  <dc:title/>
</cp:coreProperties>
</file>